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645" windowHeight="7080" tabRatio="828"/>
  </bookViews>
  <sheets>
    <sheet name="Токсичність" sheetId="8" r:id="rId1"/>
    <sheet name="Димомір_ТЕХА" sheetId="24" r:id="rId2"/>
    <sheet name="Hofmann" sheetId="1" r:id="rId3"/>
    <sheet name="Word2осі_1СГС" sheetId="4" r:id="rId4"/>
    <sheet name="Hofm2осі_2СГС" sheetId="15" r:id="rId5"/>
    <sheet name="Word2осі_2СГС" sheetId="16" r:id="rId6"/>
    <sheet name="Hofm3_ВАНТАНІ" sheetId="12" r:id="rId7"/>
    <sheet name="Word 3осі_2СГС" sheetId="13" r:id="rId8"/>
    <sheet name="Hofm3 осі" sheetId="10" r:id="rId9"/>
    <sheet name="Word3осі_СГС2осі" sheetId="9" r:id="rId10"/>
    <sheet name="Word 3осі_СГС3осі" sheetId="21" r:id="rId11"/>
    <sheet name="Hofm 4осі" sheetId="18" r:id="rId12"/>
    <sheet name="Word 4осі_СГС2осі" sheetId="17" r:id="rId13"/>
    <sheet name="Word 4осі_СГС3осі" sheetId="20" r:id="rId14"/>
    <sheet name="Лист6" sheetId="23" r:id="rId15"/>
    <sheet name="Лист3" sheetId="6" r:id="rId16"/>
  </sheets>
  <definedNames>
    <definedName name="_xlnm.Print_Area" localSheetId="3">Word2осі_1СГС!$A$1:$N$64</definedName>
    <definedName name="_xlnm.Print_Area" localSheetId="5">Word2осі_2СГС!$A$1:$N$64</definedName>
    <definedName name="_xlnm.Print_Area" localSheetId="1">Димомір_ТЕХА!$A$1:$K$79</definedName>
    <definedName name="_xlnm.Print_Area" localSheetId="0">Токсичність!$A$1:$K$82</definedName>
  </definedNames>
  <calcPr calcId="145621"/>
</workbook>
</file>

<file path=xl/calcChain.xml><?xml version="1.0" encoding="utf-8"?>
<calcChain xmlns="http://schemas.openxmlformats.org/spreadsheetml/2006/main">
  <c r="S3" i="1" l="1"/>
  <c r="S4" i="1" s="1"/>
  <c r="R3" i="1"/>
  <c r="R4" i="1" s="1"/>
  <c r="M19" i="1"/>
  <c r="N19" i="1"/>
  <c r="M17" i="24"/>
  <c r="C15" i="24"/>
  <c r="C16" i="24"/>
  <c r="C24" i="24" s="1"/>
  <c r="C18" i="8"/>
  <c r="G2" i="6"/>
  <c r="M2" i="6"/>
  <c r="P2" i="6"/>
  <c r="G3" i="6"/>
  <c r="M3" i="6"/>
  <c r="P3" i="6"/>
  <c r="P4" i="6"/>
  <c r="Q4" i="6" s="1"/>
  <c r="P5" i="6"/>
  <c r="G6" i="6"/>
  <c r="H6" i="6" s="1"/>
  <c r="M6" i="6"/>
  <c r="N6" i="6" s="1"/>
  <c r="P6" i="6"/>
  <c r="G7" i="6"/>
  <c r="H7" i="6" s="1"/>
  <c r="M7" i="6"/>
  <c r="N7" i="6" s="1"/>
  <c r="L12" i="6"/>
  <c r="A12" i="6" s="1"/>
  <c r="C12" i="6" s="1"/>
  <c r="A17" i="6"/>
  <c r="B4" i="20"/>
  <c r="C5" i="20" s="1"/>
  <c r="F5" i="20"/>
  <c r="K11" i="20"/>
  <c r="D32" i="20"/>
  <c r="E32" i="20"/>
  <c r="D39" i="20"/>
  <c r="G39" i="20"/>
  <c r="D47" i="20"/>
  <c r="D56" i="20"/>
  <c r="B4" i="17"/>
  <c r="C5" i="17" s="1"/>
  <c r="F5" i="17"/>
  <c r="K11" i="17"/>
  <c r="D32" i="17"/>
  <c r="E32" i="17"/>
  <c r="D39" i="17"/>
  <c r="G39" i="17"/>
  <c r="D47" i="17"/>
  <c r="D56" i="17"/>
  <c r="Q1" i="18"/>
  <c r="R1" i="18"/>
  <c r="S1" i="18"/>
  <c r="T1" i="18"/>
  <c r="H2" i="18"/>
  <c r="Q2" i="18"/>
  <c r="C3" i="18"/>
  <c r="D26" i="17" s="1"/>
  <c r="D3" i="18"/>
  <c r="E26" i="20" s="1"/>
  <c r="E3" i="18"/>
  <c r="G26" i="20" s="1"/>
  <c r="F3" i="18"/>
  <c r="H26" i="20" s="1"/>
  <c r="G3" i="18"/>
  <c r="C4" i="18"/>
  <c r="D27" i="20" s="1"/>
  <c r="D4" i="18"/>
  <c r="E27" i="20" s="1"/>
  <c r="E4" i="18"/>
  <c r="G27" i="17" s="1"/>
  <c r="F4" i="18"/>
  <c r="H27" i="17" s="1"/>
  <c r="G4" i="18"/>
  <c r="R4" i="18"/>
  <c r="C14" i="18" s="1"/>
  <c r="J14" i="18" s="1"/>
  <c r="S4" i="18"/>
  <c r="S26" i="18" s="1"/>
  <c r="T4" i="18"/>
  <c r="T20" i="18" s="1"/>
  <c r="E1" i="18" s="1"/>
  <c r="G24" i="20" s="1"/>
  <c r="U4" i="18"/>
  <c r="F14" i="18" s="1"/>
  <c r="J6" i="18"/>
  <c r="J7" i="18" s="1"/>
  <c r="K6" i="18"/>
  <c r="K7" i="18" s="1"/>
  <c r="L6" i="18"/>
  <c r="L7" i="18" s="1"/>
  <c r="C7" i="18"/>
  <c r="D7" i="18"/>
  <c r="E7" i="18"/>
  <c r="C8" i="18"/>
  <c r="D8" i="18"/>
  <c r="E31" i="20" s="1"/>
  <c r="E8" i="18"/>
  <c r="F8" i="18"/>
  <c r="H31" i="20" s="1"/>
  <c r="O9" i="18"/>
  <c r="O13" i="18"/>
  <c r="O14" i="18"/>
  <c r="C16" i="18"/>
  <c r="D16" i="18"/>
  <c r="E39" i="20" s="1"/>
  <c r="E16" i="18"/>
  <c r="F16" i="18"/>
  <c r="H39" i="20" s="1"/>
  <c r="C17" i="18"/>
  <c r="D40" i="20" s="1"/>
  <c r="D17" i="18"/>
  <c r="E40" i="17" s="1"/>
  <c r="E17" i="18"/>
  <c r="G40" i="20" s="1"/>
  <c r="F17" i="18"/>
  <c r="H40" i="20" s="1"/>
  <c r="C18" i="18"/>
  <c r="D41" i="20" s="1"/>
  <c r="D18" i="18"/>
  <c r="E41" i="17" s="1"/>
  <c r="E18" i="18"/>
  <c r="G41" i="17" s="1"/>
  <c r="F18" i="18"/>
  <c r="H41" i="20" s="1"/>
  <c r="C19" i="18"/>
  <c r="D42" i="17" s="1"/>
  <c r="D19" i="18"/>
  <c r="E42" i="17" s="1"/>
  <c r="E19" i="18"/>
  <c r="G42" i="17" s="1"/>
  <c r="F19" i="18"/>
  <c r="H42" i="20" s="1"/>
  <c r="V21" i="18"/>
  <c r="O24" i="18"/>
  <c r="V25" i="18"/>
  <c r="V27" i="18"/>
  <c r="B4" i="21"/>
  <c r="C5" i="21" s="1"/>
  <c r="F5" i="21"/>
  <c r="K11" i="21"/>
  <c r="D32" i="21"/>
  <c r="E32" i="21"/>
  <c r="D47" i="21"/>
  <c r="D56" i="21"/>
  <c r="B4" i="9"/>
  <c r="C5" i="9" s="1"/>
  <c r="F5" i="9"/>
  <c r="K11" i="9"/>
  <c r="D32" i="9"/>
  <c r="E32" i="9"/>
  <c r="D47" i="9"/>
  <c r="D56" i="9"/>
  <c r="P1" i="10"/>
  <c r="Q1" i="10"/>
  <c r="R1" i="10"/>
  <c r="S1" i="10"/>
  <c r="G2" i="10"/>
  <c r="P2" i="10"/>
  <c r="U10" i="10"/>
  <c r="C3" i="10"/>
  <c r="D26" i="9" s="1"/>
  <c r="D3" i="10"/>
  <c r="E26" i="21" s="1"/>
  <c r="E3" i="10"/>
  <c r="G26" i="9" s="1"/>
  <c r="F3" i="10"/>
  <c r="C4" i="10"/>
  <c r="D4" i="10"/>
  <c r="E27" i="9" s="1"/>
  <c r="E4" i="10"/>
  <c r="F4" i="10"/>
  <c r="Q4" i="10"/>
  <c r="R4" i="10"/>
  <c r="S4" i="10"/>
  <c r="I6" i="10"/>
  <c r="I7" i="10" s="1"/>
  <c r="J6" i="10"/>
  <c r="J7" i="10" s="1"/>
  <c r="K6" i="10"/>
  <c r="K7" i="10" s="1"/>
  <c r="C7" i="10"/>
  <c r="D7" i="10"/>
  <c r="E7" i="10"/>
  <c r="C8" i="10"/>
  <c r="D31" i="9" s="1"/>
  <c r="D8" i="10"/>
  <c r="E31" i="9" s="1"/>
  <c r="E8" i="10"/>
  <c r="G31" i="9" s="1"/>
  <c r="N9" i="10"/>
  <c r="N13" i="10"/>
  <c r="N14" i="10"/>
  <c r="C16" i="10"/>
  <c r="D39" i="9" s="1"/>
  <c r="D16" i="10"/>
  <c r="E39" i="21" s="1"/>
  <c r="E16" i="10"/>
  <c r="G39" i="21" s="1"/>
  <c r="C17" i="10"/>
  <c r="D17" i="10"/>
  <c r="E40" i="9" s="1"/>
  <c r="E17" i="10"/>
  <c r="G40" i="9" s="1"/>
  <c r="C18" i="10"/>
  <c r="D41" i="21" s="1"/>
  <c r="D18" i="10"/>
  <c r="E18" i="10"/>
  <c r="G41" i="9" s="1"/>
  <c r="C19" i="10"/>
  <c r="D19" i="10"/>
  <c r="E42" i="9" s="1"/>
  <c r="E19" i="10"/>
  <c r="U21" i="10"/>
  <c r="U25" i="10" s="1"/>
  <c r="N24" i="10"/>
  <c r="U28" i="10"/>
  <c r="B4" i="13"/>
  <c r="C5" i="13" s="1"/>
  <c r="F5" i="13"/>
  <c r="K11" i="13"/>
  <c r="D32" i="13"/>
  <c r="E32" i="13"/>
  <c r="D47" i="13"/>
  <c r="D56" i="13"/>
  <c r="P1" i="12"/>
  <c r="Q1" i="12"/>
  <c r="R1" i="12"/>
  <c r="S1" i="12"/>
  <c r="G2" i="12"/>
  <c r="P2" i="12"/>
  <c r="C3" i="12"/>
  <c r="D26" i="13" s="1"/>
  <c r="D3" i="12"/>
  <c r="E26" i="13" s="1"/>
  <c r="E3" i="12"/>
  <c r="G26" i="13" s="1"/>
  <c r="C4" i="12"/>
  <c r="D27" i="13" s="1"/>
  <c r="D4" i="12"/>
  <c r="E27" i="13" s="1"/>
  <c r="E4" i="12"/>
  <c r="G27" i="13" s="1"/>
  <c r="Q4" i="12"/>
  <c r="Q9" i="12" s="1"/>
  <c r="R4" i="12"/>
  <c r="D14" i="12" s="1"/>
  <c r="E37" i="13" s="1"/>
  <c r="S4" i="12"/>
  <c r="S20" i="12" s="1"/>
  <c r="E1" i="12" s="1"/>
  <c r="G24" i="13" s="1"/>
  <c r="I5" i="12"/>
  <c r="I6" i="12" s="1"/>
  <c r="I7" i="12" s="1"/>
  <c r="J5" i="12"/>
  <c r="J6" i="12" s="1"/>
  <c r="K5" i="12"/>
  <c r="K6" i="12" s="1"/>
  <c r="K7" i="12" s="1"/>
  <c r="C8" i="12"/>
  <c r="D31" i="13" s="1"/>
  <c r="D8" i="12"/>
  <c r="E31" i="13" s="1"/>
  <c r="E8" i="12"/>
  <c r="G31" i="13" s="1"/>
  <c r="U10" i="12"/>
  <c r="C16" i="12"/>
  <c r="D39" i="13" s="1"/>
  <c r="D16" i="12"/>
  <c r="E39" i="13" s="1"/>
  <c r="E16" i="12"/>
  <c r="G39" i="13" s="1"/>
  <c r="C17" i="12"/>
  <c r="D17" i="12"/>
  <c r="E17" i="12"/>
  <c r="G40" i="13" s="1"/>
  <c r="C18" i="12"/>
  <c r="D18" i="12"/>
  <c r="E18" i="12"/>
  <c r="G41" i="13" s="1"/>
  <c r="C19" i="12"/>
  <c r="D19" i="12"/>
  <c r="E19" i="12"/>
  <c r="G42" i="13" s="1"/>
  <c r="U21" i="12"/>
  <c r="U25" i="12" s="1"/>
  <c r="E22" i="12"/>
  <c r="B4" i="16"/>
  <c r="C5" i="16" s="1"/>
  <c r="F5" i="16"/>
  <c r="D32" i="16"/>
  <c r="E32" i="16"/>
  <c r="D47" i="16"/>
  <c r="D56" i="16"/>
  <c r="G2" i="15"/>
  <c r="U2" i="15"/>
  <c r="C3" i="15"/>
  <c r="D26" i="16" s="1"/>
  <c r="D3" i="15"/>
  <c r="E26" i="16" s="1"/>
  <c r="R3" i="15"/>
  <c r="C14" i="15" s="1"/>
  <c r="D37" i="16" s="1"/>
  <c r="S3" i="15"/>
  <c r="S11" i="15" s="1"/>
  <c r="D1" i="15" s="1"/>
  <c r="C4" i="15"/>
  <c r="D27" i="16" s="1"/>
  <c r="D4" i="15"/>
  <c r="E27" i="16" s="1"/>
  <c r="I5" i="15"/>
  <c r="C8" i="15"/>
  <c r="D31" i="16" s="1"/>
  <c r="D8" i="15"/>
  <c r="E31" i="16" s="1"/>
  <c r="T12" i="15"/>
  <c r="C16" i="15"/>
  <c r="D39" i="16" s="1"/>
  <c r="D16" i="15"/>
  <c r="E39" i="16" s="1"/>
  <c r="T16" i="15"/>
  <c r="C17" i="15"/>
  <c r="D40" i="16" s="1"/>
  <c r="D17" i="15"/>
  <c r="E40" i="16" s="1"/>
  <c r="J17" i="15"/>
  <c r="C18" i="15"/>
  <c r="D41" i="16" s="1"/>
  <c r="D18" i="15"/>
  <c r="E41" i="16" s="1"/>
  <c r="C19" i="15"/>
  <c r="D42" i="16" s="1"/>
  <c r="D19" i="15"/>
  <c r="E42" i="16" s="1"/>
  <c r="G4" i="4"/>
  <c r="F5" i="4" s="1"/>
  <c r="D32" i="4"/>
  <c r="E32" i="4"/>
  <c r="D47" i="4"/>
  <c r="D56" i="4"/>
  <c r="G2" i="1"/>
  <c r="C3" i="1"/>
  <c r="D26" i="4" s="1"/>
  <c r="D3" i="1"/>
  <c r="E26" i="4" s="1"/>
  <c r="N3" i="1"/>
  <c r="B4" i="4" s="1"/>
  <c r="C5" i="4" s="1"/>
  <c r="C4" i="1"/>
  <c r="D27" i="4" s="1"/>
  <c r="D4" i="1"/>
  <c r="E27" i="4" s="1"/>
  <c r="I5" i="1"/>
  <c r="I6" i="1" s="1"/>
  <c r="I7" i="1" s="1"/>
  <c r="N5" i="1"/>
  <c r="K11" i="16" s="1"/>
  <c r="C8" i="1"/>
  <c r="D31" i="4" s="1"/>
  <c r="D8" i="1"/>
  <c r="E31" i="4" s="1"/>
  <c r="N9" i="1"/>
  <c r="U11" i="1"/>
  <c r="S12" i="1" s="1"/>
  <c r="T12" i="1"/>
  <c r="T16" i="1" s="1"/>
  <c r="U15" i="1"/>
  <c r="S15" i="1" s="1"/>
  <c r="D26" i="1" s="1"/>
  <c r="E51" i="4" s="1"/>
  <c r="C17" i="1"/>
  <c r="D40" i="13" s="1"/>
  <c r="D17" i="1"/>
  <c r="E40" i="4" s="1"/>
  <c r="J17" i="1"/>
  <c r="C18" i="1"/>
  <c r="D41" i="13" s="1"/>
  <c r="D18" i="1"/>
  <c r="C19" i="1"/>
  <c r="D42" i="13" s="1"/>
  <c r="D19" i="1"/>
  <c r="C4" i="24"/>
  <c r="C5" i="24"/>
  <c r="C3" i="24" s="1"/>
  <c r="F7" i="24"/>
  <c r="F8" i="24"/>
  <c r="C8" i="24"/>
  <c r="F9" i="24"/>
  <c r="F10" i="24"/>
  <c r="F11" i="24"/>
  <c r="F12" i="24"/>
  <c r="C13" i="24"/>
  <c r="J6" i="24" s="1"/>
  <c r="C17" i="24"/>
  <c r="D25" i="24" s="1"/>
  <c r="M3" i="8"/>
  <c r="E21" i="8" s="1"/>
  <c r="C21" i="8" s="1"/>
  <c r="C4" i="8"/>
  <c r="M4" i="8"/>
  <c r="E30" i="8" s="1"/>
  <c r="C30" i="8" s="1"/>
  <c r="C5" i="8"/>
  <c r="C3" i="8" s="1"/>
  <c r="C8" i="8"/>
  <c r="N9" i="8"/>
  <c r="O9" i="8"/>
  <c r="T9" i="8" s="1"/>
  <c r="C34" i="8" s="1"/>
  <c r="P9" i="8"/>
  <c r="Q9" i="8"/>
  <c r="N11" i="8"/>
  <c r="O11" i="8"/>
  <c r="P11" i="8"/>
  <c r="Q11" i="8"/>
  <c r="N12" i="8"/>
  <c r="T8" i="8" s="1"/>
  <c r="C25" i="8" s="1"/>
  <c r="O12" i="8"/>
  <c r="C17" i="8"/>
  <c r="C20" i="8"/>
  <c r="C26" i="8"/>
  <c r="T34" i="8" s="1"/>
  <c r="C29" i="8"/>
  <c r="R30" i="8"/>
  <c r="S30" i="8"/>
  <c r="C35" i="8"/>
  <c r="T36" i="8" s="1"/>
  <c r="N36" i="8"/>
  <c r="P37" i="8" s="1"/>
  <c r="C22" i="8" s="1"/>
  <c r="O36" i="8"/>
  <c r="N37" i="8"/>
  <c r="O37" i="8"/>
  <c r="G39" i="9"/>
  <c r="D39" i="21"/>
  <c r="M14" i="12"/>
  <c r="E33" i="12"/>
  <c r="G42" i="20"/>
  <c r="D14" i="1"/>
  <c r="E37" i="4" s="1"/>
  <c r="D16" i="1"/>
  <c r="E39" i="4" s="1"/>
  <c r="C16" i="1"/>
  <c r="D39" i="4" s="1"/>
  <c r="U2" i="1"/>
  <c r="H41" i="17"/>
  <c r="C25" i="24"/>
  <c r="E14" i="12"/>
  <c r="G37" i="13" s="1"/>
  <c r="S24" i="12"/>
  <c r="E26" i="12" s="1"/>
  <c r="G51" i="13" s="1"/>
  <c r="K11" i="4"/>
  <c r="S5" i="12"/>
  <c r="E15" i="12" s="1"/>
  <c r="R20" i="12"/>
  <c r="E40" i="21"/>
  <c r="S24" i="18"/>
  <c r="D42" i="20"/>
  <c r="E14" i="10"/>
  <c r="K14" i="10" s="1"/>
  <c r="S20" i="18"/>
  <c r="D1" i="18" s="1"/>
  <c r="E24" i="17" s="1"/>
  <c r="T27" i="10"/>
  <c r="G51" i="21" s="1"/>
  <c r="D14" i="18"/>
  <c r="E37" i="17" s="1"/>
  <c r="R24" i="12"/>
  <c r="H26" i="17"/>
  <c r="S5" i="18"/>
  <c r="S27" i="18" s="1"/>
  <c r="G27" i="20"/>
  <c r="E31" i="21"/>
  <c r="E17" i="6"/>
  <c r="F17" i="6" s="1"/>
  <c r="E14" i="18"/>
  <c r="D27" i="17"/>
  <c r="G41" i="20"/>
  <c r="D41" i="9"/>
  <c r="J7" i="12"/>
  <c r="C23" i="24"/>
  <c r="Q20" i="12"/>
  <c r="E27" i="17"/>
  <c r="G26" i="17"/>
  <c r="C14" i="10"/>
  <c r="D37" i="21" s="1"/>
  <c r="R5" i="18"/>
  <c r="R21" i="18" s="1"/>
  <c r="E26" i="17"/>
  <c r="G40" i="17"/>
  <c r="G31" i="21"/>
  <c r="R9" i="10"/>
  <c r="E31" i="17"/>
  <c r="R20" i="18"/>
  <c r="C1" i="18" s="1"/>
  <c r="D24" i="17" s="1"/>
  <c r="D24" i="24"/>
  <c r="E26" i="9"/>
  <c r="C14" i="12"/>
  <c r="H31" i="17"/>
  <c r="D40" i="17"/>
  <c r="C14" i="1"/>
  <c r="D37" i="4" s="1"/>
  <c r="T5" i="18"/>
  <c r="T27" i="18" s="1"/>
  <c r="G52" i="20" s="1"/>
  <c r="G41" i="21"/>
  <c r="G26" i="21"/>
  <c r="U20" i="18"/>
  <c r="F1" i="18" s="1"/>
  <c r="H24" i="20" s="1"/>
  <c r="S24" i="10"/>
  <c r="E26" i="10" s="1"/>
  <c r="G51" i="9" s="1"/>
  <c r="U24" i="18"/>
  <c r="E27" i="21"/>
  <c r="R4" i="15"/>
  <c r="C15" i="15" s="1"/>
  <c r="Q5" i="12"/>
  <c r="C15" i="12" s="1"/>
  <c r="J14" i="12" s="1"/>
  <c r="D31" i="21"/>
  <c r="R15" i="15"/>
  <c r="C26" i="15" s="1"/>
  <c r="D51" i="16" s="1"/>
  <c r="R11" i="15"/>
  <c r="E42" i="21"/>
  <c r="Q20" i="10"/>
  <c r="C1" i="10" s="1"/>
  <c r="D24" i="21" s="1"/>
  <c r="D41" i="17"/>
  <c r="R27" i="10"/>
  <c r="D51" i="21" s="1"/>
  <c r="E40" i="20"/>
  <c r="U5" i="18"/>
  <c r="U25" i="18" s="1"/>
  <c r="U26" i="18"/>
  <c r="H51" i="20" s="1"/>
  <c r="D37" i="17"/>
  <c r="S9" i="12"/>
  <c r="S27" i="10"/>
  <c r="E51" i="21" s="1"/>
  <c r="E51" i="20"/>
  <c r="G24" i="17"/>
  <c r="D15" i="1"/>
  <c r="E38" i="4" s="1"/>
  <c r="G37" i="20"/>
  <c r="D2" i="1"/>
  <c r="E25" i="4" s="1"/>
  <c r="N8" i="12"/>
  <c r="E24" i="20" l="1"/>
  <c r="R16" i="15"/>
  <c r="C27" i="15" s="1"/>
  <c r="D52" i="16" s="1"/>
  <c r="E40" i="13"/>
  <c r="S11" i="1"/>
  <c r="D1" i="1" s="1"/>
  <c r="E24" i="4" s="1"/>
  <c r="C23" i="8"/>
  <c r="D24" i="20"/>
  <c r="D37" i="20"/>
  <c r="E12" i="6"/>
  <c r="T26" i="18"/>
  <c r="G51" i="20" s="1"/>
  <c r="H27" i="20"/>
  <c r="E42" i="20"/>
  <c r="H40" i="17"/>
  <c r="D26" i="21"/>
  <c r="H42" i="17"/>
  <c r="E41" i="20"/>
  <c r="G12" i="6"/>
  <c r="I12" i="6" s="1"/>
  <c r="D26" i="20"/>
  <c r="D40" i="4"/>
  <c r="D23" i="24"/>
  <c r="G40" i="21"/>
  <c r="Q37" i="8"/>
  <c r="C31" i="8" s="1"/>
  <c r="C33" i="8" s="1"/>
  <c r="H37" i="17"/>
  <c r="H37" i="20"/>
  <c r="S10" i="12"/>
  <c r="C15" i="18"/>
  <c r="D38" i="17" s="1"/>
  <c r="F27" i="18"/>
  <c r="H52" i="17"/>
  <c r="J5" i="1"/>
  <c r="Q21" i="12"/>
  <c r="C2" i="12" s="1"/>
  <c r="D25" i="13" s="1"/>
  <c r="H24" i="17"/>
  <c r="R12" i="15"/>
  <c r="C2" i="15" s="1"/>
  <c r="D25" i="16" s="1"/>
  <c r="S8" i="12"/>
  <c r="L13" i="12"/>
  <c r="J6" i="1"/>
  <c r="J7" i="1" s="1"/>
  <c r="S4" i="15"/>
  <c r="S15" i="15"/>
  <c r="D14" i="15"/>
  <c r="E37" i="16" s="1"/>
  <c r="R5" i="10"/>
  <c r="R24" i="10"/>
  <c r="D26" i="10" s="1"/>
  <c r="E51" i="9" s="1"/>
  <c r="R20" i="10"/>
  <c r="D14" i="10"/>
  <c r="J14" i="10" s="1"/>
  <c r="C17" i="6"/>
  <c r="D17" i="6" s="1"/>
  <c r="B17" i="6"/>
  <c r="G17" i="6"/>
  <c r="H17" i="6" s="1"/>
  <c r="C15" i="1"/>
  <c r="D38" i="4" s="1"/>
  <c r="R12" i="1"/>
  <c r="C2" i="1" s="1"/>
  <c r="D25" i="4" s="1"/>
  <c r="D24" i="9"/>
  <c r="Q10" i="12"/>
  <c r="D38" i="13"/>
  <c r="E15" i="18"/>
  <c r="T21" i="18"/>
  <c r="K13" i="12"/>
  <c r="D42" i="4"/>
  <c r="R11" i="1"/>
  <c r="I14" i="10"/>
  <c r="D37" i="9"/>
  <c r="S16" i="1"/>
  <c r="G37" i="17"/>
  <c r="L14" i="18"/>
  <c r="D41" i="4"/>
  <c r="E42" i="4"/>
  <c r="E42" i="13"/>
  <c r="E41" i="13"/>
  <c r="E41" i="4"/>
  <c r="I6" i="15"/>
  <c r="I7" i="15" s="1"/>
  <c r="J5" i="15"/>
  <c r="J6" i="15" s="1"/>
  <c r="J7" i="15" s="1"/>
  <c r="R5" i="12"/>
  <c r="R9" i="12"/>
  <c r="G42" i="21"/>
  <c r="G42" i="9"/>
  <c r="D42" i="9"/>
  <c r="D42" i="21"/>
  <c r="E41" i="21"/>
  <c r="E41" i="9"/>
  <c r="D40" i="21"/>
  <c r="D40" i="9"/>
  <c r="S5" i="10"/>
  <c r="S20" i="10"/>
  <c r="E1" i="10" s="1"/>
  <c r="S9" i="10"/>
  <c r="Q5" i="10"/>
  <c r="Q9" i="10"/>
  <c r="G27" i="9"/>
  <c r="G27" i="21"/>
  <c r="D27" i="9"/>
  <c r="D27" i="21"/>
  <c r="G31" i="17"/>
  <c r="G31" i="20"/>
  <c r="D31" i="17"/>
  <c r="D31" i="20"/>
  <c r="T39" i="8"/>
  <c r="E52" i="20"/>
  <c r="F15" i="18"/>
  <c r="U27" i="18"/>
  <c r="H52" i="20" s="1"/>
  <c r="U21" i="18"/>
  <c r="C1" i="15"/>
  <c r="C2" i="18"/>
  <c r="R18" i="18"/>
  <c r="C11" i="18" s="1"/>
  <c r="C1" i="12"/>
  <c r="D26" i="12"/>
  <c r="G37" i="21"/>
  <c r="G37" i="9"/>
  <c r="E51" i="17"/>
  <c r="D26" i="18"/>
  <c r="C24" i="8"/>
  <c r="G38" i="13"/>
  <c r="L14" i="12"/>
  <c r="D38" i="16"/>
  <c r="H51" i="17"/>
  <c r="F26" i="18"/>
  <c r="D37" i="13"/>
  <c r="J13" i="12"/>
  <c r="E24" i="16"/>
  <c r="D15" i="18"/>
  <c r="S25" i="18"/>
  <c r="V24" i="18" s="1"/>
  <c r="W25" i="18" s="1"/>
  <c r="S21" i="18"/>
  <c r="K14" i="18"/>
  <c r="E37" i="20"/>
  <c r="D1" i="12"/>
  <c r="S21" i="12"/>
  <c r="S25" i="12"/>
  <c r="E27" i="12" s="1"/>
  <c r="G52" i="13" s="1"/>
  <c r="D14" i="24"/>
  <c r="M12" i="1"/>
  <c r="K6" i="24"/>
  <c r="M12" i="15"/>
  <c r="E39" i="9"/>
  <c r="H39" i="17"/>
  <c r="E39" i="17"/>
  <c r="S8" i="1" l="1"/>
  <c r="D11" i="1" s="1"/>
  <c r="E33" i="4" s="1"/>
  <c r="E34" i="4" s="1"/>
  <c r="J11" i="1"/>
  <c r="R8" i="15"/>
  <c r="C11" i="15" s="1"/>
  <c r="D33" i="16" s="1"/>
  <c r="D34" i="16" s="1"/>
  <c r="T11" i="1"/>
  <c r="C1" i="1"/>
  <c r="I11" i="1" s="1"/>
  <c r="C32" i="8"/>
  <c r="E37" i="9"/>
  <c r="D38" i="20"/>
  <c r="Q18" i="12"/>
  <c r="C11" i="12" s="1"/>
  <c r="D33" i="13" s="1"/>
  <c r="D34" i="13" s="1"/>
  <c r="E37" i="21"/>
  <c r="J15" i="18"/>
  <c r="J17" i="6"/>
  <c r="R8" i="1"/>
  <c r="C11" i="1" s="1"/>
  <c r="D33" i="4" s="1"/>
  <c r="D34" i="4" s="1"/>
  <c r="S25" i="10"/>
  <c r="E27" i="10" s="1"/>
  <c r="G52" i="9" s="1"/>
  <c r="T28" i="10"/>
  <c r="G52" i="21" s="1"/>
  <c r="E15" i="10"/>
  <c r="S21" i="10"/>
  <c r="S10" i="10"/>
  <c r="S8" i="10" s="1"/>
  <c r="R21" i="12"/>
  <c r="R25" i="12"/>
  <c r="D27" i="12" s="1"/>
  <c r="E52" i="13" s="1"/>
  <c r="D15" i="12"/>
  <c r="R10" i="12"/>
  <c r="R8" i="12" s="1"/>
  <c r="D27" i="1"/>
  <c r="E52" i="4" s="1"/>
  <c r="T15" i="1"/>
  <c r="U16" i="1" s="1"/>
  <c r="B31" i="1" s="1"/>
  <c r="E2" i="18"/>
  <c r="T18" i="18"/>
  <c r="E11" i="18" s="1"/>
  <c r="D1" i="10"/>
  <c r="R21" i="10"/>
  <c r="D2" i="10" s="1"/>
  <c r="S28" i="10"/>
  <c r="E52" i="21" s="1"/>
  <c r="D15" i="10"/>
  <c r="R25" i="10"/>
  <c r="R10" i="10"/>
  <c r="R8" i="10" s="1"/>
  <c r="D26" i="15"/>
  <c r="E51" i="16" s="1"/>
  <c r="C15" i="10"/>
  <c r="Q21" i="10"/>
  <c r="R28" i="10"/>
  <c r="Q10" i="10"/>
  <c r="G24" i="21"/>
  <c r="G24" i="9"/>
  <c r="G38" i="17"/>
  <c r="G38" i="20"/>
  <c r="L15" i="18"/>
  <c r="Q8" i="12"/>
  <c r="G14" i="1"/>
  <c r="I17" i="6"/>
  <c r="D15" i="15"/>
  <c r="S12" i="15"/>
  <c r="S16" i="15"/>
  <c r="D27" i="15" s="1"/>
  <c r="E52" i="16" s="1"/>
  <c r="D2" i="18"/>
  <c r="S18" i="18"/>
  <c r="D11" i="18" s="1"/>
  <c r="V20" i="18"/>
  <c r="K15" i="18"/>
  <c r="E38" i="20"/>
  <c r="E38" i="17"/>
  <c r="B31" i="18"/>
  <c r="D55" i="17"/>
  <c r="E51" i="13"/>
  <c r="D33" i="17"/>
  <c r="D34" i="17" s="1"/>
  <c r="D33" i="20"/>
  <c r="D34" i="20" s="1"/>
  <c r="B21" i="1"/>
  <c r="U12" i="1"/>
  <c r="B22" i="1" s="1"/>
  <c r="D46" i="4" s="1"/>
  <c r="F2" i="18"/>
  <c r="U18" i="18"/>
  <c r="F11" i="18" s="1"/>
  <c r="H38" i="20"/>
  <c r="H38" i="17"/>
  <c r="M18" i="24"/>
  <c r="M19" i="24" s="1"/>
  <c r="Q15" i="24" s="1"/>
  <c r="C26" i="24"/>
  <c r="S18" i="12"/>
  <c r="E11" i="12" s="1"/>
  <c r="G33" i="13" s="1"/>
  <c r="G34" i="13" s="1"/>
  <c r="E2" i="12"/>
  <c r="E24" i="13"/>
  <c r="D27" i="18"/>
  <c r="E52" i="17"/>
  <c r="O23" i="18"/>
  <c r="D24" i="13"/>
  <c r="I11" i="12"/>
  <c r="D25" i="20"/>
  <c r="J11" i="18"/>
  <c r="D25" i="17"/>
  <c r="Q34" i="16"/>
  <c r="D24" i="16"/>
  <c r="I11" i="15"/>
  <c r="V26" i="18"/>
  <c r="W27" i="18" s="1"/>
  <c r="D55" i="20" s="1"/>
  <c r="M11" i="1" l="1"/>
  <c r="N12" i="1" s="1"/>
  <c r="D24" i="4"/>
  <c r="N15" i="1"/>
  <c r="G13" i="1"/>
  <c r="H14" i="1" s="1"/>
  <c r="E32" i="12"/>
  <c r="F33" i="12" s="1"/>
  <c r="U9" i="10"/>
  <c r="V10" i="10" s="1"/>
  <c r="J21" i="18"/>
  <c r="O8" i="18" s="1"/>
  <c r="D2" i="15"/>
  <c r="S8" i="15"/>
  <c r="D11" i="15" s="1"/>
  <c r="E33" i="16" s="1"/>
  <c r="E34" i="16" s="1"/>
  <c r="T11" i="15"/>
  <c r="C2" i="10"/>
  <c r="Q18" i="10"/>
  <c r="C11" i="10" s="1"/>
  <c r="U20" i="10"/>
  <c r="U24" i="10"/>
  <c r="V25" i="10" s="1"/>
  <c r="B31" i="10" s="1"/>
  <c r="D55" i="9" s="1"/>
  <c r="D27" i="10"/>
  <c r="J11" i="10"/>
  <c r="E24" i="9"/>
  <c r="E24" i="21"/>
  <c r="G33" i="17"/>
  <c r="G34" i="17" s="1"/>
  <c r="G33" i="20"/>
  <c r="G34" i="20" s="1"/>
  <c r="D55" i="4"/>
  <c r="F3" i="1"/>
  <c r="G38" i="9"/>
  <c r="G38" i="21"/>
  <c r="K15" i="10"/>
  <c r="Q8" i="10"/>
  <c r="U24" i="12"/>
  <c r="V25" i="12" s="1"/>
  <c r="B31" i="12" s="1"/>
  <c r="F3" i="12" s="1"/>
  <c r="E38" i="16"/>
  <c r="G14" i="15"/>
  <c r="U9" i="12"/>
  <c r="V10" i="12" s="1"/>
  <c r="D52" i="21"/>
  <c r="U27" i="10"/>
  <c r="V28" i="10" s="1"/>
  <c r="D55" i="21" s="1"/>
  <c r="D38" i="9"/>
  <c r="D38" i="21"/>
  <c r="I15" i="10"/>
  <c r="T15" i="15"/>
  <c r="U16" i="15" s="1"/>
  <c r="B31" i="15" s="1"/>
  <c r="E38" i="21"/>
  <c r="J15" i="10"/>
  <c r="E38" i="9"/>
  <c r="E25" i="21"/>
  <c r="E25" i="9"/>
  <c r="R18" i="10"/>
  <c r="D11" i="10" s="1"/>
  <c r="L11" i="18"/>
  <c r="G25" i="20"/>
  <c r="G25" i="17"/>
  <c r="K14" i="12"/>
  <c r="M13" i="12" s="1"/>
  <c r="E38" i="13"/>
  <c r="G14" i="12"/>
  <c r="D2" i="12"/>
  <c r="R18" i="12"/>
  <c r="D11" i="12" s="1"/>
  <c r="E33" i="13" s="1"/>
  <c r="E34" i="13" s="1"/>
  <c r="U20" i="12"/>
  <c r="S18" i="10"/>
  <c r="E11" i="10" s="1"/>
  <c r="E2" i="10"/>
  <c r="B23" i="24"/>
  <c r="Q16" i="24"/>
  <c r="Q17" i="24" s="1"/>
  <c r="H25" i="17"/>
  <c r="H25" i="20"/>
  <c r="E33" i="17"/>
  <c r="E34" i="17" s="1"/>
  <c r="E33" i="20"/>
  <c r="E34" i="20" s="1"/>
  <c r="K11" i="12"/>
  <c r="G25" i="13"/>
  <c r="H33" i="17"/>
  <c r="H34" i="17" s="1"/>
  <c r="H33" i="20"/>
  <c r="H34" i="20" s="1"/>
  <c r="F1" i="1"/>
  <c r="F2" i="1" s="1"/>
  <c r="D45" i="4"/>
  <c r="W21" i="18"/>
  <c r="B21" i="18"/>
  <c r="D45" i="17"/>
  <c r="D45" i="20"/>
  <c r="K11" i="18"/>
  <c r="E25" i="17"/>
  <c r="E25" i="20"/>
  <c r="D55" i="13" l="1"/>
  <c r="I21" i="10"/>
  <c r="N8" i="10" s="1"/>
  <c r="G33" i="9"/>
  <c r="G34" i="9" s="1"/>
  <c r="G33" i="21"/>
  <c r="G34" i="21" s="1"/>
  <c r="E33" i="21"/>
  <c r="E34" i="21" s="1"/>
  <c r="E33" i="9"/>
  <c r="E34" i="9" s="1"/>
  <c r="D55" i="16"/>
  <c r="F3" i="15"/>
  <c r="D33" i="21"/>
  <c r="D34" i="21" s="1"/>
  <c r="D33" i="9"/>
  <c r="D34" i="9" s="1"/>
  <c r="B21" i="15"/>
  <c r="U12" i="15"/>
  <c r="B22" i="15" s="1"/>
  <c r="D46" i="16" s="1"/>
  <c r="E25" i="16"/>
  <c r="J11" i="15"/>
  <c r="G13" i="15"/>
  <c r="H14" i="15" s="1"/>
  <c r="M11" i="15"/>
  <c r="N12" i="15" s="1"/>
  <c r="M8" i="15"/>
  <c r="K11" i="10"/>
  <c r="G25" i="21"/>
  <c r="G25" i="9"/>
  <c r="V21" i="12"/>
  <c r="B22" i="12" s="1"/>
  <c r="D46" i="13" s="1"/>
  <c r="B21" i="12"/>
  <c r="E25" i="13"/>
  <c r="J11" i="12"/>
  <c r="G13" i="12"/>
  <c r="H14" i="12" s="1"/>
  <c r="E52" i="9"/>
  <c r="N23" i="10"/>
  <c r="B21" i="10"/>
  <c r="V21" i="10"/>
  <c r="B22" i="10" s="1"/>
  <c r="D25" i="21"/>
  <c r="D25" i="9"/>
  <c r="I11" i="10"/>
  <c r="G24" i="24"/>
  <c r="J24" i="24"/>
  <c r="B25" i="24"/>
  <c r="B26" i="24"/>
  <c r="D26" i="24" s="1"/>
  <c r="B24" i="24"/>
  <c r="D46" i="20"/>
  <c r="B22" i="18"/>
  <c r="G21" i="18" s="1"/>
  <c r="D46" i="17"/>
  <c r="D46" i="21" l="1"/>
  <c r="D46" i="9"/>
  <c r="F21" i="10"/>
  <c r="F1" i="10" s="1"/>
  <c r="F2" i="10" s="1"/>
  <c r="F1" i="15"/>
  <c r="F2" i="15" s="1"/>
  <c r="D45" i="16"/>
  <c r="D45" i="9"/>
  <c r="D45" i="21"/>
  <c r="D45" i="13"/>
  <c r="F1" i="12"/>
  <c r="F2" i="12" s="1"/>
  <c r="G1" i="18"/>
  <c r="G2" i="18" s="1"/>
</calcChain>
</file>

<file path=xl/sharedStrings.xml><?xml version="1.0" encoding="utf-8"?>
<sst xmlns="http://schemas.openxmlformats.org/spreadsheetml/2006/main" count="1435" uniqueCount="267">
  <si>
    <t>Макс тор. сила лев</t>
  </si>
  <si>
    <t>Н</t>
  </si>
  <si>
    <t>Макс тор. сила рав</t>
  </si>
  <si>
    <t>Соп. роликов лев.</t>
  </si>
  <si>
    <t>Соп. роликов прав</t>
  </si>
  <si>
    <t>Давлениесрабатыван</t>
  </si>
  <si>
    <t>бар</t>
  </si>
  <si>
    <t>Макс. измеренное Р1</t>
  </si>
  <si>
    <t>Макс. измеренное Р2</t>
  </si>
  <si>
    <t>Макс. усилие пед Рп.</t>
  </si>
  <si>
    <t>Расчетное давление</t>
  </si>
  <si>
    <t>Разница при блокир.</t>
  </si>
  <si>
    <t>%</t>
  </si>
  <si>
    <t>Макс. разница</t>
  </si>
  <si>
    <t>Овальность лев.</t>
  </si>
  <si>
    <t>Овальность прав.</t>
  </si>
  <si>
    <t>Нагр. на колесо лев.</t>
  </si>
  <si>
    <t>кг</t>
  </si>
  <si>
    <t>Нагр. на колесоправ.</t>
  </si>
  <si>
    <t>Нагрю на ось</t>
  </si>
  <si>
    <t>Время срабат. лев.</t>
  </si>
  <si>
    <t>с</t>
  </si>
  <si>
    <t>Время срабат. прав.</t>
  </si>
  <si>
    <t>темп нажатия</t>
  </si>
  <si>
    <t>Общая тормоз. сила</t>
  </si>
  <si>
    <t>Уд. торм. сила (без нагр.)</t>
  </si>
  <si>
    <t>&gt;=40</t>
  </si>
  <si>
    <t>Уд. торм. сила (с нагр.)</t>
  </si>
  <si>
    <t>Стояночный тормоз: ось№</t>
  </si>
  <si>
    <t>Норматив</t>
  </si>
  <si>
    <t>Макс. тормоз. сила лев.</t>
  </si>
  <si>
    <t>Макс тормоз.силаюправ</t>
  </si>
  <si>
    <t>Разница приблокировке</t>
  </si>
  <si>
    <t>&lt;=30</t>
  </si>
  <si>
    <t>&gt;=16</t>
  </si>
  <si>
    <t>ліве</t>
  </si>
  <si>
    <t>праве</t>
  </si>
  <si>
    <t>-</t>
  </si>
  <si>
    <t>Технічно допустима маса</t>
  </si>
  <si>
    <t>Допустиме навантаження на 1 вісь</t>
  </si>
  <si>
    <t>Допустиме навантаження на 2 вісь</t>
  </si>
  <si>
    <t>Допустиме навантаження на 3 вісь</t>
  </si>
  <si>
    <t>осі</t>
  </si>
  <si>
    <t>колеса</t>
  </si>
  <si>
    <t>1вісь</t>
  </si>
  <si>
    <t>2 вісь</t>
  </si>
  <si>
    <t>Блокув Макс Нерівномірність %</t>
  </si>
  <si>
    <t>Hofmann - ПРОТОКОЛ ИСПЫТАНИЯ</t>
  </si>
  <si>
    <t>Дата</t>
  </si>
  <si>
    <t>Дата измерения:</t>
  </si>
  <si>
    <t>Фирма</t>
  </si>
  <si>
    <t>Улица</t>
  </si>
  <si>
    <t>АДРЕС:</t>
  </si>
  <si>
    <t>Город</t>
  </si>
  <si>
    <t>Тел..</t>
  </si>
  <si>
    <r>
      <t>Проверка тормозов</t>
    </r>
    <r>
      <rPr>
        <b/>
        <u/>
        <sz val="11"/>
        <color indexed="8"/>
        <rFont val="Times New Roman"/>
        <family val="1"/>
        <charset val="204"/>
      </rPr>
      <t>:</t>
    </r>
  </si>
  <si>
    <t>Рабочий тормоз: ось №:</t>
  </si>
  <si>
    <t>1&gt;</t>
  </si>
  <si>
    <t>2&gt;</t>
  </si>
  <si>
    <t>&lt;=686</t>
  </si>
  <si>
    <t>&lt;=25</t>
  </si>
  <si>
    <t>Контоль света фар:</t>
  </si>
  <si>
    <t>Интензия в люкс</t>
  </si>
  <si>
    <t>Левый:</t>
  </si>
  <si>
    <t>Позиция:</t>
  </si>
  <si>
    <r>
      <t xml:space="preserve">Дальний свет: </t>
    </r>
    <r>
      <rPr>
        <i/>
        <sz val="10"/>
        <color indexed="12"/>
        <rFont val="Times New Roman"/>
        <family val="1"/>
        <charset val="204"/>
      </rPr>
      <t>-</t>
    </r>
  </si>
  <si>
    <t>Правый:</t>
  </si>
  <si>
    <t>Прот.тум. фар</t>
  </si>
  <si>
    <t>Уд. торм.сила (без нагр.)</t>
  </si>
  <si>
    <t>Уд. торм.сила (с нагр.)</t>
  </si>
  <si>
    <r>
      <rPr>
        <sz val="9"/>
        <color indexed="8"/>
        <rFont val="TimesNewRomanPSMT"/>
      </rPr>
      <t>Отметка возле номера оси означает: „+“ - Стоп в ручном режиме; „</t>
    </r>
    <r>
      <rPr>
        <sz val="9"/>
        <color indexed="8"/>
        <rFont val="Times New Roman"/>
        <family val="1"/>
        <charset val="204"/>
      </rPr>
      <t>*</t>
    </r>
    <r>
      <rPr>
        <sz val="9"/>
        <color indexed="8"/>
        <rFont val="TimesNewRomanPSMT"/>
      </rPr>
      <t>“ - автомобиль выехал с роликов во время торможенияs</t>
    </r>
  </si>
  <si>
    <r>
      <t>2</t>
    </r>
    <r>
      <rPr>
        <b/>
        <sz val="8"/>
        <color indexed="8"/>
        <rFont val="Times New Roman"/>
        <family val="1"/>
        <charset val="204"/>
      </rPr>
      <t>&gt;</t>
    </r>
  </si>
  <si>
    <t>Макс тор. сила прав</t>
  </si>
  <si>
    <t>VIN</t>
  </si>
  <si>
    <t>Нагр. на колесо прав.</t>
  </si>
  <si>
    <t>Соп. роликов прав.</t>
  </si>
  <si>
    <t>Нагр. на ось</t>
  </si>
  <si>
    <t>Токсичність</t>
  </si>
  <si>
    <t>1 труба</t>
  </si>
  <si>
    <t>2 труба</t>
  </si>
  <si>
    <t>Бензин</t>
  </si>
  <si>
    <r>
      <t>n</t>
    </r>
    <r>
      <rPr>
        <b/>
        <vertAlign val="subscript"/>
        <sz val="7"/>
        <rFont val="Times New Roman"/>
        <family val="1"/>
        <charset val="204"/>
      </rPr>
      <t>min</t>
    </r>
  </si>
  <si>
    <t>800 ±100</t>
  </si>
  <si>
    <r>
      <t>n</t>
    </r>
    <r>
      <rPr>
        <b/>
        <vertAlign val="subscript"/>
        <sz val="7"/>
        <rFont val="Times New Roman"/>
        <family val="1"/>
        <charset val="204"/>
      </rPr>
      <t>підв.</t>
    </r>
  </si>
  <si>
    <t>2200 ±200</t>
  </si>
  <si>
    <t>2 труби</t>
  </si>
  <si>
    <t>Димність</t>
  </si>
  <si>
    <t>1 замір</t>
  </si>
  <si>
    <t>2 замір</t>
  </si>
  <si>
    <t>3 замір</t>
  </si>
  <si>
    <t>4 замір</t>
  </si>
  <si>
    <t>Середнє</t>
  </si>
  <si>
    <t>норма</t>
  </si>
  <si>
    <t>МАРКА</t>
  </si>
  <si>
    <t>МОДЕЛЬ</t>
  </si>
  <si>
    <t>ОДОМЕТЕР</t>
  </si>
  <si>
    <t>CO2</t>
  </si>
  <si>
    <t>температура</t>
  </si>
  <si>
    <t>СО2</t>
  </si>
  <si>
    <t>димність</t>
  </si>
  <si>
    <t>номер реєстраційний</t>
  </si>
  <si>
    <t>3 вісь</t>
  </si>
  <si>
    <t>номерний знак</t>
  </si>
  <si>
    <t>Ближний свет: -</t>
  </si>
  <si>
    <r>
      <t xml:space="preserve">Прот.тум. фары: </t>
    </r>
    <r>
      <rPr>
        <i/>
        <sz val="9"/>
        <color indexed="12"/>
        <rFont val="Times New Roman"/>
        <family val="1"/>
        <charset val="204"/>
      </rPr>
      <t>-</t>
    </r>
  </si>
  <si>
    <r>
      <t>Отметка возле номера оси означает: „+“ - Стоп в ручном режиме; „</t>
    </r>
    <r>
      <rPr>
        <sz val="8.5"/>
        <color indexed="8"/>
        <rFont val="Times New Roman"/>
        <family val="1"/>
        <charset val="204"/>
      </rPr>
      <t>*</t>
    </r>
    <r>
      <rPr>
        <sz val="8.5"/>
        <color indexed="8"/>
        <rFont val="TimesNewRomanPSMT"/>
      </rPr>
      <t>“ - автомобиль выехал с роликов во время торможенияs</t>
    </r>
  </si>
  <si>
    <r>
      <rPr>
        <sz val="10"/>
        <color indexed="8"/>
        <rFont val="Times New Roman"/>
        <family val="1"/>
        <charset val="204"/>
      </rPr>
      <t>Copyright by</t>
    </r>
    <r>
      <rPr>
        <b/>
        <sz val="10"/>
        <color indexed="8"/>
        <rFont val="Times New Roman"/>
        <family val="1"/>
        <charset val="204"/>
      </rPr>
      <t xml:space="preserve"> </t>
    </r>
    <r>
      <rPr>
        <sz val="10"/>
        <color indexed="8"/>
        <rFont val="Times New Roman"/>
        <family val="1"/>
        <charset val="204"/>
      </rPr>
      <t>Hofmann</t>
    </r>
  </si>
  <si>
    <t>SW-V 5.142C-U (XP/Win7)</t>
  </si>
  <si>
    <t>1 &lt;</t>
  </si>
  <si>
    <t>2 &lt;</t>
  </si>
  <si>
    <t xml:space="preserve">          Hofmann - ПРОТОКОЛ ИСПЫТАНИЯ</t>
  </si>
  <si>
    <t>multitest</t>
  </si>
  <si>
    <t>&gt;=43</t>
  </si>
  <si>
    <t>Макс гальм. Сила</t>
  </si>
  <si>
    <t>Навантаження на вісь</t>
  </si>
  <si>
    <t>&gt;=45</t>
  </si>
  <si>
    <t>45---56</t>
  </si>
  <si>
    <t>Ручний тормоз</t>
  </si>
  <si>
    <t>Робочий тормоз</t>
  </si>
  <si>
    <t>Робоче гальмо</t>
  </si>
  <si>
    <t>Стоянкове гальмо</t>
  </si>
  <si>
    <t>ПРОБЕГ, км</t>
  </si>
  <si>
    <t>НОМЕРНОЙ ЗНАК</t>
  </si>
  <si>
    <t>Підгаєцька, 3</t>
  </si>
  <si>
    <t xml:space="preserve">ФАМИЛИЯ </t>
  </si>
  <si>
    <t>КЛИЄНТА</t>
  </si>
  <si>
    <t>43020, м. Луцьк</t>
  </si>
  <si>
    <t>V 1,920</t>
  </si>
  <si>
    <t>3&gt;</t>
  </si>
  <si>
    <t>Время</t>
  </si>
  <si>
    <t>,</t>
  </si>
  <si>
    <t xml:space="preserve">тел./факс (03352)750770,   тел. (0332) </t>
  </si>
  <si>
    <t>НОМЕРНИЙ ЗНАК:</t>
  </si>
  <si>
    <t>ЗАВОДСЬКИЙ №:</t>
  </si>
  <si>
    <t>0,0</t>
  </si>
  <si>
    <t xml:space="preserve">  &gt;=16</t>
  </si>
  <si>
    <t>&lt;0,2</t>
  </si>
  <si>
    <t>(03352)750770</t>
  </si>
  <si>
    <t xml:space="preserve">   Підгаєцька, 3</t>
  </si>
  <si>
    <t xml:space="preserve"> 43020, м. Луцьк</t>
  </si>
  <si>
    <t>&lt;0,8</t>
  </si>
  <si>
    <t xml:space="preserve">   ЛВ КТЗ ТзОВ "Укрвеставто" д.№1</t>
  </si>
  <si>
    <t xml:space="preserve">                     </t>
  </si>
  <si>
    <t>2,3</t>
  </si>
  <si>
    <t>2,1</t>
  </si>
  <si>
    <t>2,4</t>
  </si>
  <si>
    <t>&lt; 0,2</t>
  </si>
  <si>
    <t>&lt; 0,8</t>
  </si>
  <si>
    <t xml:space="preserve"> тел./факс (03352)750770,   тел. (0332) </t>
  </si>
  <si>
    <t>&lt;0,5</t>
  </si>
  <si>
    <t>АС7941ВЕ</t>
  </si>
  <si>
    <t xml:space="preserve"> ПРОБЕГ, км</t>
  </si>
  <si>
    <t xml:space="preserve"> АДРЕС:</t>
  </si>
  <si>
    <t xml:space="preserve"> НОМЕРНИЙ ЗНАК:</t>
  </si>
  <si>
    <t xml:space="preserve"> КЛИЄНТА</t>
  </si>
  <si>
    <t xml:space="preserve"> ФАМИЛИЯ </t>
  </si>
  <si>
    <t>Допустиме навантаження на 4 вісь</t>
  </si>
  <si>
    <t>зміна</t>
  </si>
  <si>
    <t xml:space="preserve">      </t>
  </si>
  <si>
    <t>FC5468741</t>
  </si>
  <si>
    <t>Ручний тормоз СГС 2осі</t>
  </si>
  <si>
    <t>Ручний тормоз СГС 3осі</t>
  </si>
  <si>
    <t>Ручний тормоз_СГС 2осі</t>
  </si>
  <si>
    <t>Ручний тормоз_СГС 3осі</t>
  </si>
  <si>
    <t>.</t>
  </si>
  <si>
    <t>Стоянкове гальмо 1вісь</t>
  </si>
  <si>
    <t>Стоянкове гальмо 2 осі</t>
  </si>
  <si>
    <t>&gt;=50</t>
  </si>
  <si>
    <t>Лямбда</t>
  </si>
  <si>
    <t>до 01.04.2009</t>
  </si>
  <si>
    <t>Рівень еконорми</t>
  </si>
  <si>
    <t>Дата першої реєстрації</t>
  </si>
  <si>
    <t>СО, %</t>
  </si>
  <si>
    <t>СН, млн -1</t>
  </si>
  <si>
    <t>Обmin</t>
  </si>
  <si>
    <t>Обmax</t>
  </si>
  <si>
    <t>&lt;=4 циліндри</t>
  </si>
  <si>
    <t>&gt;4 циліндри</t>
  </si>
  <si>
    <t>ЄВРО-0, ЄВРО-1</t>
  </si>
  <si>
    <t>після  01.04.2009</t>
  </si>
  <si>
    <t>ЄВРО-2</t>
  </si>
  <si>
    <t>0,97…1,03</t>
  </si>
  <si>
    <t>ЄВРО-3,4,5,6</t>
  </si>
  <si>
    <t>Дата випробувань</t>
  </si>
  <si>
    <t>Номер</t>
  </si>
  <si>
    <t xml:space="preserve">Виробник </t>
  </si>
  <si>
    <t>Модель</t>
  </si>
  <si>
    <t>Дата реєстрації</t>
  </si>
  <si>
    <t>Паливо</t>
  </si>
  <si>
    <t>Класс</t>
  </si>
  <si>
    <t>RPM</t>
  </si>
  <si>
    <t>CO</t>
  </si>
  <si>
    <t>O2</t>
  </si>
  <si>
    <t>HC</t>
  </si>
  <si>
    <t>LAMBDA</t>
  </si>
  <si>
    <r>
      <t>CO</t>
    </r>
    <r>
      <rPr>
        <b/>
        <vertAlign val="subscript"/>
        <sz val="10"/>
        <rFont val="Cambria"/>
        <family val="1"/>
        <charset val="204"/>
      </rPr>
      <t>CORR</t>
    </r>
  </si>
  <si>
    <r>
      <t xml:space="preserve">ВИПРОБУВАННЯ ПРИ </t>
    </r>
    <r>
      <rPr>
        <b/>
        <sz val="10"/>
        <rFont val="Cambria"/>
        <family val="1"/>
        <charset val="204"/>
      </rPr>
      <t>ХОЛОСТИХ ОБЕРТАХ ДВИГУНА</t>
    </r>
  </si>
  <si>
    <r>
      <t xml:space="preserve">ВИПРОБУВАННЯ ПРИ </t>
    </r>
    <r>
      <rPr>
        <b/>
        <sz val="10"/>
        <rFont val="Cambria"/>
        <family val="1"/>
        <charset val="204"/>
      </rPr>
      <t>ПІДВИЩЕНИХ ОБЕРТАХ ДВИГУНА</t>
    </r>
  </si>
  <si>
    <t>Рівень Еконорми</t>
  </si>
  <si>
    <t>Кількість цил. Двигуна</t>
  </si>
  <si>
    <r>
      <t>СО</t>
    </r>
    <r>
      <rPr>
        <vertAlign val="subscript"/>
        <sz val="10"/>
        <rFont val="Cambria"/>
        <family val="1"/>
        <charset val="204"/>
      </rPr>
      <t>MIN</t>
    </r>
    <r>
      <rPr>
        <sz val="10"/>
        <rFont val="Cambria"/>
        <family val="1"/>
        <charset val="204"/>
      </rPr>
      <t>=</t>
    </r>
  </si>
  <si>
    <r>
      <t>СО</t>
    </r>
    <r>
      <rPr>
        <vertAlign val="subscript"/>
        <sz val="10"/>
        <rFont val="Cambria"/>
        <family val="1"/>
        <charset val="204"/>
      </rPr>
      <t>MAX</t>
    </r>
    <r>
      <rPr>
        <sz val="10"/>
        <rFont val="Cambria"/>
        <family val="1"/>
        <charset val="204"/>
      </rPr>
      <t>=</t>
    </r>
  </si>
  <si>
    <t>ВСІ ВИДИ ПАЛИВА</t>
  </si>
  <si>
    <t>НОРМАТИВНІ РОЗРАХУНКОВІ ЗНАЧЕННЯ ДЛЯ "НС"</t>
  </si>
  <si>
    <t>НОРМАТИВНІ ЗНАЧЕННЯ ДЛЯ "СО"</t>
  </si>
  <si>
    <t>НОРМАТИВНІ ЗНАЧЕННЯ ДЛЯ "НС"</t>
  </si>
  <si>
    <r>
      <t>НС</t>
    </r>
    <r>
      <rPr>
        <vertAlign val="subscript"/>
        <sz val="10"/>
        <rFont val="Cambria"/>
        <family val="1"/>
        <charset val="204"/>
      </rPr>
      <t>MIN</t>
    </r>
    <r>
      <rPr>
        <sz val="10"/>
        <rFont val="Cambria"/>
        <family val="1"/>
        <charset val="204"/>
      </rPr>
      <t>=</t>
    </r>
  </si>
  <si>
    <r>
      <t>НС</t>
    </r>
    <r>
      <rPr>
        <vertAlign val="subscript"/>
        <sz val="10"/>
        <rFont val="Cambria"/>
        <family val="1"/>
        <charset val="204"/>
      </rPr>
      <t>MAX</t>
    </r>
    <r>
      <rPr>
        <sz val="10"/>
        <rFont val="Cambria"/>
        <family val="1"/>
        <charset val="204"/>
      </rPr>
      <t>=</t>
    </r>
  </si>
  <si>
    <t>0,85….1,20</t>
  </si>
  <si>
    <t>Тактність двигуна</t>
  </si>
  <si>
    <t>ПРИЙНЯТІ ЗНАЧЕННЯ  ДЛЯ РОЗРАХУНКУ ЛЯМБДА</t>
  </si>
  <si>
    <t>ПРИЙНЯТІ ЗНАЧЕННЯ  ДЛЯ РОЗРАХУНКУ "СО", "СО2"</t>
  </si>
  <si>
    <t>ПРИЙНЯТІ ЗНАЧЕННЯ  ДЛЯ РОЗРАХУНКУ "СО2"</t>
  </si>
  <si>
    <t>СО2 ДЛЯ ЗАДАНИХ УМОВ</t>
  </si>
  <si>
    <t>Температура оливи</t>
  </si>
  <si>
    <t>Метан</t>
  </si>
  <si>
    <t>GPL</t>
  </si>
  <si>
    <t>Для оновлення всіх полів у ВОРД потрібно натиснути CTRL+A, F9</t>
  </si>
  <si>
    <t>НОРМАТИВ</t>
  </si>
  <si>
    <t>Час випробувань ТОКСИЧ</t>
  </si>
  <si>
    <t>КЛАСС</t>
  </si>
  <si>
    <t>Diesel</t>
  </si>
  <si>
    <t>Turbo Diesel</t>
  </si>
  <si>
    <t>Нормативне значення димності, м-1</t>
  </si>
  <si>
    <r>
      <rPr>
        <b/>
        <sz val="12"/>
        <rFont val="Cambria"/>
        <family val="1"/>
        <charset val="204"/>
      </rPr>
      <t>ПОТРІБНЕ СЕРЕДНЄ</t>
    </r>
    <r>
      <rPr>
        <sz val="12"/>
        <rFont val="Cambria"/>
        <family val="1"/>
        <charset val="204"/>
      </rPr>
      <t xml:space="preserve"> значення заміру димності, м-1</t>
    </r>
  </si>
  <si>
    <t>Максимальна швидкість обертання к.в.двигуна, хв-1</t>
  </si>
  <si>
    <t>Швидкість двигуна в режимі холостого ходу, хв-1</t>
  </si>
  <si>
    <t>Знаходимо діапазон випадкових чисел</t>
  </si>
  <si>
    <t>мин</t>
  </si>
  <si>
    <t>макс</t>
  </si>
  <si>
    <t>Euro 4 vechicle or later</t>
  </si>
  <si>
    <t>Значення замірів заносяться в протокол</t>
  </si>
  <si>
    <t>нижня</t>
  </si>
  <si>
    <t>верхня</t>
  </si>
  <si>
    <t>Значення відхилення для отримання замірів</t>
  </si>
  <si>
    <t>К-1</t>
  </si>
  <si>
    <t>Хол.Об</t>
  </si>
  <si>
    <t>Мак.Об</t>
  </si>
  <si>
    <t>Проміжні Заміри димності</t>
  </si>
  <si>
    <t>Похибка  обертів при випробуваннях МАКС</t>
  </si>
  <si>
    <t>Похибка  обертів при випробуваннях ХОЛОСТ. ХІД</t>
  </si>
  <si>
    <t>Δk =</t>
  </si>
  <si>
    <t>ГРАНИЧНО ДОПУСТИМИЙ ВМІСТ ДИМНОСТІ З ЗАВОДСЬКОЇ ТАБЛИЧКИ ЧИ НАКЛЕЙКИ З МОТОРНОГО ВІДСІКУ</t>
  </si>
  <si>
    <t>Поля допуску значень від потрібного середнього . Обирається найменший</t>
  </si>
  <si>
    <r>
      <rPr>
        <b/>
        <sz val="12"/>
        <rFont val="Cambria"/>
        <family val="1"/>
        <charset val="204"/>
      </rPr>
      <t>РЕКОМЕНДОВАНА Крайня макс. межа</t>
    </r>
    <r>
      <rPr>
        <sz val="12"/>
        <rFont val="Cambria"/>
        <family val="1"/>
        <charset val="204"/>
      </rPr>
      <t xml:space="preserve"> діапазону вибору середнього зн. Димності</t>
    </r>
  </si>
  <si>
    <t>ДЛЯ ВКАЗУВАННЯ ГОДЕН ДЛЯ ЛЯМБДА</t>
  </si>
  <si>
    <t>ГОДЕН</t>
  </si>
  <si>
    <t>НЕГОДЕН</t>
  </si>
  <si>
    <t>БЕНЗИН</t>
  </si>
  <si>
    <t>ДИЗЕЛЬ</t>
  </si>
  <si>
    <t>ПИЛИВО</t>
  </si>
  <si>
    <t>номер автоматично</t>
  </si>
  <si>
    <t>номер  реєстраційни</t>
  </si>
  <si>
    <t>зміна вручну</t>
  </si>
  <si>
    <t>зміна автоматично</t>
  </si>
  <si>
    <t>ЧАС ГАЛЬМА</t>
  </si>
  <si>
    <t>ЧАС З ВИКИДІВ</t>
  </si>
  <si>
    <t>ДАТА</t>
  </si>
  <si>
    <t>ОБНОВІТЬ СТОРІНКУ. F9</t>
  </si>
  <si>
    <t>Т0326</t>
  </si>
  <si>
    <t>повна м аса</t>
  </si>
  <si>
    <t>&lt;=490</t>
  </si>
  <si>
    <t>5583</t>
  </si>
  <si>
    <t>7777</t>
  </si>
  <si>
    <t>ДЛЯ ХХ Corr</t>
  </si>
  <si>
    <t>ДЛЯ ПІДВИЩЕНИХ ОБЕРТІВ В ТАБЛИЧЦІ  для ЛЯМБДИ</t>
  </si>
  <si>
    <t>ДЛЯ  ЗАГАЛЬНОГО ВИСНОВКУ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</si>
</sst>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&quot;₴&quot;_-;\-* #,##0.00&quot;₴&quot;_-;_-* &quot;-&quot;??&quot;₴&quot;_-;_-@_-"/>
    <numFmt numFmtId="165" formatCode="[$-F400]h:mm:ss\ AM/PM"/>
    <numFmt numFmtId="166" formatCode="h:mm:ss;@"/>
    <numFmt numFmtId="167" formatCode="dd\.mm\.yyyy"/>
    <numFmt numFmtId="168" formatCode="hh:mm:ss;@"/>
    <numFmt numFmtId="169" formatCode="0.0"/>
    <numFmt numFmtId="170" formatCode="0\Н"/>
    <numFmt numFmtId="171" formatCode="dd\.mm\.yyyy;@"/>
    <numFmt numFmtId="172" formatCode="0.000"/>
  </numFmts>
  <fonts count="10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sz val="8"/>
      <name val="Arial Cyr"/>
      <charset val="204"/>
    </font>
    <font>
      <sz val="9"/>
      <color indexed="8"/>
      <name val="TimesNewRomanPSMT"/>
      <charset val="204"/>
    </font>
    <font>
      <i/>
      <sz val="9"/>
      <color indexed="12"/>
      <name val="TimesNewRomanPSMT"/>
      <charset val="204"/>
    </font>
    <font>
      <sz val="10"/>
      <color indexed="22"/>
      <name val="TimesNewRomanPSMT"/>
      <charset val="204"/>
    </font>
    <font>
      <sz val="10"/>
      <name val="TimesNewRomanPSMT"/>
      <charset val="204"/>
    </font>
    <font>
      <sz val="8"/>
      <name val="TimesNewRomanPSMT"/>
      <charset val="204"/>
    </font>
    <font>
      <sz val="8"/>
      <color indexed="22"/>
      <name val="TimesNewRomanPSMT"/>
      <charset val="204"/>
    </font>
    <font>
      <sz val="9"/>
      <name val="TimesNewRomanPSMT"/>
      <charset val="204"/>
    </font>
    <font>
      <b/>
      <sz val="9"/>
      <color indexed="8"/>
      <name val="TimesNewRomanPSMT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9"/>
      <color indexed="8"/>
      <name val="TimesNewRomanPSMT"/>
    </font>
    <font>
      <i/>
      <sz val="10"/>
      <color indexed="12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9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b/>
      <vertAlign val="subscript"/>
      <sz val="7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NewRomanPSMT"/>
    </font>
    <font>
      <b/>
      <u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i/>
      <sz val="9"/>
      <color indexed="12"/>
      <name val="TimesNewRomanPSMT"/>
    </font>
    <font>
      <i/>
      <sz val="9"/>
      <color indexed="12"/>
      <name val="Times New Roman"/>
      <family val="1"/>
      <charset val="204"/>
    </font>
    <font>
      <b/>
      <sz val="8"/>
      <color indexed="8"/>
      <name val="TimesNewRomanPSMT"/>
    </font>
    <font>
      <i/>
      <sz val="10"/>
      <color indexed="12"/>
      <name val="TimesNewRomanPSMT"/>
      <charset val="204"/>
    </font>
    <font>
      <sz val="11"/>
      <color indexed="8"/>
      <name val="TimesNewRomanPSMT"/>
    </font>
    <font>
      <u/>
      <sz val="9"/>
      <color indexed="8"/>
      <name val="TimesNewRomanPSMT"/>
    </font>
    <font>
      <sz val="10"/>
      <name val="_KOVEL_MOTORSCAN"/>
    </font>
    <font>
      <sz val="16"/>
      <name val="Arial Cyr"/>
      <charset val="204"/>
    </font>
    <font>
      <i/>
      <sz val="9"/>
      <color indexed="8"/>
      <name val="TimesNewRomanPSMT"/>
      <charset val="204"/>
    </font>
    <font>
      <sz val="8.5"/>
      <color indexed="8"/>
      <name val="TimesNewRomanPSMT"/>
    </font>
    <font>
      <sz val="8.5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 Cyr"/>
      <charset val="204"/>
    </font>
    <font>
      <b/>
      <sz val="14"/>
      <color indexed="8"/>
      <name val="Times New Roman"/>
      <family val="1"/>
      <charset val="204"/>
    </font>
    <font>
      <sz val="9"/>
      <color indexed="8"/>
      <name val="TimesNewRomanPSMT"/>
    </font>
    <font>
      <sz val="10"/>
      <color indexed="8"/>
      <name val="TimesNewRomanPSMT"/>
    </font>
    <font>
      <i/>
      <sz val="8"/>
      <color indexed="12"/>
      <name val="Times New Roman"/>
      <family val="1"/>
      <charset val="204"/>
    </font>
    <font>
      <b/>
      <u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indexed="12"/>
      <name val="TimesNewRomanPSMT"/>
    </font>
    <font>
      <i/>
      <sz val="9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8"/>
      <name val="TimesNewRomanPSMT"/>
    </font>
    <font>
      <i/>
      <sz val="10"/>
      <color indexed="12"/>
      <name val="TimesNewRomanPSMT"/>
      <charset val="204"/>
    </font>
    <font>
      <sz val="11"/>
      <color indexed="8"/>
      <name val="TimesNewRomanPSMT"/>
    </font>
    <font>
      <i/>
      <sz val="10"/>
      <color indexed="12"/>
      <name val="TimesNewRomanPSMT"/>
      <charset val="204"/>
    </font>
    <font>
      <b/>
      <sz val="12"/>
      <color indexed="8"/>
      <name val="Times New Roman"/>
      <family val="1"/>
      <charset val="204"/>
    </font>
    <font>
      <i/>
      <sz val="9"/>
      <color indexed="12"/>
      <name val="TimesNewRomanPSMT"/>
      <charset val="204"/>
    </font>
    <font>
      <sz val="11"/>
      <color indexed="12"/>
      <name val="TimesNewRomanPSMT"/>
    </font>
    <font>
      <sz val="8"/>
      <color indexed="8"/>
      <name val="TimesNewRomanPSMT"/>
    </font>
    <font>
      <u/>
      <sz val="9"/>
      <color indexed="8"/>
      <name val="TimesNewRomanPSMT"/>
    </font>
    <font>
      <i/>
      <sz val="9"/>
      <name val="TimesNewRomanPSMT"/>
      <charset val="204"/>
    </font>
    <font>
      <i/>
      <sz val="10"/>
      <name val="Arial Cyr"/>
      <charset val="204"/>
    </font>
    <font>
      <i/>
      <sz val="10"/>
      <color indexed="8"/>
      <name val="TimesNewRomanPSMT"/>
    </font>
    <font>
      <sz val="10"/>
      <color indexed="12"/>
      <name val="TimesNewRomanPSMT"/>
    </font>
    <font>
      <b/>
      <sz val="16"/>
      <name val="Arial Cyr"/>
      <charset val="204"/>
    </font>
    <font>
      <b/>
      <sz val="14"/>
      <name val="TimesNewRomanPSMT"/>
      <charset val="204"/>
    </font>
    <font>
      <b/>
      <sz val="11"/>
      <name val="Arial Cyr"/>
      <charset val="204"/>
    </font>
    <font>
      <sz val="10"/>
      <name val="Cambria"/>
      <family val="1"/>
      <charset val="204"/>
    </font>
    <font>
      <b/>
      <sz val="10"/>
      <name val="Cambria"/>
      <family val="1"/>
      <charset val="204"/>
    </font>
    <font>
      <vertAlign val="subscript"/>
      <sz val="10"/>
      <name val="Cambria"/>
      <family val="1"/>
      <charset val="204"/>
    </font>
    <font>
      <b/>
      <vertAlign val="subscript"/>
      <sz val="10"/>
      <name val="Cambria"/>
      <family val="1"/>
      <charset val="204"/>
    </font>
    <font>
      <sz val="12"/>
      <name val="TimesNewRomanPSMT"/>
      <charset val="204"/>
    </font>
    <font>
      <sz val="12"/>
      <name val="Times New Roman"/>
      <family val="1"/>
      <charset val="204"/>
    </font>
    <font>
      <sz val="12"/>
      <name val="Cambria"/>
      <family val="1"/>
      <charset val="204"/>
    </font>
    <font>
      <b/>
      <sz val="12"/>
      <name val="Cambria"/>
      <family val="1"/>
      <charset val="204"/>
    </font>
    <font>
      <sz val="12"/>
      <name val="Calibri"/>
      <family val="2"/>
      <charset val="204"/>
    </font>
    <font>
      <b/>
      <sz val="10"/>
      <name val="TimesNewRomanPSMT"/>
      <charset val="204"/>
    </font>
    <font>
      <i/>
      <sz val="8"/>
      <color indexed="12"/>
      <name val="TimesNewRomanPSMT"/>
    </font>
    <font>
      <sz val="8"/>
      <color theme="1"/>
      <name val="Times New Roman"/>
      <family val="1"/>
      <charset val="204"/>
    </font>
    <font>
      <sz val="12"/>
      <color rgb="FF000000"/>
      <name val="Verdana"/>
      <family val="2"/>
      <charset val="204"/>
    </font>
    <font>
      <i/>
      <sz val="9"/>
      <color rgb="FF3A20D6"/>
      <name val="TimesNewRomanPSMT"/>
      <charset val="204"/>
    </font>
    <font>
      <i/>
      <sz val="9"/>
      <color rgb="FF0000FF"/>
      <name val="TimesNewRomanPSMT"/>
      <charset val="204"/>
    </font>
    <font>
      <sz val="10"/>
      <color theme="1"/>
      <name val="Arial Cyr"/>
      <charset val="204"/>
    </font>
    <font>
      <sz val="10"/>
      <color theme="1"/>
      <name val="TimesNewRomanPSMT"/>
      <charset val="204"/>
    </font>
    <font>
      <sz val="10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sz val="14"/>
      <name val="Cambria"/>
      <family val="1"/>
      <charset val="204"/>
      <scheme val="major"/>
    </font>
    <font>
      <sz val="15"/>
      <name val="Cambria"/>
      <family val="1"/>
      <charset val="204"/>
      <scheme val="major"/>
    </font>
    <font>
      <b/>
      <sz val="15"/>
      <name val="Cambria"/>
      <family val="1"/>
      <charset val="204"/>
      <scheme val="major"/>
    </font>
    <font>
      <sz val="20"/>
      <name val="Cambria"/>
      <family val="1"/>
      <charset val="204"/>
      <scheme val="major"/>
    </font>
    <font>
      <sz val="9"/>
      <name val="Cambria"/>
      <family val="1"/>
      <charset val="204"/>
      <scheme val="major"/>
    </font>
    <font>
      <sz val="17"/>
      <name val="Cambria"/>
      <family val="1"/>
      <charset val="204"/>
      <scheme val="major"/>
    </font>
    <font>
      <i/>
      <sz val="9"/>
      <color theme="0"/>
      <name val="TimesNewRomanPSMT"/>
    </font>
    <font>
      <sz val="9"/>
      <color rgb="FF0000FF"/>
      <name val="TimesNewRomanPSMT"/>
    </font>
  </fonts>
  <fills count="2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9">
    <xf numFmtId="0" fontId="0" fillId="0" borderId="0" xfId="0"/>
    <xf numFmtId="0" fontId="4" fillId="0" borderId="1" xfId="0" applyFont="1" applyBorder="1" applyAlignment="1" applyProtection="1">
      <alignment vertical="top" wrapText="1"/>
    </xf>
    <xf numFmtId="0" fontId="4" fillId="0" borderId="2" xfId="0" applyFont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vertical="top" wrapText="1"/>
    </xf>
    <xf numFmtId="0" fontId="6" fillId="0" borderId="0" xfId="0" applyFont="1" applyProtection="1"/>
    <xf numFmtId="0" fontId="7" fillId="0" borderId="0" xfId="0" applyFont="1" applyProtection="1"/>
    <xf numFmtId="0" fontId="8" fillId="3" borderId="3" xfId="0" applyFont="1" applyFill="1" applyBorder="1" applyAlignment="1" applyProtection="1">
      <alignment vertical="top" wrapText="1"/>
    </xf>
    <xf numFmtId="0" fontId="8" fillId="3" borderId="2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center" vertical="top" wrapText="1"/>
    </xf>
    <xf numFmtId="0" fontId="5" fillId="2" borderId="5" xfId="0" applyFont="1" applyFill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center" wrapText="1"/>
    </xf>
    <xf numFmtId="0" fontId="6" fillId="0" borderId="0" xfId="0" applyFont="1" applyFill="1" applyProtection="1"/>
    <xf numFmtId="0" fontId="4" fillId="0" borderId="5" xfId="0" applyFont="1" applyBorder="1" applyAlignment="1" applyProtection="1">
      <alignment vertical="top" wrapText="1"/>
    </xf>
    <xf numFmtId="0" fontId="10" fillId="2" borderId="4" xfId="0" applyFont="1" applyFill="1" applyBorder="1" applyAlignment="1" applyProtection="1">
      <alignment horizontal="center" wrapText="1"/>
    </xf>
    <xf numFmtId="0" fontId="11" fillId="0" borderId="5" xfId="0" applyFont="1" applyBorder="1" applyAlignment="1" applyProtection="1">
      <alignment vertical="top" wrapText="1"/>
    </xf>
    <xf numFmtId="0" fontId="11" fillId="0" borderId="6" xfId="0" applyFont="1" applyBorder="1" applyAlignment="1" applyProtection="1">
      <alignment vertical="top" wrapText="1"/>
    </xf>
    <xf numFmtId="0" fontId="11" fillId="0" borderId="6" xfId="0" applyFont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5" xfId="0" applyFont="1" applyFill="1" applyBorder="1" applyAlignment="1" applyProtection="1">
      <alignment horizontal="center" vertical="top" wrapText="1"/>
    </xf>
    <xf numFmtId="2" fontId="5" fillId="2" borderId="5" xfId="0" applyNumberFormat="1" applyFont="1" applyFill="1" applyBorder="1" applyAlignment="1" applyProtection="1">
      <alignment horizontal="center" vertical="top" wrapText="1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6" fillId="0" borderId="0" xfId="0" applyFont="1" applyAlignment="1">
      <alignment horizontal="right" vertical="center" wrapText="1"/>
    </xf>
    <xf numFmtId="0" fontId="47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Alignment="1"/>
    <xf numFmtId="0" fontId="45" fillId="0" borderId="7" xfId="0" applyFont="1" applyBorder="1" applyAlignment="1">
      <alignment vertical="center" wrapText="1"/>
    </xf>
    <xf numFmtId="0" fontId="0" fillId="0" borderId="7" xfId="0" applyBorder="1"/>
    <xf numFmtId="0" fontId="45" fillId="0" borderId="8" xfId="0" applyFont="1" applyBorder="1" applyAlignment="1">
      <alignment horizontal="center" vertical="center" wrapText="1"/>
    </xf>
    <xf numFmtId="0" fontId="45" fillId="0" borderId="8" xfId="0" applyFont="1" applyBorder="1" applyAlignment="1">
      <alignment vertical="center" wrapText="1"/>
    </xf>
    <xf numFmtId="0" fontId="51" fillId="0" borderId="8" xfId="0" applyFont="1" applyBorder="1" applyAlignment="1">
      <alignment horizontal="center" vertical="center" wrapText="1"/>
    </xf>
    <xf numFmtId="0" fontId="51" fillId="0" borderId="8" xfId="0" applyFont="1" applyBorder="1" applyAlignment="1">
      <alignment vertical="center" wrapText="1"/>
    </xf>
    <xf numFmtId="0" fontId="50" fillId="0" borderId="8" xfId="0" applyFont="1" applyBorder="1" applyAlignment="1">
      <alignment vertical="center" wrapText="1"/>
    </xf>
    <xf numFmtId="0" fontId="52" fillId="0" borderId="8" xfId="0" applyFont="1" applyBorder="1" applyAlignment="1">
      <alignment vertical="center" wrapText="1"/>
    </xf>
    <xf numFmtId="0" fontId="50" fillId="0" borderId="8" xfId="0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 wrapText="1"/>
    </xf>
    <xf numFmtId="0" fontId="51" fillId="0" borderId="9" xfId="0" applyFont="1" applyBorder="1" applyAlignment="1">
      <alignment vertical="center" wrapText="1"/>
    </xf>
    <xf numFmtId="0" fontId="51" fillId="0" borderId="10" xfId="0" applyFont="1" applyBorder="1" applyAlignment="1">
      <alignment vertical="center" wrapText="1"/>
    </xf>
    <xf numFmtId="0" fontId="45" fillId="0" borderId="0" xfId="0" applyFont="1" applyAlignment="1">
      <alignment vertical="top" wrapText="1"/>
    </xf>
    <xf numFmtId="0" fontId="2" fillId="0" borderId="8" xfId="0" applyFont="1" applyBorder="1" applyAlignment="1">
      <alignment vertical="center"/>
    </xf>
    <xf numFmtId="0" fontId="54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vertical="center" wrapText="1"/>
    </xf>
    <xf numFmtId="0" fontId="55" fillId="0" borderId="0" xfId="0" applyFont="1" applyBorder="1" applyAlignment="1">
      <alignment horizontal="left" vertical="center" wrapText="1"/>
    </xf>
    <xf numFmtId="0" fontId="3" fillId="0" borderId="0" xfId="0" applyFont="1"/>
    <xf numFmtId="0" fontId="19" fillId="0" borderId="8" xfId="0" applyFont="1" applyBorder="1"/>
    <xf numFmtId="0" fontId="0" fillId="0" borderId="9" xfId="0" applyBorder="1"/>
    <xf numFmtId="2" fontId="51" fillId="0" borderId="8" xfId="0" applyNumberFormat="1" applyFont="1" applyBorder="1" applyAlignment="1">
      <alignment horizontal="center" vertical="center" wrapText="1"/>
    </xf>
    <xf numFmtId="9" fontId="51" fillId="0" borderId="9" xfId="0" applyNumberFormat="1" applyFont="1" applyBorder="1" applyAlignment="1">
      <alignment horizontal="left" vertical="center" wrapText="1"/>
    </xf>
    <xf numFmtId="165" fontId="56" fillId="0" borderId="0" xfId="0" applyNumberFormat="1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8" fillId="4" borderId="11" xfId="0" applyFont="1" applyFill="1" applyBorder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horizontal="center" vertical="center"/>
    </xf>
    <xf numFmtId="0" fontId="13" fillId="0" borderId="0" xfId="0" applyFont="1" applyProtection="1">
      <protection hidden="1"/>
    </xf>
    <xf numFmtId="0" fontId="13" fillId="0" borderId="0" xfId="0" applyFont="1" applyAlignment="1" applyProtection="1">
      <alignment horizontal="center" vertical="center" shrinkToFit="1"/>
      <protection hidden="1"/>
    </xf>
    <xf numFmtId="0" fontId="2" fillId="0" borderId="8" xfId="0" applyFont="1" applyBorder="1" applyAlignment="1">
      <alignment horizontal="center" wrapText="1"/>
    </xf>
    <xf numFmtId="0" fontId="13" fillId="0" borderId="0" xfId="0" applyFont="1" applyAlignment="1" applyProtection="1">
      <alignment horizontal="center" vertical="center" shrinkToFit="1"/>
      <protection locked="0"/>
    </xf>
    <xf numFmtId="0" fontId="21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2" fontId="20" fillId="5" borderId="2" xfId="0" applyNumberFormat="1" applyFont="1" applyFill="1" applyBorder="1" applyAlignment="1">
      <alignment horizontal="center" wrapText="1"/>
    </xf>
    <xf numFmtId="1" fontId="20" fillId="5" borderId="2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2" fontId="20" fillId="0" borderId="0" xfId="0" applyNumberFormat="1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1" fontId="20" fillId="0" borderId="0" xfId="0" applyNumberFormat="1" applyFont="1" applyFill="1" applyBorder="1" applyAlignment="1">
      <alignment horizontal="center" wrapText="1"/>
    </xf>
    <xf numFmtId="2" fontId="20" fillId="6" borderId="2" xfId="0" applyNumberFormat="1" applyFont="1" applyFill="1" applyBorder="1" applyAlignment="1">
      <alignment horizontal="center" wrapText="1"/>
    </xf>
    <xf numFmtId="1" fontId="20" fillId="6" borderId="2" xfId="0" applyNumberFormat="1" applyFont="1" applyFill="1" applyBorder="1" applyAlignment="1">
      <alignment horizontal="center" wrapText="1"/>
    </xf>
    <xf numFmtId="0" fontId="13" fillId="0" borderId="0" xfId="0" applyFont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 shrinkToFit="1"/>
      <protection locked="0"/>
    </xf>
    <xf numFmtId="2" fontId="2" fillId="7" borderId="8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2" fontId="2" fillId="6" borderId="8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0" xfId="0" applyFont="1" applyProtection="1">
      <protection locked="0"/>
    </xf>
    <xf numFmtId="0" fontId="7" fillId="0" borderId="0" xfId="0" applyFont="1" applyFill="1" applyBorder="1" applyProtection="1"/>
    <xf numFmtId="2" fontId="13" fillId="0" borderId="0" xfId="0" applyNumberFormat="1" applyFont="1" applyAlignment="1" applyProtection="1">
      <alignment horizontal="center" vertical="center" shrinkToFit="1"/>
      <protection hidden="1"/>
    </xf>
    <xf numFmtId="0" fontId="7" fillId="0" borderId="8" xfId="0" applyFont="1" applyBorder="1" applyProtection="1"/>
    <xf numFmtId="0" fontId="7" fillId="0" borderId="12" xfId="0" applyFont="1" applyBorder="1" applyProtection="1"/>
    <xf numFmtId="0" fontId="60" fillId="2" borderId="2" xfId="0" applyFont="1" applyFill="1" applyBorder="1" applyAlignment="1" applyProtection="1">
      <alignment horizontal="center" vertical="top" wrapText="1"/>
    </xf>
    <xf numFmtId="0" fontId="60" fillId="2" borderId="5" xfId="0" applyFont="1" applyFill="1" applyBorder="1" applyAlignment="1" applyProtection="1">
      <alignment horizontal="center" vertical="top" wrapText="1"/>
    </xf>
    <xf numFmtId="0" fontId="37" fillId="0" borderId="5" xfId="0" applyFont="1" applyBorder="1" applyAlignment="1" applyProtection="1">
      <alignment horizontal="center" vertical="top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0" fillId="0" borderId="8" xfId="0" applyFont="1" applyBorder="1" applyAlignment="1">
      <alignment vertical="center" wrapText="1"/>
    </xf>
    <xf numFmtId="0" fontId="27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27" fillId="0" borderId="8" xfId="0" applyFont="1" applyBorder="1" applyAlignment="1">
      <alignment horizontal="center" vertical="center" wrapText="1"/>
    </xf>
    <xf numFmtId="2" fontId="29" fillId="0" borderId="8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9" fontId="29" fillId="0" borderId="9" xfId="0" applyNumberFormat="1" applyFont="1" applyBorder="1" applyAlignment="1">
      <alignment horizontal="left" vertical="center" wrapText="1"/>
    </xf>
    <xf numFmtId="0" fontId="14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left" vertical="center" wrapText="1"/>
    </xf>
    <xf numFmtId="0" fontId="29" fillId="0" borderId="8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3" fillId="0" borderId="0" xfId="0" applyFont="1" applyAlignment="1"/>
    <xf numFmtId="0" fontId="28" fillId="0" borderId="0" xfId="0" applyFont="1" applyBorder="1" applyAlignment="1">
      <alignment vertical="center" wrapText="1"/>
    </xf>
    <xf numFmtId="2" fontId="30" fillId="0" borderId="8" xfId="0" applyNumberFormat="1" applyFont="1" applyBorder="1" applyAlignment="1">
      <alignment horizontal="center" vertical="center" wrapText="1"/>
    </xf>
    <xf numFmtId="0" fontId="13" fillId="0" borderId="0" xfId="0" applyFont="1"/>
    <xf numFmtId="0" fontId="24" fillId="0" borderId="7" xfId="0" applyFont="1" applyBorder="1" applyAlignment="1">
      <alignment vertical="center" wrapText="1"/>
    </xf>
    <xf numFmtId="0" fontId="35" fillId="9" borderId="8" xfId="0" applyFont="1" applyFill="1" applyBorder="1" applyProtection="1"/>
    <xf numFmtId="0" fontId="59" fillId="0" borderId="0" xfId="0" applyFont="1" applyAlignment="1">
      <alignment horizontal="right" vertical="center" wrapText="1"/>
    </xf>
    <xf numFmtId="0" fontId="53" fillId="0" borderId="0" xfId="0" applyFont="1" applyAlignment="1">
      <alignment horizontal="right" vertical="center" wrapText="1"/>
    </xf>
    <xf numFmtId="0" fontId="54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50" fillId="0" borderId="0" xfId="0" applyFont="1" applyBorder="1" applyAlignment="1">
      <alignment wrapText="1"/>
    </xf>
    <xf numFmtId="0" fontId="50" fillId="0" borderId="0" xfId="0" applyFont="1" applyBorder="1" applyAlignment="1">
      <alignment horizontal="left" wrapText="1"/>
    </xf>
    <xf numFmtId="0" fontId="54" fillId="0" borderId="0" xfId="0" applyFont="1" applyBorder="1" applyAlignment="1">
      <alignment horizontal="center" wrapText="1"/>
    </xf>
    <xf numFmtId="0" fontId="49" fillId="0" borderId="9" xfId="0" applyFont="1" applyBorder="1" applyAlignment="1">
      <alignment vertical="center" wrapText="1"/>
    </xf>
    <xf numFmtId="0" fontId="46" fillId="0" borderId="9" xfId="0" applyFont="1" applyBorder="1" applyAlignment="1">
      <alignment vertical="center" wrapText="1"/>
    </xf>
    <xf numFmtId="0" fontId="41" fillId="0" borderId="0" xfId="0" applyFont="1" applyAlignment="1">
      <alignment vertical="center"/>
    </xf>
    <xf numFmtId="0" fontId="26" fillId="0" borderId="9" xfId="0" applyFont="1" applyBorder="1" applyAlignment="1">
      <alignment vertical="top" wrapText="1"/>
    </xf>
    <xf numFmtId="0" fontId="24" fillId="0" borderId="9" xfId="0" applyFont="1" applyBorder="1" applyAlignment="1">
      <alignment vertical="center" wrapText="1"/>
    </xf>
    <xf numFmtId="0" fontId="24" fillId="0" borderId="9" xfId="0" applyFont="1" applyBorder="1" applyAlignment="1">
      <alignment horizontal="left" vertical="top" wrapText="1"/>
    </xf>
    <xf numFmtId="0" fontId="42" fillId="0" borderId="0" xfId="0" applyFont="1"/>
    <xf numFmtId="0" fontId="43" fillId="0" borderId="0" xfId="0" applyFont="1"/>
    <xf numFmtId="0" fontId="43" fillId="0" borderId="7" xfId="0" applyFont="1" applyBorder="1"/>
    <xf numFmtId="0" fontId="14" fillId="0" borderId="0" xfId="0" applyFont="1" applyBorder="1" applyAlignment="1">
      <alignment vertical="center" wrapText="1"/>
    </xf>
    <xf numFmtId="0" fontId="7" fillId="9" borderId="0" xfId="0" applyFont="1" applyFill="1" applyProtection="1"/>
    <xf numFmtId="0" fontId="12" fillId="0" borderId="3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wrapText="1"/>
    </xf>
    <xf numFmtId="0" fontId="8" fillId="0" borderId="11" xfId="0" applyFont="1" applyFill="1" applyBorder="1" applyAlignment="1" applyProtection="1">
      <alignment horizontal="center" wrapText="1"/>
      <protection locked="0"/>
    </xf>
    <xf numFmtId="0" fontId="64" fillId="2" borderId="4" xfId="0" applyFont="1" applyFill="1" applyBorder="1" applyAlignment="1" applyProtection="1">
      <alignment horizontal="center" wrapText="1"/>
    </xf>
    <xf numFmtId="0" fontId="29" fillId="0" borderId="8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14" xfId="0" applyBorder="1"/>
    <xf numFmtId="0" fontId="0" fillId="9" borderId="0" xfId="0" applyFill="1"/>
    <xf numFmtId="0" fontId="3" fillId="0" borderId="0" xfId="0" applyFont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0" fillId="0" borderId="6" xfId="0" applyBorder="1"/>
    <xf numFmtId="0" fontId="7" fillId="10" borderId="0" xfId="0" applyFont="1" applyFill="1" applyAlignment="1" applyProtection="1">
      <alignment wrapText="1"/>
    </xf>
    <xf numFmtId="0" fontId="7" fillId="11" borderId="0" xfId="0" applyFont="1" applyFill="1" applyProtection="1"/>
    <xf numFmtId="0" fontId="12" fillId="11" borderId="3" xfId="0" applyFont="1" applyFill="1" applyBorder="1" applyAlignment="1">
      <alignment horizontal="center" wrapText="1"/>
    </xf>
    <xf numFmtId="0" fontId="12" fillId="11" borderId="13" xfId="0" applyFont="1" applyFill="1" applyBorder="1" applyAlignment="1">
      <alignment horizontal="center" wrapText="1"/>
    </xf>
    <xf numFmtId="1" fontId="61" fillId="0" borderId="0" xfId="0" applyNumberFormat="1" applyFont="1" applyAlignment="1">
      <alignment horizontal="left" vertical="center" wrapText="1"/>
    </xf>
    <xf numFmtId="0" fontId="82" fillId="11" borderId="3" xfId="0" applyFont="1" applyFill="1" applyBorder="1" applyAlignment="1">
      <alignment horizontal="center" wrapText="1"/>
    </xf>
    <xf numFmtId="0" fontId="82" fillId="11" borderId="13" xfId="0" applyFont="1" applyFill="1" applyBorder="1" applyAlignment="1">
      <alignment horizontal="center" wrapText="1"/>
    </xf>
    <xf numFmtId="0" fontId="8" fillId="11" borderId="11" xfId="0" applyFont="1" applyFill="1" applyBorder="1" applyAlignment="1" applyProtection="1">
      <alignment horizontal="center" wrapText="1"/>
      <protection locked="0"/>
    </xf>
    <xf numFmtId="0" fontId="0" fillId="11" borderId="0" xfId="0" applyFill="1"/>
    <xf numFmtId="1" fontId="7" fillId="0" borderId="0" xfId="0" applyNumberFormat="1" applyFont="1" applyProtection="1"/>
    <xf numFmtId="1" fontId="0" fillId="0" borderId="11" xfId="0" applyNumberFormat="1" applyFill="1" applyBorder="1"/>
    <xf numFmtId="1" fontId="0" fillId="0" borderId="5" xfId="0" applyNumberFormat="1" applyFill="1" applyBorder="1"/>
    <xf numFmtId="1" fontId="10" fillId="2" borderId="4" xfId="0" applyNumberFormat="1" applyFont="1" applyFill="1" applyBorder="1" applyAlignment="1" applyProtection="1">
      <alignment horizontal="center" wrapText="1"/>
    </xf>
    <xf numFmtId="169" fontId="5" fillId="2" borderId="5" xfId="0" applyNumberFormat="1" applyFont="1" applyFill="1" applyBorder="1" applyAlignment="1" applyProtection="1">
      <alignment horizontal="center" vertical="top" wrapText="1"/>
    </xf>
    <xf numFmtId="169" fontId="29" fillId="0" borderId="8" xfId="0" applyNumberFormat="1" applyFont="1" applyBorder="1" applyAlignment="1">
      <alignment horizontal="center" vertical="center" wrapText="1"/>
    </xf>
    <xf numFmtId="2" fontId="52" fillId="0" borderId="8" xfId="0" applyNumberFormat="1" applyFont="1" applyBorder="1" applyAlignment="1">
      <alignment horizontal="center" vertical="center" wrapText="1"/>
    </xf>
    <xf numFmtId="0" fontId="52" fillId="0" borderId="7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167" fontId="15" fillId="0" borderId="0" xfId="0" applyNumberFormat="1" applyFont="1" applyAlignment="1">
      <alignment horizontal="center" vertical="center" wrapText="1"/>
    </xf>
    <xf numFmtId="167" fontId="58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Font="1"/>
    <xf numFmtId="0" fontId="1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1" fontId="67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32" fillId="0" borderId="0" xfId="0" applyNumberFormat="1" applyFont="1" applyAlignment="1">
      <alignment horizontal="left" vertical="center" wrapText="1"/>
    </xf>
    <xf numFmtId="2" fontId="7" fillId="0" borderId="0" xfId="0" applyNumberFormat="1" applyFont="1" applyProtection="1"/>
    <xf numFmtId="2" fontId="5" fillId="2" borderId="5" xfId="0" applyNumberFormat="1" applyFont="1" applyFill="1" applyBorder="1" applyAlignment="1" applyProtection="1">
      <alignment vertical="top" wrapText="1"/>
    </xf>
    <xf numFmtId="0" fontId="29" fillId="0" borderId="1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0" fillId="0" borderId="10" xfId="0" applyBorder="1"/>
    <xf numFmtId="170" fontId="51" fillId="0" borderId="19" xfId="0" applyNumberFormat="1" applyFont="1" applyBorder="1" applyAlignment="1">
      <alignment horizontal="left" vertical="center" wrapText="1"/>
    </xf>
    <xf numFmtId="170" fontId="29" fillId="0" borderId="19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83" fillId="0" borderId="0" xfId="0" applyFont="1"/>
    <xf numFmtId="0" fontId="84" fillId="12" borderId="5" xfId="0" applyFont="1" applyFill="1" applyBorder="1" applyAlignment="1" applyProtection="1">
      <alignment vertical="top" wrapText="1"/>
    </xf>
    <xf numFmtId="0" fontId="0" fillId="12" borderId="0" xfId="0" applyFill="1"/>
    <xf numFmtId="0" fontId="0" fillId="13" borderId="0" xfId="0" applyFill="1"/>
    <xf numFmtId="1" fontId="0" fillId="11" borderId="0" xfId="0" applyNumberFormat="1" applyFill="1"/>
    <xf numFmtId="0" fontId="5" fillId="2" borderId="1" xfId="0" applyFont="1" applyFill="1" applyBorder="1" applyAlignment="1" applyProtection="1">
      <alignment horizontal="center" vertical="top" wrapText="1"/>
    </xf>
    <xf numFmtId="0" fontId="5" fillId="2" borderId="6" xfId="0" applyFont="1" applyFill="1" applyBorder="1" applyAlignment="1" applyProtection="1">
      <alignment horizontal="center" vertical="top" wrapText="1"/>
    </xf>
    <xf numFmtId="169" fontId="5" fillId="2" borderId="6" xfId="0" applyNumberFormat="1" applyFont="1" applyFill="1" applyBorder="1" applyAlignment="1" applyProtection="1">
      <alignment horizontal="center" vertical="top" wrapText="1"/>
    </xf>
    <xf numFmtId="2" fontId="5" fillId="2" borderId="6" xfId="0" applyNumberFormat="1" applyFont="1" applyFill="1" applyBorder="1" applyAlignment="1" applyProtection="1">
      <alignment horizontal="center" vertical="top" wrapText="1"/>
    </xf>
    <xf numFmtId="0" fontId="5" fillId="2" borderId="20" xfId="0" applyFont="1" applyFill="1" applyBorder="1" applyAlignment="1" applyProtection="1">
      <alignment horizontal="center" vertical="top" wrapText="1"/>
    </xf>
    <xf numFmtId="169" fontId="5" fillId="2" borderId="1" xfId="0" applyNumberFormat="1" applyFont="1" applyFill="1" applyBorder="1" applyAlignment="1" applyProtection="1">
      <alignment horizontal="center" vertical="top" wrapText="1"/>
    </xf>
    <xf numFmtId="2" fontId="5" fillId="2" borderId="1" xfId="0" applyNumberFormat="1" applyFont="1" applyFill="1" applyBorder="1" applyAlignment="1" applyProtection="1">
      <alignment horizontal="center" vertical="top" wrapText="1"/>
    </xf>
    <xf numFmtId="1" fontId="0" fillId="11" borderId="0" xfId="0" applyNumberFormat="1" applyFont="1" applyFill="1"/>
    <xf numFmtId="1" fontId="64" fillId="2" borderId="4" xfId="0" applyNumberFormat="1" applyFont="1" applyFill="1" applyBorder="1" applyAlignment="1" applyProtection="1">
      <alignment horizontal="center" wrapText="1"/>
    </xf>
    <xf numFmtId="0" fontId="4" fillId="12" borderId="5" xfId="0" applyFont="1" applyFill="1" applyBorder="1" applyAlignment="1" applyProtection="1">
      <alignment vertical="top" wrapText="1"/>
    </xf>
    <xf numFmtId="0" fontId="60" fillId="12" borderId="2" xfId="0" applyFont="1" applyFill="1" applyBorder="1" applyAlignment="1" applyProtection="1">
      <alignment horizontal="center" vertical="top" wrapText="1"/>
    </xf>
    <xf numFmtId="0" fontId="60" fillId="12" borderId="5" xfId="0" applyFont="1" applyFill="1" applyBorder="1" applyAlignment="1" applyProtection="1">
      <alignment horizontal="center" vertical="top" wrapText="1"/>
    </xf>
    <xf numFmtId="0" fontId="5" fillId="12" borderId="5" xfId="0" applyFont="1" applyFill="1" applyBorder="1" applyAlignment="1" applyProtection="1">
      <alignment horizontal="center" vertical="top" wrapText="1"/>
    </xf>
    <xf numFmtId="0" fontId="85" fillId="0" borderId="8" xfId="0" applyFont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2" fontId="30" fillId="11" borderId="8" xfId="0" applyNumberFormat="1" applyFont="1" applyFill="1" applyBorder="1" applyAlignment="1">
      <alignment horizontal="center" vertical="center" wrapText="1"/>
    </xf>
    <xf numFmtId="1" fontId="32" fillId="0" borderId="0" xfId="0" applyNumberFormat="1" applyFont="1" applyAlignment="1">
      <alignment vertical="center" wrapText="1"/>
    </xf>
    <xf numFmtId="164" fontId="24" fillId="0" borderId="0" xfId="1" applyFont="1" applyAlignment="1">
      <alignment vertical="top" wrapText="1"/>
    </xf>
    <xf numFmtId="0" fontId="86" fillId="12" borderId="0" xfId="0" applyFont="1" applyFill="1"/>
    <xf numFmtId="0" fontId="0" fillId="14" borderId="0" xfId="0" applyFill="1"/>
    <xf numFmtId="0" fontId="0" fillId="14" borderId="11" xfId="0" applyFill="1" applyBorder="1"/>
    <xf numFmtId="0" fontId="13" fillId="14" borderId="8" xfId="0" applyFont="1" applyFill="1" applyBorder="1" applyProtection="1"/>
    <xf numFmtId="0" fontId="7" fillId="14" borderId="0" xfId="0" applyFont="1" applyFill="1" applyProtection="1"/>
    <xf numFmtId="0" fontId="7" fillId="12" borderId="0" xfId="0" applyFont="1" applyFill="1" applyProtection="1"/>
    <xf numFmtId="0" fontId="0" fillId="14" borderId="0" xfId="0" applyFill="1" applyBorder="1"/>
    <xf numFmtId="0" fontId="0" fillId="12" borderId="0" xfId="0" applyFill="1" applyBorder="1"/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5" xfId="0" applyBorder="1"/>
    <xf numFmtId="0" fontId="7" fillId="0" borderId="15" xfId="0" applyFont="1" applyBorder="1" applyProtection="1"/>
    <xf numFmtId="0" fontId="7" fillId="0" borderId="16" xfId="0" applyFont="1" applyBorder="1" applyProtection="1"/>
    <xf numFmtId="0" fontId="7" fillId="0" borderId="21" xfId="0" applyFont="1" applyBorder="1" applyProtection="1"/>
    <xf numFmtId="0" fontId="35" fillId="9" borderId="22" xfId="0" applyFont="1" applyFill="1" applyBorder="1" applyProtection="1"/>
    <xf numFmtId="0" fontId="9" fillId="0" borderId="17" xfId="0" applyFont="1" applyBorder="1" applyAlignment="1" applyProtection="1">
      <alignment horizontal="center" wrapText="1"/>
    </xf>
    <xf numFmtId="0" fontId="7" fillId="0" borderId="0" xfId="0" applyFont="1" applyBorder="1" applyProtection="1"/>
    <xf numFmtId="0" fontId="35" fillId="9" borderId="23" xfId="0" applyFont="1" applyFill="1" applyBorder="1" applyProtection="1"/>
    <xf numFmtId="0" fontId="7" fillId="0" borderId="17" xfId="0" applyFont="1" applyBorder="1" applyProtection="1"/>
    <xf numFmtId="0" fontId="13" fillId="14" borderId="23" xfId="0" applyFont="1" applyFill="1" applyBorder="1" applyProtection="1"/>
    <xf numFmtId="0" fontId="7" fillId="0" borderId="11" xfId="0" applyFont="1" applyBorder="1" applyProtection="1"/>
    <xf numFmtId="0" fontId="7" fillId="0" borderId="18" xfId="0" applyFont="1" applyBorder="1" applyProtection="1"/>
    <xf numFmtId="0" fontId="7" fillId="0" borderId="6" xfId="0" applyFont="1" applyBorder="1" applyProtection="1"/>
    <xf numFmtId="0" fontId="7" fillId="0" borderId="5" xfId="0" applyFont="1" applyBorder="1" applyProtection="1"/>
    <xf numFmtId="1" fontId="0" fillId="0" borderId="0" xfId="0" applyNumberFormat="1" applyFill="1" applyBorder="1"/>
    <xf numFmtId="0" fontId="0" fillId="12" borderId="11" xfId="0" applyFill="1" applyBorder="1"/>
    <xf numFmtId="1" fontId="0" fillId="0" borderId="6" xfId="0" applyNumberFormat="1" applyFill="1" applyBorder="1"/>
    <xf numFmtId="0" fontId="35" fillId="9" borderId="21" xfId="0" applyFont="1" applyFill="1" applyBorder="1" applyProtection="1"/>
    <xf numFmtId="0" fontId="7" fillId="0" borderId="13" xfId="0" applyFont="1" applyBorder="1" applyProtection="1"/>
    <xf numFmtId="0" fontId="7" fillId="12" borderId="11" xfId="0" applyFont="1" applyFill="1" applyBorder="1" applyProtection="1"/>
    <xf numFmtId="0" fontId="7" fillId="10" borderId="15" xfId="0" applyFont="1" applyFill="1" applyBorder="1" applyAlignment="1" applyProtection="1">
      <alignment wrapText="1"/>
    </xf>
    <xf numFmtId="0" fontId="7" fillId="10" borderId="16" xfId="0" applyFont="1" applyFill="1" applyBorder="1" applyAlignment="1" applyProtection="1">
      <alignment wrapText="1"/>
    </xf>
    <xf numFmtId="0" fontId="7" fillId="11" borderId="17" xfId="0" applyFont="1" applyFill="1" applyBorder="1" applyProtection="1"/>
    <xf numFmtId="0" fontId="7" fillId="14" borderId="0" xfId="0" applyFont="1" applyFill="1" applyBorder="1" applyProtection="1"/>
    <xf numFmtId="0" fontId="7" fillId="12" borderId="0" xfId="0" applyFont="1" applyFill="1" applyBorder="1" applyProtection="1"/>
    <xf numFmtId="1" fontId="7" fillId="0" borderId="0" xfId="0" applyNumberFormat="1" applyFont="1" applyBorder="1" applyProtection="1"/>
    <xf numFmtId="1" fontId="7" fillId="0" borderId="6" xfId="0" applyNumberFormat="1" applyFont="1" applyBorder="1" applyProtection="1"/>
    <xf numFmtId="0" fontId="0" fillId="12" borderId="0" xfId="0" applyFill="1" applyBorder="1" applyAlignment="1"/>
    <xf numFmtId="1" fontId="0" fillId="0" borderId="5" xfId="0" applyNumberFormat="1" applyBorder="1"/>
    <xf numFmtId="0" fontId="0" fillId="14" borderId="13" xfId="0" applyFill="1" applyBorder="1"/>
    <xf numFmtId="0" fontId="87" fillId="14" borderId="19" xfId="0" applyFont="1" applyFill="1" applyBorder="1" applyAlignment="1" applyProtection="1"/>
    <xf numFmtId="0" fontId="87" fillId="14" borderId="10" xfId="0" applyFont="1" applyFill="1" applyBorder="1" applyAlignment="1" applyProtection="1"/>
    <xf numFmtId="0" fontId="70" fillId="0" borderId="0" xfId="0" applyFont="1"/>
    <xf numFmtId="0" fontId="69" fillId="0" borderId="0" xfId="0" applyFont="1" applyProtection="1"/>
    <xf numFmtId="0" fontId="88" fillId="0" borderId="0" xfId="0" applyFont="1"/>
    <xf numFmtId="0" fontId="89" fillId="0" borderId="8" xfId="0" applyFont="1" applyBorder="1" applyAlignment="1">
      <alignment horizontal="center" vertical="center"/>
    </xf>
    <xf numFmtId="0" fontId="88" fillId="0" borderId="8" xfId="0" applyFont="1" applyBorder="1" applyAlignment="1">
      <alignment vertical="center"/>
    </xf>
    <xf numFmtId="0" fontId="88" fillId="0" borderId="12" xfId="0" applyFont="1" applyBorder="1" applyAlignment="1">
      <alignment vertical="center"/>
    </xf>
    <xf numFmtId="0" fontId="88" fillId="0" borderId="8" xfId="0" applyFont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89" fillId="0" borderId="0" xfId="0" applyFont="1" applyBorder="1" applyAlignment="1">
      <alignment vertical="center"/>
    </xf>
    <xf numFmtId="0" fontId="89" fillId="0" borderId="0" xfId="0" applyFont="1"/>
    <xf numFmtId="0" fontId="88" fillId="0" borderId="0" xfId="0" applyFont="1" applyAlignment="1"/>
    <xf numFmtId="0" fontId="90" fillId="0" borderId="8" xfId="0" applyFont="1" applyBorder="1"/>
    <xf numFmtId="22" fontId="0" fillId="0" borderId="0" xfId="0" applyNumberFormat="1"/>
    <xf numFmtId="0" fontId="90" fillId="15" borderId="8" xfId="0" applyFont="1" applyFill="1" applyBorder="1"/>
    <xf numFmtId="171" fontId="90" fillId="15" borderId="8" xfId="0" applyNumberFormat="1" applyFont="1" applyFill="1" applyBorder="1" applyAlignment="1">
      <alignment horizontal="right"/>
    </xf>
    <xf numFmtId="49" fontId="90" fillId="15" borderId="8" xfId="0" applyNumberFormat="1" applyFont="1" applyFill="1" applyBorder="1" applyAlignment="1">
      <alignment horizontal="right"/>
    </xf>
    <xf numFmtId="0" fontId="90" fillId="15" borderId="8" xfId="0" applyFont="1" applyFill="1" applyBorder="1" applyAlignment="1">
      <alignment horizontal="right"/>
    </xf>
    <xf numFmtId="49" fontId="88" fillId="0" borderId="0" xfId="0" applyNumberFormat="1" applyFont="1"/>
    <xf numFmtId="0" fontId="89" fillId="0" borderId="8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8" xfId="0" applyFont="1" applyBorder="1"/>
    <xf numFmtId="0" fontId="88" fillId="15" borderId="0" xfId="0" applyFont="1" applyFill="1"/>
    <xf numFmtId="172" fontId="88" fillId="0" borderId="0" xfId="0" applyNumberFormat="1" applyFont="1"/>
    <xf numFmtId="0" fontId="88" fillId="16" borderId="8" xfId="0" applyFont="1" applyFill="1" applyBorder="1" applyAlignment="1">
      <alignment horizontal="center" vertical="center"/>
    </xf>
    <xf numFmtId="0" fontId="91" fillId="0" borderId="0" xfId="0" applyFont="1"/>
    <xf numFmtId="0" fontId="89" fillId="0" borderId="24" xfId="0" applyFont="1" applyBorder="1" applyAlignment="1">
      <alignment vertical="center"/>
    </xf>
    <xf numFmtId="0" fontId="88" fillId="0" borderId="24" xfId="0" applyFont="1" applyBorder="1"/>
    <xf numFmtId="0" fontId="89" fillId="0" borderId="24" xfId="0" applyFont="1" applyBorder="1" applyAlignment="1">
      <alignment horizontal="center" vertical="center"/>
    </xf>
    <xf numFmtId="0" fontId="88" fillId="0" borderId="24" xfId="0" applyFont="1" applyBorder="1" applyAlignment="1">
      <alignment horizontal="left"/>
    </xf>
    <xf numFmtId="0" fontId="88" fillId="0" borderId="24" xfId="0" applyFont="1" applyBorder="1" applyAlignment="1">
      <alignment horizontal="left" vertical="center"/>
    </xf>
    <xf numFmtId="0" fontId="88" fillId="0" borderId="24" xfId="0" applyFont="1" applyBorder="1" applyAlignment="1">
      <alignment horizontal="center" vertical="center"/>
    </xf>
    <xf numFmtId="0" fontId="90" fillId="0" borderId="12" xfId="0" applyFont="1" applyBorder="1"/>
    <xf numFmtId="0" fontId="90" fillId="0" borderId="24" xfId="0" applyFont="1" applyBorder="1"/>
    <xf numFmtId="0" fontId="76" fillId="15" borderId="12" xfId="0" applyFont="1" applyFill="1" applyBorder="1" applyAlignment="1">
      <alignment horizontal="left"/>
    </xf>
    <xf numFmtId="0" fontId="90" fillId="15" borderId="24" xfId="0" applyFont="1" applyFill="1" applyBorder="1" applyAlignment="1">
      <alignment horizontal="center" vertical="center"/>
    </xf>
    <xf numFmtId="0" fontId="90" fillId="14" borderId="8" xfId="0" applyFont="1" applyFill="1" applyBorder="1" applyAlignment="1" applyProtection="1">
      <alignment horizontal="right"/>
      <protection locked="0"/>
    </xf>
    <xf numFmtId="20" fontId="90" fillId="14" borderId="8" xfId="0" applyNumberFormat="1" applyFont="1" applyFill="1" applyBorder="1" applyAlignment="1" applyProtection="1">
      <alignment horizontal="right"/>
      <protection locked="0"/>
    </xf>
    <xf numFmtId="49" fontId="90" fillId="14" borderId="8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Protection="1"/>
    <xf numFmtId="0" fontId="92" fillId="15" borderId="0" xfId="0" applyFont="1" applyFill="1"/>
    <xf numFmtId="0" fontId="93" fillId="0" borderId="0" xfId="0" applyFont="1"/>
    <xf numFmtId="0" fontId="93" fillId="0" borderId="0" xfId="0" applyFont="1" applyFill="1"/>
    <xf numFmtId="169" fontId="93" fillId="0" borderId="0" xfId="0" applyNumberFormat="1" applyFont="1" applyFill="1"/>
    <xf numFmtId="2" fontId="93" fillId="0" borderId="0" xfId="0" applyNumberFormat="1" applyFont="1" applyFill="1"/>
    <xf numFmtId="0" fontId="88" fillId="0" borderId="0" xfId="0" applyFont="1" applyBorder="1"/>
    <xf numFmtId="0" fontId="88" fillId="0" borderId="0" xfId="0" applyFont="1" applyFill="1" applyBorder="1" applyAlignment="1">
      <alignment horizontal="center" vertical="center"/>
    </xf>
    <xf numFmtId="0" fontId="88" fillId="0" borderId="0" xfId="0" applyFont="1" applyFill="1" applyBorder="1" applyAlignment="1">
      <alignment vertical="center"/>
    </xf>
    <xf numFmtId="0" fontId="89" fillId="0" borderId="0" xfId="0" applyFont="1" applyFill="1" applyBorder="1"/>
    <xf numFmtId="0" fontId="88" fillId="0" borderId="0" xfId="0" applyFont="1" applyFill="1" applyBorder="1"/>
    <xf numFmtId="0" fontId="89" fillId="0" borderId="0" xfId="0" applyFont="1" applyFill="1" applyBorder="1" applyAlignment="1">
      <alignment wrapText="1"/>
    </xf>
    <xf numFmtId="0" fontId="89" fillId="0" borderId="0" xfId="0" applyFont="1" applyFill="1" applyBorder="1" applyAlignment="1">
      <alignment vertical="center"/>
    </xf>
    <xf numFmtId="0" fontId="89" fillId="0" borderId="0" xfId="0" applyFont="1" applyFill="1" applyBorder="1" applyAlignment="1">
      <alignment horizontal="center" vertical="center"/>
    </xf>
    <xf numFmtId="0" fontId="91" fillId="0" borderId="0" xfId="0" applyFont="1" applyFill="1" applyBorder="1"/>
    <xf numFmtId="0" fontId="89" fillId="0" borderId="0" xfId="0" applyFont="1" applyFill="1" applyBorder="1" applyAlignment="1">
      <alignment vertical="center" wrapText="1"/>
    </xf>
    <xf numFmtId="172" fontId="88" fillId="0" borderId="0" xfId="0" applyNumberFormat="1" applyFont="1" applyFill="1" applyBorder="1"/>
    <xf numFmtId="0" fontId="89" fillId="0" borderId="0" xfId="0" applyFont="1" applyFill="1" applyBorder="1" applyAlignment="1"/>
    <xf numFmtId="0" fontId="88" fillId="0" borderId="0" xfId="0" applyFont="1" applyFill="1" applyBorder="1" applyAlignment="1">
      <alignment horizontal="left"/>
    </xf>
    <xf numFmtId="0" fontId="88" fillId="0" borderId="0" xfId="0" applyFont="1" applyFill="1" applyBorder="1" applyAlignment="1">
      <alignment horizontal="left" vertical="center"/>
    </xf>
    <xf numFmtId="169" fontId="88" fillId="0" borderId="0" xfId="0" applyNumberFormat="1" applyFont="1" applyFill="1" applyBorder="1" applyAlignment="1">
      <alignment vertical="center"/>
    </xf>
    <xf numFmtId="0" fontId="88" fillId="0" borderId="0" xfId="0" applyFont="1" applyBorder="1" applyAlignment="1"/>
    <xf numFmtId="0" fontId="90" fillId="0" borderId="0" xfId="0" applyFont="1"/>
    <xf numFmtId="0" fontId="90" fillId="0" borderId="0" xfId="0" applyFont="1" applyBorder="1" applyAlignment="1"/>
    <xf numFmtId="0" fontId="90" fillId="0" borderId="8" xfId="0" applyFont="1" applyBorder="1" applyAlignment="1"/>
    <xf numFmtId="0" fontId="90" fillId="0" borderId="12" xfId="0" applyFont="1" applyBorder="1" applyAlignment="1">
      <alignment vertical="center"/>
    </xf>
    <xf numFmtId="0" fontId="91" fillId="0" borderId="8" xfId="0" applyFont="1" applyBorder="1" applyAlignment="1">
      <alignment horizontal="right"/>
    </xf>
    <xf numFmtId="0" fontId="90" fillId="15" borderId="10" xfId="0" applyFont="1" applyFill="1" applyBorder="1" applyAlignment="1">
      <alignment horizontal="center" vertical="center"/>
    </xf>
    <xf numFmtId="0" fontId="90" fillId="12" borderId="0" xfId="0" applyFont="1" applyFill="1" applyBorder="1" applyAlignment="1">
      <alignment horizontal="center"/>
    </xf>
    <xf numFmtId="0" fontId="90" fillId="15" borderId="0" xfId="0" applyFont="1" applyFill="1" applyBorder="1" applyAlignment="1">
      <alignment horizontal="center"/>
    </xf>
    <xf numFmtId="2" fontId="90" fillId="15" borderId="8" xfId="0" applyNumberFormat="1" applyFont="1" applyFill="1" applyBorder="1"/>
    <xf numFmtId="0" fontId="88" fillId="0" borderId="25" xfId="0" applyFont="1" applyBorder="1"/>
    <xf numFmtId="0" fontId="88" fillId="0" borderId="14" xfId="0" applyFont="1" applyBorder="1"/>
    <xf numFmtId="0" fontId="88" fillId="0" borderId="26" xfId="0" applyFont="1" applyBorder="1"/>
    <xf numFmtId="2" fontId="88" fillId="0" borderId="27" xfId="0" applyNumberFormat="1" applyFont="1" applyFill="1" applyBorder="1"/>
    <xf numFmtId="0" fontId="88" fillId="0" borderId="28" xfId="0" applyFont="1" applyBorder="1"/>
    <xf numFmtId="0" fontId="88" fillId="0" borderId="7" xfId="0" applyFont="1" applyBorder="1"/>
    <xf numFmtId="0" fontId="88" fillId="0" borderId="29" xfId="0" applyFont="1" applyBorder="1"/>
    <xf numFmtId="0" fontId="88" fillId="0" borderId="8" xfId="0" applyFont="1" applyBorder="1" applyAlignment="1">
      <alignment horizontal="right"/>
    </xf>
    <xf numFmtId="0" fontId="91" fillId="0" borderId="25" xfId="0" applyFont="1" applyBorder="1"/>
    <xf numFmtId="0" fontId="90" fillId="0" borderId="14" xfId="0" applyFont="1" applyBorder="1"/>
    <xf numFmtId="0" fontId="88" fillId="0" borderId="30" xfId="0" applyFont="1" applyBorder="1"/>
    <xf numFmtId="0" fontId="88" fillId="0" borderId="27" xfId="0" applyFont="1" applyBorder="1"/>
    <xf numFmtId="0" fontId="88" fillId="0" borderId="27" xfId="0" applyFont="1" applyFill="1" applyBorder="1"/>
    <xf numFmtId="0" fontId="88" fillId="0" borderId="9" xfId="0" applyFont="1" applyBorder="1"/>
    <xf numFmtId="0" fontId="88" fillId="0" borderId="9" xfId="0" applyFont="1" applyFill="1" applyBorder="1" applyAlignment="1">
      <alignment horizontal="center" vertical="center"/>
    </xf>
    <xf numFmtId="0" fontId="88" fillId="0" borderId="10" xfId="0" applyFont="1" applyFill="1" applyBorder="1" applyAlignment="1">
      <alignment wrapText="1"/>
    </xf>
    <xf numFmtId="0" fontId="90" fillId="12" borderId="25" xfId="0" applyFont="1" applyFill="1" applyBorder="1"/>
    <xf numFmtId="0" fontId="90" fillId="12" borderId="14" xfId="0" applyFont="1" applyFill="1" applyBorder="1"/>
    <xf numFmtId="0" fontId="88" fillId="0" borderId="29" xfId="0" applyFont="1" applyFill="1" applyBorder="1"/>
    <xf numFmtId="0" fontId="79" fillId="10" borderId="8" xfId="0" applyFont="1" applyFill="1" applyBorder="1"/>
    <xf numFmtId="2" fontId="90" fillId="15" borderId="31" xfId="0" applyNumberFormat="1" applyFont="1" applyFill="1" applyBorder="1" applyAlignment="1">
      <alignment horizontal="center"/>
    </xf>
    <xf numFmtId="2" fontId="90" fillId="15" borderId="8" xfId="0" applyNumberFormat="1" applyFont="1" applyFill="1" applyBorder="1" applyAlignment="1">
      <alignment horizontal="center"/>
    </xf>
    <xf numFmtId="2" fontId="90" fillId="10" borderId="8" xfId="0" applyNumberFormat="1" applyFont="1" applyFill="1" applyBorder="1" applyAlignment="1">
      <alignment horizontal="center"/>
    </xf>
    <xf numFmtId="0" fontId="90" fillId="15" borderId="8" xfId="0" applyFont="1" applyFill="1" applyBorder="1" applyAlignment="1">
      <alignment horizontal="center"/>
    </xf>
    <xf numFmtId="0" fontId="88" fillId="10" borderId="8" xfId="0" applyFont="1" applyFill="1" applyBorder="1" applyAlignment="1">
      <alignment horizontal="center"/>
    </xf>
    <xf numFmtId="0" fontId="91" fillId="11" borderId="8" xfId="0" applyFont="1" applyFill="1" applyBorder="1"/>
    <xf numFmtId="0" fontId="90" fillId="12" borderId="26" xfId="0" applyFont="1" applyFill="1" applyBorder="1" applyAlignment="1">
      <alignment horizontal="center"/>
    </xf>
    <xf numFmtId="2" fontId="88" fillId="0" borderId="0" xfId="0" applyNumberFormat="1" applyFont="1"/>
    <xf numFmtId="2" fontId="89" fillId="0" borderId="8" xfId="0" applyNumberFormat="1" applyFont="1" applyBorder="1"/>
    <xf numFmtId="0" fontId="90" fillId="0" borderId="8" xfId="0" applyFont="1" applyBorder="1" applyAlignment="1">
      <alignment horizontal="left"/>
    </xf>
    <xf numFmtId="0" fontId="90" fillId="0" borderId="19" xfId="0" applyFont="1" applyBorder="1" applyAlignment="1">
      <alignment horizontal="left"/>
    </xf>
    <xf numFmtId="0" fontId="90" fillId="0" borderId="10" xfId="0" applyFont="1" applyBorder="1" applyAlignment="1">
      <alignment horizontal="left"/>
    </xf>
    <xf numFmtId="0" fontId="88" fillId="0" borderId="8" xfId="0" applyFont="1" applyBorder="1" applyAlignment="1">
      <alignment horizontal="left"/>
    </xf>
    <xf numFmtId="14" fontId="90" fillId="14" borderId="8" xfId="0" applyNumberFormat="1" applyFont="1" applyFill="1" applyBorder="1" applyAlignment="1" applyProtection="1">
      <alignment horizontal="right"/>
      <protection locked="0"/>
    </xf>
    <xf numFmtId="0" fontId="94" fillId="14" borderId="12" xfId="0" applyFont="1" applyFill="1" applyBorder="1" applyAlignment="1" applyProtection="1">
      <alignment horizontal="right"/>
      <protection locked="0"/>
    </xf>
    <xf numFmtId="0" fontId="90" fillId="14" borderId="8" xfId="0" applyFont="1" applyFill="1" applyBorder="1" applyAlignment="1" applyProtection="1">
      <protection locked="0"/>
    </xf>
    <xf numFmtId="0" fontId="95" fillId="0" borderId="7" xfId="0" applyFont="1" applyFill="1" applyBorder="1" applyAlignment="1">
      <alignment horizontal="left" vertical="center"/>
    </xf>
    <xf numFmtId="0" fontId="77" fillId="0" borderId="19" xfId="0" applyFont="1" applyBorder="1"/>
    <xf numFmtId="2" fontId="94" fillId="15" borderId="32" xfId="0" applyNumberFormat="1" applyFont="1" applyFill="1" applyBorder="1" applyAlignment="1" applyProtection="1">
      <alignment horizontal="right"/>
    </xf>
    <xf numFmtId="0" fontId="95" fillId="0" borderId="33" xfId="0" applyFont="1" applyBorder="1"/>
    <xf numFmtId="2" fontId="94" fillId="15" borderId="19" xfId="0" applyNumberFormat="1" applyFont="1" applyFill="1" applyBorder="1" applyAlignment="1" applyProtection="1">
      <alignment horizontal="right"/>
    </xf>
    <xf numFmtId="0" fontId="94" fillId="12" borderId="24" xfId="0" applyFont="1" applyFill="1" applyBorder="1" applyProtection="1">
      <protection locked="0"/>
    </xf>
    <xf numFmtId="0" fontId="88" fillId="0" borderId="10" xfId="0" applyFont="1" applyBorder="1"/>
    <xf numFmtId="2" fontId="94" fillId="14" borderId="0" xfId="0" applyNumberFormat="1" applyFont="1" applyFill="1" applyProtection="1">
      <protection locked="0"/>
    </xf>
    <xf numFmtId="172" fontId="93" fillId="0" borderId="0" xfId="0" applyNumberFormat="1" applyFont="1" applyFill="1"/>
    <xf numFmtId="0" fontId="88" fillId="12" borderId="8" xfId="0" applyFont="1" applyFill="1" applyBorder="1"/>
    <xf numFmtId="14" fontId="88" fillId="12" borderId="8" xfId="0" applyNumberFormat="1" applyFont="1" applyFill="1" applyBorder="1"/>
    <xf numFmtId="0" fontId="88" fillId="12" borderId="8" xfId="0" applyFont="1" applyFill="1" applyBorder="1" applyAlignment="1">
      <alignment horizontal="right"/>
    </xf>
    <xf numFmtId="14" fontId="88" fillId="0" borderId="0" xfId="0" applyNumberFormat="1" applyFont="1"/>
    <xf numFmtId="0" fontId="88" fillId="17" borderId="8" xfId="0" applyFont="1" applyFill="1" applyBorder="1"/>
    <xf numFmtId="0" fontId="92" fillId="17" borderId="8" xfId="0" applyFont="1" applyFill="1" applyBorder="1"/>
    <xf numFmtId="0" fontId="76" fillId="15" borderId="8" xfId="0" applyNumberFormat="1" applyFont="1" applyFill="1" applyBorder="1" applyProtection="1"/>
    <xf numFmtId="49" fontId="90" fillId="18" borderId="8" xfId="0" applyNumberFormat="1" applyFont="1" applyFill="1" applyBorder="1" applyProtection="1">
      <protection locked="0"/>
    </xf>
    <xf numFmtId="0" fontId="7" fillId="14" borderId="0" xfId="0" applyFont="1" applyFill="1" applyProtection="1">
      <protection locked="0"/>
    </xf>
    <xf numFmtId="166" fontId="75" fillId="12" borderId="8" xfId="0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Protection="1"/>
    <xf numFmtId="0" fontId="98" fillId="12" borderId="8" xfId="0" applyFont="1" applyFill="1" applyBorder="1" applyAlignment="1" applyProtection="1">
      <protection locked="0"/>
    </xf>
    <xf numFmtId="166" fontId="90" fillId="18" borderId="8" xfId="0" applyNumberFormat="1" applyFont="1" applyFill="1" applyBorder="1" applyAlignment="1" applyProtection="1">
      <alignment vertical="center"/>
      <protection locked="0"/>
    </xf>
    <xf numFmtId="49" fontId="90" fillId="12" borderId="8" xfId="0" applyNumberFormat="1" applyFont="1" applyFill="1" applyBorder="1" applyProtection="1">
      <protection locked="0"/>
    </xf>
    <xf numFmtId="0" fontId="99" fillId="0" borderId="8" xfId="0" applyFont="1" applyBorder="1" applyAlignment="1">
      <alignment horizontal="center" vertical="center" wrapText="1"/>
    </xf>
    <xf numFmtId="165" fontId="75" fillId="15" borderId="8" xfId="0" applyNumberFormat="1" applyFont="1" applyFill="1" applyBorder="1" applyProtection="1"/>
    <xf numFmtId="14" fontId="90" fillId="15" borderId="8" xfId="0" applyNumberFormat="1" applyFont="1" applyFill="1" applyBorder="1" applyProtection="1"/>
    <xf numFmtId="0" fontId="14" fillId="0" borderId="8" xfId="0" applyFont="1" applyBorder="1" applyAlignment="1" applyProtection="1">
      <alignment horizontal="center" vertical="center" wrapText="1"/>
      <protection locked="0"/>
    </xf>
    <xf numFmtId="0" fontId="98" fillId="14" borderId="8" xfId="0" applyFont="1" applyFill="1" applyBorder="1" applyAlignment="1" applyProtection="1"/>
    <xf numFmtId="14" fontId="88" fillId="12" borderId="8" xfId="0" applyNumberFormat="1" applyFont="1" applyFill="1" applyBorder="1" applyProtection="1">
      <protection locked="0"/>
    </xf>
    <xf numFmtId="0" fontId="88" fillId="0" borderId="0" xfId="0" quotePrefix="1" applyFont="1"/>
    <xf numFmtId="0" fontId="91" fillId="0" borderId="7" xfId="0" applyFont="1" applyFill="1" applyBorder="1"/>
    <xf numFmtId="170" fontId="81" fillId="0" borderId="19" xfId="0" applyNumberFormat="1" applyFont="1" applyBorder="1" applyAlignment="1">
      <alignment horizontal="left" vertical="center" wrapText="1"/>
    </xf>
    <xf numFmtId="0" fontId="7" fillId="13" borderId="8" xfId="0" applyFont="1" applyFill="1" applyBorder="1" applyProtection="1"/>
    <xf numFmtId="0" fontId="7" fillId="18" borderId="8" xfId="0" applyFont="1" applyFill="1" applyBorder="1" applyProtection="1">
      <protection locked="0"/>
    </xf>
    <xf numFmtId="0" fontId="89" fillId="0" borderId="35" xfId="0" applyFont="1" applyBorder="1" applyAlignment="1">
      <alignment horizontal="center" vertical="center" wrapText="1"/>
    </xf>
    <xf numFmtId="0" fontId="89" fillId="0" borderId="36" xfId="0" applyFont="1" applyBorder="1" applyAlignment="1">
      <alignment horizontal="center" vertical="center" wrapText="1"/>
    </xf>
    <xf numFmtId="0" fontId="89" fillId="0" borderId="37" xfId="0" applyFont="1" applyBorder="1" applyAlignment="1">
      <alignment horizontal="center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9" fillId="0" borderId="24" xfId="0" applyFont="1" applyBorder="1" applyAlignment="1">
      <alignment horizontal="center" wrapText="1"/>
    </xf>
    <xf numFmtId="169" fontId="88" fillId="15" borderId="35" xfId="0" applyNumberFormat="1" applyFont="1" applyFill="1" applyBorder="1" applyAlignment="1">
      <alignment horizontal="center" vertical="center"/>
    </xf>
    <xf numFmtId="169" fontId="88" fillId="15" borderId="37" xfId="0" applyNumberFormat="1" applyFont="1" applyFill="1" applyBorder="1" applyAlignment="1">
      <alignment horizontal="center" vertical="center"/>
    </xf>
    <xf numFmtId="0" fontId="89" fillId="0" borderId="24" xfId="0" applyFont="1" applyBorder="1" applyAlignment="1">
      <alignment horizontal="center" vertical="center" wrapText="1"/>
    </xf>
    <xf numFmtId="0" fontId="89" fillId="0" borderId="24" xfId="0" applyFont="1" applyBorder="1" applyAlignment="1">
      <alignment horizontal="center"/>
    </xf>
    <xf numFmtId="0" fontId="88" fillId="0" borderId="12" xfId="0" applyFont="1" applyBorder="1" applyAlignment="1">
      <alignment horizontal="center" vertical="center"/>
    </xf>
    <xf numFmtId="0" fontId="88" fillId="0" borderId="31" xfId="0" applyFont="1" applyBorder="1" applyAlignment="1">
      <alignment horizontal="center" vertical="center"/>
    </xf>
    <xf numFmtId="0" fontId="88" fillId="0" borderId="12" xfId="0" applyFont="1" applyFill="1" applyBorder="1" applyAlignment="1">
      <alignment horizontal="center" vertical="center"/>
    </xf>
    <xf numFmtId="0" fontId="88" fillId="0" borderId="31" xfId="0" applyFont="1" applyFill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9" fillId="0" borderId="25" xfId="0" applyFont="1" applyBorder="1" applyAlignment="1">
      <alignment horizontal="center" vertical="center"/>
    </xf>
    <xf numFmtId="0" fontId="89" fillId="0" borderId="28" xfId="0" applyFont="1" applyBorder="1" applyAlignment="1">
      <alignment horizontal="center" vertical="center"/>
    </xf>
    <xf numFmtId="0" fontId="89" fillId="0" borderId="30" xfId="0" applyFont="1" applyBorder="1" applyAlignment="1">
      <alignment horizontal="center" vertical="center"/>
    </xf>
    <xf numFmtId="0" fontId="89" fillId="0" borderId="29" xfId="0" applyFont="1" applyBorder="1" applyAlignment="1">
      <alignment horizontal="center" vertical="center"/>
    </xf>
    <xf numFmtId="0" fontId="88" fillId="16" borderId="12" xfId="0" applyFont="1" applyFill="1" applyBorder="1" applyAlignment="1">
      <alignment horizontal="center" vertical="center"/>
    </xf>
    <xf numFmtId="0" fontId="88" fillId="16" borderId="31" xfId="0" applyFont="1" applyFill="1" applyBorder="1" applyAlignment="1">
      <alignment horizontal="center" vertical="center"/>
    </xf>
    <xf numFmtId="0" fontId="88" fillId="0" borderId="12" xfId="0" applyFont="1" applyBorder="1" applyAlignment="1">
      <alignment horizontal="center" wrapText="1"/>
    </xf>
    <xf numFmtId="0" fontId="88" fillId="0" borderId="31" xfId="0" applyFont="1" applyBorder="1" applyAlignment="1">
      <alignment horizontal="center" wrapText="1"/>
    </xf>
    <xf numFmtId="0" fontId="89" fillId="0" borderId="8" xfId="0" applyFont="1" applyBorder="1" applyAlignment="1">
      <alignment horizontal="center" vertical="center"/>
    </xf>
    <xf numFmtId="0" fontId="88" fillId="0" borderId="34" xfId="0" applyFont="1" applyBorder="1" applyAlignment="1">
      <alignment horizontal="center" vertical="center"/>
    </xf>
    <xf numFmtId="0" fontId="89" fillId="0" borderId="8" xfId="0" applyFont="1" applyBorder="1" applyAlignment="1">
      <alignment horizontal="center" wrapText="1"/>
    </xf>
    <xf numFmtId="0" fontId="89" fillId="0" borderId="12" xfId="0" applyFont="1" applyBorder="1" applyAlignment="1">
      <alignment horizontal="center" vertical="center"/>
    </xf>
    <xf numFmtId="0" fontId="90" fillId="0" borderId="19" xfId="0" applyFont="1" applyBorder="1" applyAlignment="1">
      <alignment horizontal="left"/>
    </xf>
    <xf numFmtId="0" fontId="90" fillId="0" borderId="9" xfId="0" applyFont="1" applyBorder="1" applyAlignment="1">
      <alignment horizontal="left"/>
    </xf>
    <xf numFmtId="0" fontId="90" fillId="0" borderId="10" xfId="0" applyFont="1" applyBorder="1" applyAlignment="1">
      <alignment horizontal="left"/>
    </xf>
    <xf numFmtId="0" fontId="5" fillId="2" borderId="38" xfId="0" applyFont="1" applyFill="1" applyBorder="1" applyAlignment="1" applyProtection="1">
      <alignment vertical="top" wrapText="1"/>
    </xf>
    <xf numFmtId="0" fontId="5" fillId="2" borderId="2" xfId="0" applyFont="1" applyFill="1" applyBorder="1" applyAlignment="1" applyProtection="1">
      <alignment vertical="top" wrapText="1"/>
    </xf>
    <xf numFmtId="0" fontId="7" fillId="9" borderId="39" xfId="0" applyFont="1" applyFill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19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90" fillId="0" borderId="8" xfId="0" applyFont="1" applyFill="1" applyBorder="1" applyAlignment="1" applyProtection="1">
      <alignment horizontal="center" wrapText="1"/>
    </xf>
    <xf numFmtId="170" fontId="51" fillId="0" borderId="19" xfId="0" applyNumberFormat="1" applyFont="1" applyBorder="1" applyAlignment="1">
      <alignment horizontal="left" vertical="center" wrapText="1"/>
    </xf>
    <xf numFmtId="170" fontId="51" fillId="0" borderId="9" xfId="0" applyNumberFormat="1" applyFont="1" applyBorder="1" applyAlignment="1">
      <alignment horizontal="left" vertical="center" wrapText="1"/>
    </xf>
    <xf numFmtId="0" fontId="51" fillId="0" borderId="19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2" fontId="51" fillId="0" borderId="19" xfId="0" applyNumberFormat="1" applyFont="1" applyBorder="1" applyAlignment="1">
      <alignment horizontal="center" vertical="center" wrapText="1"/>
    </xf>
    <xf numFmtId="2" fontId="51" fillId="0" borderId="10" xfId="0" applyNumberFormat="1" applyFont="1" applyBorder="1" applyAlignment="1">
      <alignment horizontal="center" vertical="center" wrapText="1"/>
    </xf>
    <xf numFmtId="0" fontId="45" fillId="0" borderId="19" xfId="0" applyFont="1" applyBorder="1" applyAlignment="1">
      <alignment horizontal="left" vertical="center" wrapText="1"/>
    </xf>
    <xf numFmtId="0" fontId="45" fillId="0" borderId="10" xfId="0" applyFont="1" applyBorder="1" applyAlignment="1">
      <alignment horizontal="left" vertical="center" wrapText="1"/>
    </xf>
    <xf numFmtId="169" fontId="29" fillId="0" borderId="19" xfId="0" applyNumberFormat="1" applyFont="1" applyBorder="1" applyAlignment="1">
      <alignment horizontal="center" vertical="center" wrapText="1"/>
    </xf>
    <xf numFmtId="169" fontId="29" fillId="0" borderId="10" xfId="0" applyNumberFormat="1" applyFont="1" applyBorder="1" applyAlignment="1">
      <alignment horizontal="center" vertical="center" wrapText="1"/>
    </xf>
    <xf numFmtId="0" fontId="99" fillId="0" borderId="19" xfId="0" applyFont="1" applyBorder="1" applyAlignment="1">
      <alignment horizontal="center" vertical="center" wrapText="1"/>
    </xf>
    <xf numFmtId="0" fontId="99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2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164" fontId="24" fillId="0" borderId="0" xfId="1" applyFont="1" applyAlignment="1">
      <alignment horizontal="left" vertical="top" wrapText="1"/>
    </xf>
    <xf numFmtId="0" fontId="24" fillId="0" borderId="0" xfId="0" applyFont="1" applyAlignment="1">
      <alignment horizontal="left" vertical="center" wrapText="1"/>
    </xf>
    <xf numFmtId="0" fontId="47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 wrapText="1"/>
    </xf>
    <xf numFmtId="167" fontId="53" fillId="0" borderId="0" xfId="0" applyNumberFormat="1" applyFont="1" applyAlignment="1">
      <alignment horizontal="right" vertical="center" wrapText="1"/>
    </xf>
    <xf numFmtId="165" fontId="53" fillId="0" borderId="0" xfId="0" applyNumberFormat="1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 wrapText="1"/>
    </xf>
    <xf numFmtId="165" fontId="32" fillId="0" borderId="0" xfId="0" applyNumberFormat="1" applyFont="1" applyAlignment="1">
      <alignment horizontal="right" vertical="center" wrapText="1"/>
    </xf>
    <xf numFmtId="0" fontId="41" fillId="0" borderId="0" xfId="0" applyFont="1" applyAlignment="1">
      <alignment horizontal="right" vertical="center"/>
    </xf>
    <xf numFmtId="166" fontId="41" fillId="0" borderId="0" xfId="0" applyNumberFormat="1" applyFont="1" applyAlignment="1">
      <alignment horizontal="left" vertical="center"/>
    </xf>
    <xf numFmtId="166" fontId="32" fillId="0" borderId="0" xfId="0" applyNumberFormat="1" applyFont="1" applyAlignment="1">
      <alignment horizontal="left" vertical="center" wrapText="1"/>
    </xf>
    <xf numFmtId="166" fontId="56" fillId="0" borderId="0" xfId="0" applyNumberFormat="1" applyFont="1" applyAlignment="1">
      <alignment horizontal="left" vertical="center" wrapText="1"/>
    </xf>
    <xf numFmtId="0" fontId="45" fillId="0" borderId="8" xfId="0" applyFont="1" applyBorder="1" applyAlignment="1">
      <alignment horizontal="left" vertical="center" wrapText="1"/>
    </xf>
    <xf numFmtId="166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6" fillId="0" borderId="0" xfId="0" applyFont="1" applyAlignment="1">
      <alignment horizontal="left" vertical="center" wrapText="1"/>
    </xf>
    <xf numFmtId="1" fontId="67" fillId="0" borderId="0" xfId="0" applyNumberFormat="1" applyFont="1" applyAlignment="1">
      <alignment horizontal="left" vertical="center" wrapText="1"/>
    </xf>
    <xf numFmtId="0" fontId="45" fillId="0" borderId="7" xfId="0" applyFont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54" fillId="0" borderId="7" xfId="0" applyFont="1" applyBorder="1" applyAlignment="1">
      <alignment horizontal="left" vertical="center" wrapText="1"/>
    </xf>
    <xf numFmtId="0" fontId="50" fillId="0" borderId="7" xfId="0" applyFont="1" applyBorder="1" applyAlignment="1">
      <alignment horizontal="left" wrapText="1"/>
    </xf>
    <xf numFmtId="0" fontId="45" fillId="0" borderId="8" xfId="0" applyFont="1" applyBorder="1" applyAlignment="1">
      <alignment vertical="center" wrapText="1"/>
    </xf>
    <xf numFmtId="0" fontId="52" fillId="0" borderId="7" xfId="0" applyFont="1" applyBorder="1" applyAlignment="1">
      <alignment vertical="center" wrapText="1"/>
    </xf>
    <xf numFmtId="0" fontId="29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center" wrapText="1"/>
    </xf>
    <xf numFmtId="0" fontId="49" fillId="0" borderId="9" xfId="0" applyFont="1" applyBorder="1" applyAlignment="1">
      <alignment horizontal="left" wrapText="1"/>
    </xf>
    <xf numFmtId="9" fontId="51" fillId="0" borderId="8" xfId="2" applyFont="1" applyBorder="1" applyAlignment="1">
      <alignment horizontal="left" vertical="center" wrapText="1"/>
    </xf>
    <xf numFmtId="0" fontId="45" fillId="0" borderId="40" xfId="0" applyFont="1" applyBorder="1" applyAlignment="1">
      <alignment horizontal="left" vertical="center" wrapText="1"/>
    </xf>
    <xf numFmtId="0" fontId="63" fillId="0" borderId="40" xfId="0" applyFont="1" applyBorder="1" applyAlignment="1">
      <alignment horizontal="left" vertical="center" wrapText="1"/>
    </xf>
    <xf numFmtId="0" fontId="7" fillId="0" borderId="19" xfId="0" applyFont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29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57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7" fontId="53" fillId="0" borderId="0" xfId="0" applyNumberFormat="1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/>
    </xf>
    <xf numFmtId="0" fontId="52" fillId="2" borderId="38" xfId="0" applyFont="1" applyFill="1" applyBorder="1" applyAlignment="1">
      <alignment vertical="top" wrapText="1"/>
    </xf>
    <xf numFmtId="0" fontId="52" fillId="2" borderId="2" xfId="0" applyFont="1" applyFill="1" applyBorder="1" applyAlignment="1">
      <alignment vertical="top" wrapText="1"/>
    </xf>
    <xf numFmtId="0" fontId="7" fillId="9" borderId="19" xfId="0" applyFont="1" applyFill="1" applyBorder="1" applyAlignment="1" applyProtection="1">
      <alignment horizontal="center"/>
    </xf>
    <xf numFmtId="0" fontId="7" fillId="9" borderId="10" xfId="0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0" fontId="70" fillId="0" borderId="15" xfId="0" applyFont="1" applyBorder="1" applyAlignment="1">
      <alignment horizontal="center" wrapText="1"/>
    </xf>
    <xf numFmtId="0" fontId="70" fillId="0" borderId="13" xfId="0" applyFont="1" applyBorder="1" applyAlignment="1">
      <alignment horizontal="center" wrapText="1"/>
    </xf>
    <xf numFmtId="0" fontId="70" fillId="0" borderId="18" xfId="0" applyFont="1" applyBorder="1" applyAlignment="1">
      <alignment horizontal="center" wrapText="1"/>
    </xf>
    <xf numFmtId="0" fontId="70" fillId="0" borderId="5" xfId="0" applyFont="1" applyBorder="1" applyAlignment="1">
      <alignment horizontal="center" wrapText="1"/>
    </xf>
    <xf numFmtId="0" fontId="7" fillId="14" borderId="19" xfId="0" applyFont="1" applyFill="1" applyBorder="1" applyAlignment="1" applyProtection="1">
      <alignment horizontal="center"/>
    </xf>
    <xf numFmtId="0" fontId="7" fillId="14" borderId="10" xfId="0" applyFont="1" applyFill="1" applyBorder="1" applyAlignment="1" applyProtection="1">
      <alignment horizontal="center"/>
    </xf>
    <xf numFmtId="0" fontId="99" fillId="0" borderId="25" xfId="0" applyFont="1" applyBorder="1" applyAlignment="1">
      <alignment horizontal="center" vertical="center" wrapText="1"/>
    </xf>
    <xf numFmtId="0" fontId="99" fillId="0" borderId="30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4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30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2" fontId="29" fillId="0" borderId="19" xfId="0" applyNumberFormat="1" applyFont="1" applyBorder="1" applyAlignment="1">
      <alignment horizontal="center" vertical="center" wrapText="1"/>
    </xf>
    <xf numFmtId="2" fontId="29" fillId="0" borderId="10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wrapText="1"/>
    </xf>
    <xf numFmtId="0" fontId="14" fillId="0" borderId="0" xfId="0" applyFont="1" applyBorder="1" applyAlignment="1">
      <alignment vertical="center" wrapText="1"/>
    </xf>
    <xf numFmtId="0" fontId="26" fillId="0" borderId="9" xfId="0" applyFont="1" applyBorder="1" applyAlignment="1">
      <alignment wrapText="1"/>
    </xf>
    <xf numFmtId="0" fontId="14" fillId="0" borderId="8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38" fillId="0" borderId="40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9" fontId="29" fillId="0" borderId="19" xfId="2" applyFont="1" applyBorder="1" applyAlignment="1">
      <alignment horizontal="left" vertical="center" wrapText="1"/>
    </xf>
    <xf numFmtId="9" fontId="29" fillId="0" borderId="9" xfId="2" applyFont="1" applyBorder="1" applyAlignment="1">
      <alignment horizontal="left" vertical="center" wrapText="1"/>
    </xf>
    <xf numFmtId="9" fontId="29" fillId="0" borderId="10" xfId="2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27" fillId="0" borderId="7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 wrapText="1"/>
    </xf>
    <xf numFmtId="1" fontId="32" fillId="0" borderId="0" xfId="0" applyNumberFormat="1" applyFont="1" applyAlignment="1">
      <alignment horizontal="left" vertical="center" wrapText="1"/>
    </xf>
    <xf numFmtId="0" fontId="68" fillId="0" borderId="15" xfId="0" applyFont="1" applyBorder="1" applyAlignment="1">
      <alignment horizontal="center" wrapText="1"/>
    </xf>
    <xf numFmtId="0" fontId="36" fillId="0" borderId="13" xfId="0" applyFont="1" applyBorder="1" applyAlignment="1">
      <alignment horizontal="center" wrapText="1"/>
    </xf>
    <xf numFmtId="0" fontId="36" fillId="0" borderId="18" xfId="0" applyFont="1" applyBorder="1" applyAlignment="1">
      <alignment horizontal="center" wrapText="1"/>
    </xf>
    <xf numFmtId="0" fontId="36" fillId="0" borderId="5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69" fillId="0" borderId="19" xfId="0" applyFont="1" applyBorder="1" applyAlignment="1" applyProtection="1">
      <alignment horizontal="center"/>
    </xf>
    <xf numFmtId="0" fontId="69" fillId="0" borderId="10" xfId="0" applyFont="1" applyBorder="1" applyAlignment="1" applyProtection="1">
      <alignment horizontal="center"/>
    </xf>
    <xf numFmtId="0" fontId="100" fillId="0" borderId="19" xfId="0" applyFont="1" applyBorder="1" applyAlignment="1">
      <alignment horizontal="center" vertical="center" wrapText="1"/>
    </xf>
    <xf numFmtId="0" fontId="100" fillId="0" borderId="10" xfId="0" applyFont="1" applyBorder="1" applyAlignment="1">
      <alignment horizontal="center" vertical="center" wrapText="1"/>
    </xf>
    <xf numFmtId="170" fontId="29" fillId="0" borderId="19" xfId="0" applyNumberFormat="1" applyFont="1" applyBorder="1" applyAlignment="1">
      <alignment horizontal="left" vertical="center" wrapText="1"/>
    </xf>
    <xf numFmtId="170" fontId="29" fillId="0" borderId="9" xfId="0" applyNumberFormat="1" applyFont="1" applyBorder="1" applyAlignment="1">
      <alignment horizontal="left" vertical="center" wrapText="1"/>
    </xf>
    <xf numFmtId="0" fontId="13" fillId="0" borderId="1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hidden="1"/>
    </xf>
    <xf numFmtId="0" fontId="20" fillId="0" borderId="3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88" fillId="19" borderId="0" xfId="0" applyFont="1" applyFill="1"/>
    <xf numFmtId="0" fontId="89" fillId="19" borderId="0" xfId="0" applyFont="1" applyFill="1"/>
    <xf numFmtId="0" fontId="88" fillId="19" borderId="8" xfId="0" applyFont="1" applyFill="1" applyBorder="1"/>
    <xf numFmtId="0" fontId="97" fillId="19" borderId="8" xfId="0" applyFont="1" applyFill="1" applyBorder="1"/>
    <xf numFmtId="0" fontId="96" fillId="19" borderId="8" xfId="0" applyFont="1" applyFill="1" applyBorder="1"/>
    <xf numFmtId="0" fontId="93" fillId="19" borderId="8" xfId="0" applyFont="1" applyFill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127570</xdr:colOff>
      <xdr:row>27</xdr:row>
      <xdr:rowOff>231229</xdr:rowOff>
    </xdr:from>
    <xdr:ext cx="457198" cy="264560"/>
    <xdr:sp macro="" textlink="">
      <xdr:nvSpPr>
        <xdr:cNvPr id="3" name="TextBox 2"/>
        <xdr:cNvSpPr txBox="1"/>
      </xdr:nvSpPr>
      <xdr:spPr>
        <a:xfrm>
          <a:off x="127570" y="2583904"/>
          <a:ext cx="4571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127570</xdr:colOff>
      <xdr:row>24</xdr:row>
      <xdr:rowOff>231229</xdr:rowOff>
    </xdr:from>
    <xdr:ext cx="457198" cy="264560"/>
    <xdr:sp macro="" textlink="">
      <xdr:nvSpPr>
        <xdr:cNvPr id="2" name="TextBox 1"/>
        <xdr:cNvSpPr txBox="1"/>
      </xdr:nvSpPr>
      <xdr:spPr>
        <a:xfrm>
          <a:off x="127570" y="5450929"/>
          <a:ext cx="4571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66675</xdr:colOff>
      <xdr:row>0</xdr:row>
      <xdr:rowOff>0</xdr:rowOff>
    </xdr:from>
    <xdr:to>
      <xdr:col>38</xdr:col>
      <xdr:colOff>428625</xdr:colOff>
      <xdr:row>21</xdr:row>
      <xdr:rowOff>114300</xdr:rowOff>
    </xdr:to>
    <xdr:pic>
      <xdr:nvPicPr>
        <xdr:cNvPr id="18957" name="Рисунок 1" descr="Таблиця 8 [Режим ограниченной функциональности] - Microsoft Word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04" t="30704" r="16849" b="8131"/>
        <a:stretch>
          <a:fillRect/>
        </a:stretch>
      </xdr:blipFill>
      <xdr:spPr bwMode="auto">
        <a:xfrm>
          <a:off x="15840075" y="0"/>
          <a:ext cx="10115550" cy="533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361950</xdr:colOff>
      <xdr:row>0</xdr:row>
      <xdr:rowOff>66675</xdr:rowOff>
    </xdr:from>
    <xdr:to>
      <xdr:col>41</xdr:col>
      <xdr:colOff>190500</xdr:colOff>
      <xdr:row>22</xdr:row>
      <xdr:rowOff>171450</xdr:rowOff>
    </xdr:to>
    <xdr:pic>
      <xdr:nvPicPr>
        <xdr:cNvPr id="22753" name="Рисунок 1" descr="Таблиця 8 [Режим ограниченной функциональности] - Microsoft Word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04" t="30704" r="16849" b="8131"/>
        <a:stretch>
          <a:fillRect/>
        </a:stretch>
      </xdr:blipFill>
      <xdr:spPr bwMode="auto">
        <a:xfrm>
          <a:off x="17068800" y="66675"/>
          <a:ext cx="10191750" cy="532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552450</xdr:colOff>
      <xdr:row>0</xdr:row>
      <xdr:rowOff>0</xdr:rowOff>
    </xdr:from>
    <xdr:to>
      <xdr:col>39</xdr:col>
      <xdr:colOff>533400</xdr:colOff>
      <xdr:row>26</xdr:row>
      <xdr:rowOff>28575</xdr:rowOff>
    </xdr:to>
    <xdr:pic>
      <xdr:nvPicPr>
        <xdr:cNvPr id="23777" name="Рисунок 1" descr="Таблиця 8 [Режим ограниченной функциональности] - Microsoft Word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04" t="30704" r="16849" b="8131"/>
        <a:stretch>
          <a:fillRect/>
        </a:stretch>
      </xdr:blipFill>
      <xdr:spPr bwMode="auto">
        <a:xfrm>
          <a:off x="14420850" y="0"/>
          <a:ext cx="10344150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95250</xdr:colOff>
      <xdr:row>0</xdr:row>
      <xdr:rowOff>0</xdr:rowOff>
    </xdr:from>
    <xdr:to>
      <xdr:col>40</xdr:col>
      <xdr:colOff>76200</xdr:colOff>
      <xdr:row>26</xdr:row>
      <xdr:rowOff>66675</xdr:rowOff>
    </xdr:to>
    <xdr:pic>
      <xdr:nvPicPr>
        <xdr:cNvPr id="20724" name="Рисунок 1" descr="Таблиця 8 [Режим ограниченной функциональности] - Microsoft Word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04" t="30704" r="16849" b="8131"/>
        <a:stretch>
          <a:fillRect/>
        </a:stretch>
      </xdr:blipFill>
      <xdr:spPr bwMode="auto">
        <a:xfrm>
          <a:off x="14525625" y="0"/>
          <a:ext cx="10344150" cy="561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10</xdr:row>
      <xdr:rowOff>0</xdr:rowOff>
    </xdr:from>
    <xdr:to>
      <xdr:col>40</xdr:col>
      <xdr:colOff>590550</xdr:colOff>
      <xdr:row>24</xdr:row>
      <xdr:rowOff>247650</xdr:rowOff>
    </xdr:to>
    <xdr:pic>
      <xdr:nvPicPr>
        <xdr:cNvPr id="21744" name="Рисунок 1" descr="Таблиця 8 [Режим ограниченной функциональности] - Microsoft Word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04" t="30704" r="16849" b="8131"/>
        <a:stretch>
          <a:fillRect/>
        </a:stretch>
      </xdr:blipFill>
      <xdr:spPr bwMode="auto">
        <a:xfrm>
          <a:off x="14630400" y="4467225"/>
          <a:ext cx="10344150" cy="526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X72"/>
  <sheetViews>
    <sheetView tabSelected="1" topLeftCell="A16" zoomScale="85" zoomScaleNormal="85" zoomScaleSheetLayoutView="130" workbookViewId="0">
      <selection activeCell="C32" sqref="C32"/>
    </sheetView>
  </sheetViews>
  <sheetFormatPr defaultRowHeight="12.75"/>
  <cols>
    <col min="1" max="1" width="9.140625" style="263"/>
    <col min="2" max="2" width="31" style="263" customWidth="1"/>
    <col min="3" max="3" width="24.42578125" style="263" customWidth="1"/>
    <col min="4" max="4" width="9.85546875" style="263" bestFit="1" customWidth="1"/>
    <col min="5" max="11" width="9.140625" style="263"/>
    <col min="12" max="12" width="20" style="263" customWidth="1"/>
    <col min="13" max="13" width="12.28515625" style="263" customWidth="1"/>
    <col min="14" max="14" width="15.28515625" style="263" customWidth="1"/>
    <col min="15" max="15" width="12.140625" style="263" customWidth="1"/>
    <col min="16" max="16" width="9.42578125" style="263" customWidth="1"/>
    <col min="17" max="16384" width="9.140625" style="263"/>
  </cols>
  <sheetData>
    <row r="2" spans="2:20">
      <c r="L2" s="270" t="s">
        <v>204</v>
      </c>
      <c r="O2" s="263" t="s">
        <v>209</v>
      </c>
    </row>
    <row r="3" spans="2:20" ht="15.75">
      <c r="C3" s="274" t="str">
        <f ca="1">CONCATENATE("Дата испытания ", "",TEXT(C5, "DD.MM.YYYY"))</f>
        <v>Дата испытания 30.09.2022</v>
      </c>
      <c r="D3" s="282"/>
      <c r="L3" s="263" t="s">
        <v>200</v>
      </c>
      <c r="M3" s="270">
        <f>IF(AND(OR(C12="Бензин",C12="Метан"),C13="до 01.04.2009",C14="ЄВРО-0, ЄВРО-1"),P22,IF(AND(C12="GPL",C13="до 01.04.2009",C14="ЄВРО-0, ЄВРО-1"),P24,IF(AND(C13="після  01.04.2009",C14="ЄВРО-2"),P25, IF(AND(C13="після  01.04.2009",C14="ЄВРО-3,4,5,6"),P26, "ПЕРЕДИВІТЬСЯ ЗАДАНІ УМОВИ"))) )</f>
        <v>3.5</v>
      </c>
      <c r="O3" s="270">
        <v>2</v>
      </c>
    </row>
    <row r="4" spans="2:20" ht="15.75">
      <c r="C4" s="274" t="str">
        <f>CONCATENATE("Время проверки", " ",TEXT(C6, "hh:mm"))</f>
        <v>Время проверки 15:24</v>
      </c>
      <c r="L4" s="263" t="s">
        <v>201</v>
      </c>
      <c r="M4" s="270">
        <f>IF(AND(C12="Бензин",C13="до 01.04.2009",C14="ЄВРО-0, ЄВРО-1"),Q22,IF(AND(C12="GPL",C13="до 01.04.2009",C14="ЄВРО-0, ЄВРО-1"),Q24,IF(AND(C13="після  01.04.2009",C14="ЄВРО-2"),Q25, IF(AND(C13="після  01.04.2009",C14="ЄВРО-3,4,5,6"),Q26, IF(AND(C12="Метан",C13="до 01.04.2009",C14="ЄВРО-0, ЄВРО-1"),Q23,"ПЕРЕДИВІТЬСЯ ЗАДАНІ УМОВИ")))) )</f>
        <v>2</v>
      </c>
      <c r="O4" s="270">
        <v>4</v>
      </c>
    </row>
    <row r="5" spans="2:20" ht="15.75">
      <c r="B5" s="272" t="s">
        <v>183</v>
      </c>
      <c r="C5" s="275">
        <f ca="1">IF(ISBLANK(D5),NOW(),D5)</f>
        <v>44834.790105208333</v>
      </c>
      <c r="D5" s="388"/>
    </row>
    <row r="6" spans="2:20" ht="12" customHeight="1">
      <c r="B6" s="272" t="s">
        <v>219</v>
      </c>
      <c r="C6" s="297">
        <v>0.64166666666666672</v>
      </c>
      <c r="E6" s="278"/>
    </row>
    <row r="7" spans="2:20" ht="15.75">
      <c r="B7" s="272" t="s">
        <v>184</v>
      </c>
      <c r="C7" s="298" t="s">
        <v>263</v>
      </c>
      <c r="L7" s="425" t="s">
        <v>203</v>
      </c>
      <c r="M7" s="425"/>
      <c r="N7" s="423" t="s">
        <v>176</v>
      </c>
      <c r="O7" s="423"/>
      <c r="P7" s="423" t="s">
        <v>177</v>
      </c>
      <c r="Q7" s="423"/>
      <c r="S7" s="270" t="s">
        <v>205</v>
      </c>
    </row>
    <row r="8" spans="2:20" ht="15.75">
      <c r="B8" s="272" t="s">
        <v>73</v>
      </c>
      <c r="C8" s="276" t="str">
        <f>C7</f>
        <v>7777</v>
      </c>
      <c r="L8" s="425"/>
      <c r="M8" s="425"/>
      <c r="N8" s="264" t="s">
        <v>174</v>
      </c>
      <c r="O8" s="264" t="s">
        <v>175</v>
      </c>
      <c r="P8" s="264" t="s">
        <v>174</v>
      </c>
      <c r="Q8" s="264" t="s">
        <v>175</v>
      </c>
      <c r="S8" s="263" t="s">
        <v>206</v>
      </c>
      <c r="T8" s="263">
        <f ca="1">IF(AND(C14="ЄВРО-0, ЄВРО-1",OR(C12="Бензин",C12="Метан"),C13="до 01.04.2009",C15="&lt;=4 циліндри"),N9,IF(AND(C14="ЄВРО-0, ЄВРО-1",C12="GPL",C13="до 01.04.2009",C15="&lt;=4 циліндри"),N11,IF(AND(C14="ЄВРО-0, ЄВРО-1",OR(C12="Бензин",C12="Метан"),C13="до 01.04.2009",C15="&gt;4 циліндри"),P9,IF(AND(C14="ЄВРО-0, ЄВРО-1",C12="GPL",C13="до 01.04.2009",C15="&gt;4 циліндри"),P11,IF(AND(OR(C14="ЄВРО-2",C14="ЄВРО-3,4,5,6"),OR(C12="Бензин",C12="Метан",C12="GPL"),C13="після  01.04.2009",OR(C15="&lt;=4 циліндри",C15="&gt;4 циліндри")),N12,"ПЕРЕДИВІТЬСЯ ЗАДАНІ УМОВИ")))))</f>
        <v>505</v>
      </c>
    </row>
    <row r="9" spans="2:20" ht="17.45" customHeight="1">
      <c r="B9" s="272" t="s">
        <v>185</v>
      </c>
      <c r="C9" s="277" t="s">
        <v>37</v>
      </c>
      <c r="L9" s="410" t="s">
        <v>178</v>
      </c>
      <c r="M9" s="265" t="s">
        <v>80</v>
      </c>
      <c r="N9" s="419">
        <f ca="1">RANDBETWEEN(10,1100)</f>
        <v>505</v>
      </c>
      <c r="O9" s="410">
        <f ca="1">RANDBETWEEN(10,590)</f>
        <v>304</v>
      </c>
      <c r="P9" s="419">
        <f ca="1">RANDBETWEEN(300,2450)</f>
        <v>1566</v>
      </c>
      <c r="Q9" s="410">
        <f ca="1">RANDBETWEEN(10,990)</f>
        <v>62</v>
      </c>
      <c r="S9" s="263" t="s">
        <v>207</v>
      </c>
      <c r="T9" s="263">
        <f ca="1">IF(AND(C14="ЄВРО-0, ЄВРО-1",OR(C12="Бензин",C12="Метан"),C13="до 01.04.2009",C15="&lt;=4 циліндри"),O9,IF(AND(C14="ЄВРО-0, ЄВРО-1",C12="GPL",C13="до 01.04.2009",C15="&lt;=4 циліндри"),O11,IF(AND(C14="ЄВРО-0, ЄВРО-1",OR(C12="Бензин",C12="Метан"),C13="до 01.04.2009",C15="&gt;4 циліндри"),Q9,IF(AND(C14="ЄВРО-0, ЄВРО-1",C12="GPL",C13="до 01.04.2009",C15="&gt;4 циліндри"),Q11,IF(AND(OR(C14="ЄВРО-2",C14="ЄВРО-3,4,5,6"),OR(C12="Бензин",C12="Метан",C12="GPL"),C13="після  01.04.2009",OR(C15="&lt;=4 циліндри",C15="&gt;4 циліндри")),O12,"ПЕРЕДИВІТЬСЯ ЗАДАНІ УМОВИ")))))</f>
        <v>304</v>
      </c>
    </row>
    <row r="10" spans="2:20" ht="15.75">
      <c r="B10" s="272" t="s">
        <v>186</v>
      </c>
      <c r="C10" s="277" t="s">
        <v>37</v>
      </c>
      <c r="L10" s="424"/>
      <c r="M10" s="265" t="s">
        <v>215</v>
      </c>
      <c r="N10" s="420"/>
      <c r="O10" s="411"/>
      <c r="P10" s="420"/>
      <c r="Q10" s="411"/>
    </row>
    <row r="11" spans="2:20" ht="15.75">
      <c r="B11" s="272" t="s">
        <v>187</v>
      </c>
      <c r="C11" s="363">
        <v>38837</v>
      </c>
      <c r="L11" s="411"/>
      <c r="M11" s="265" t="s">
        <v>216</v>
      </c>
      <c r="N11" s="284">
        <f ca="1">RANDBETWEEN(10,590)</f>
        <v>319</v>
      </c>
      <c r="O11" s="267">
        <f ca="1">RANDBETWEEN(10,290)</f>
        <v>179</v>
      </c>
      <c r="P11" s="284">
        <f ca="1">RANDBETWEEN(300,1750)</f>
        <v>1703</v>
      </c>
      <c r="Q11" s="267">
        <f ca="1">RANDBETWEEN(10,590)</f>
        <v>120</v>
      </c>
    </row>
    <row r="12" spans="2:20" ht="15.75" customHeight="1">
      <c r="B12" s="272" t="s">
        <v>188</v>
      </c>
      <c r="C12" s="296" t="s">
        <v>80</v>
      </c>
      <c r="L12" s="267" t="s">
        <v>180</v>
      </c>
      <c r="M12" s="421" t="s">
        <v>202</v>
      </c>
      <c r="N12" s="419">
        <f ca="1">RANDBETWEEN(1,97)</f>
        <v>46</v>
      </c>
      <c r="O12" s="410">
        <f ca="1">RANDBETWEEN(1,97)</f>
        <v>7</v>
      </c>
      <c r="P12" s="281" t="s">
        <v>37</v>
      </c>
      <c r="Q12" s="281" t="s">
        <v>37</v>
      </c>
    </row>
    <row r="13" spans="2:20" ht="15.75">
      <c r="B13" s="272" t="s">
        <v>171</v>
      </c>
      <c r="C13" s="296" t="s">
        <v>169</v>
      </c>
      <c r="L13" s="267" t="s">
        <v>182</v>
      </c>
      <c r="M13" s="422"/>
      <c r="N13" s="420"/>
      <c r="O13" s="411"/>
      <c r="P13" s="281" t="s">
        <v>37</v>
      </c>
      <c r="Q13" s="281" t="s">
        <v>37</v>
      </c>
    </row>
    <row r="14" spans="2:20" ht="15.75">
      <c r="B14" s="272" t="s">
        <v>198</v>
      </c>
      <c r="C14" s="296" t="s">
        <v>178</v>
      </c>
    </row>
    <row r="15" spans="2:20" ht="15" customHeight="1">
      <c r="B15" s="272" t="s">
        <v>199</v>
      </c>
      <c r="C15" s="296" t="s">
        <v>176</v>
      </c>
    </row>
    <row r="16" spans="2:20" ht="15" customHeight="1">
      <c r="B16" s="272" t="s">
        <v>209</v>
      </c>
      <c r="C16" s="296">
        <v>4</v>
      </c>
    </row>
    <row r="17" spans="1:24" ht="24" customHeight="1" thickBot="1">
      <c r="B17" s="292" t="s">
        <v>189</v>
      </c>
      <c r="C17" s="294" t="str">
        <f>IF(OR(C14="ЄВРО-0, ЄВРО-1",C14="ЄВРО-2"),"Catalyzed with lambda probe",IF(C14="ЄВРО-3,4,5,6","EURO3 vehicle or later"))</f>
        <v>Catalyzed with lambda probe</v>
      </c>
    </row>
    <row r="18" spans="1:24" ht="12" customHeight="1" thickTop="1" thickBot="1">
      <c r="B18" s="293" t="s">
        <v>214</v>
      </c>
      <c r="C18" s="295">
        <f ca="1">RANDBETWEEN(81,95)</f>
        <v>86</v>
      </c>
    </row>
    <row r="19" spans="1:24" ht="24" customHeight="1" thickTop="1">
      <c r="A19" s="271" t="s">
        <v>196</v>
      </c>
      <c r="B19" s="271"/>
      <c r="C19" s="271"/>
      <c r="E19" s="270" t="s">
        <v>218</v>
      </c>
      <c r="L19" s="423" t="s">
        <v>171</v>
      </c>
      <c r="M19" s="423"/>
      <c r="N19" s="423" t="s">
        <v>170</v>
      </c>
      <c r="O19" s="423" t="s">
        <v>168</v>
      </c>
      <c r="P19" s="423" t="s">
        <v>172</v>
      </c>
      <c r="Q19" s="423"/>
      <c r="R19" s="423" t="s">
        <v>173</v>
      </c>
      <c r="S19" s="423"/>
      <c r="T19" s="423"/>
      <c r="U19" s="423"/>
    </row>
    <row r="20" spans="1:24" ht="12" customHeight="1">
      <c r="B20" s="270" t="s">
        <v>190</v>
      </c>
      <c r="C20" s="302">
        <f ca="1">RANDBETWEEN(71,89)*10</f>
        <v>800</v>
      </c>
      <c r="L20" s="423"/>
      <c r="M20" s="423"/>
      <c r="N20" s="423"/>
      <c r="O20" s="423"/>
      <c r="P20" s="423"/>
      <c r="Q20" s="423"/>
      <c r="R20" s="423" t="s">
        <v>176</v>
      </c>
      <c r="S20" s="423"/>
      <c r="T20" s="423" t="s">
        <v>177</v>
      </c>
      <c r="U20" s="423"/>
    </row>
    <row r="21" spans="1:24" ht="13.5" customHeight="1">
      <c r="B21" s="270" t="s">
        <v>191</v>
      </c>
      <c r="C21" s="303">
        <f ca="1">RANDBETWEEN(0,E21*100)/100</f>
        <v>0.24</v>
      </c>
      <c r="E21" s="300">
        <f>M3</f>
        <v>3.5</v>
      </c>
      <c r="L21" s="423"/>
      <c r="M21" s="423"/>
      <c r="N21" s="423"/>
      <c r="O21" s="423"/>
      <c r="P21" s="264" t="s">
        <v>174</v>
      </c>
      <c r="Q21" s="264" t="s">
        <v>175</v>
      </c>
      <c r="R21" s="264" t="s">
        <v>174</v>
      </c>
      <c r="S21" s="264" t="s">
        <v>175</v>
      </c>
      <c r="T21" s="264" t="s">
        <v>174</v>
      </c>
      <c r="U21" s="264" t="s">
        <v>175</v>
      </c>
    </row>
    <row r="22" spans="1:24" ht="12" customHeight="1">
      <c r="B22" s="270" t="s">
        <v>96</v>
      </c>
      <c r="C22" s="303">
        <f ca="1">P37</f>
        <v>12.9</v>
      </c>
      <c r="E22" s="301"/>
      <c r="L22" s="423" t="s">
        <v>169</v>
      </c>
      <c r="M22" s="265" t="s">
        <v>80</v>
      </c>
      <c r="N22" s="414" t="s">
        <v>178</v>
      </c>
      <c r="O22" s="410" t="s">
        <v>37</v>
      </c>
      <c r="P22" s="265">
        <v>3.5</v>
      </c>
      <c r="Q22" s="265">
        <v>2</v>
      </c>
      <c r="R22" s="265">
        <v>1200</v>
      </c>
      <c r="S22" s="265">
        <v>600</v>
      </c>
      <c r="T22" s="265">
        <v>2500</v>
      </c>
      <c r="U22" s="265">
        <v>1000</v>
      </c>
    </row>
    <row r="23" spans="1:24" ht="17.25" customHeight="1">
      <c r="B23" s="270" t="s">
        <v>192</v>
      </c>
      <c r="C23" s="304">
        <f ca="1" xml:space="preserve"> IF(-((1-C26)*(100-C22+C21)-1.88*C21)/(4.76*C26-1)&lt;0, 0, -((1-C26)*(100-C22+C21)-1.88*C21)/(4.76*C26-1))</f>
        <v>0</v>
      </c>
      <c r="E23" s="301"/>
      <c r="L23" s="423"/>
      <c r="M23" s="265" t="s">
        <v>215</v>
      </c>
      <c r="N23" s="414"/>
      <c r="O23" s="424"/>
      <c r="P23" s="265">
        <v>3.5</v>
      </c>
      <c r="Q23" s="265">
        <v>1.5</v>
      </c>
      <c r="R23" s="265">
        <v>1200</v>
      </c>
      <c r="S23" s="265">
        <v>600</v>
      </c>
      <c r="T23" s="265">
        <v>2500</v>
      </c>
      <c r="U23" s="265">
        <v>1000</v>
      </c>
    </row>
    <row r="24" spans="1:24" ht="12" customHeight="1">
      <c r="B24" s="270" t="s">
        <v>195</v>
      </c>
      <c r="C24" s="303">
        <f ca="1">IF(C16=4,(C21*(15/(C21+C22))), (C21*(10/(C21+C22))))</f>
        <v>0.27397260273972601</v>
      </c>
      <c r="E24" s="301"/>
      <c r="L24" s="426"/>
      <c r="M24" s="266" t="s">
        <v>216</v>
      </c>
      <c r="N24" s="414"/>
      <c r="O24" s="411"/>
      <c r="P24" s="265">
        <v>1.5</v>
      </c>
      <c r="Q24" s="265">
        <v>1</v>
      </c>
      <c r="R24" s="265">
        <v>600</v>
      </c>
      <c r="S24" s="265">
        <v>300</v>
      </c>
      <c r="T24" s="265">
        <v>1800</v>
      </c>
      <c r="U24" s="265">
        <v>600</v>
      </c>
    </row>
    <row r="25" spans="1:24" ht="12" customHeight="1">
      <c r="B25" s="270" t="s">
        <v>193</v>
      </c>
      <c r="C25" s="302">
        <f ca="1">T8</f>
        <v>505</v>
      </c>
      <c r="E25" s="301"/>
      <c r="L25" s="415" t="s">
        <v>179</v>
      </c>
      <c r="M25" s="417"/>
      <c r="N25" s="267" t="s">
        <v>180</v>
      </c>
      <c r="O25" s="414" t="s">
        <v>181</v>
      </c>
      <c r="P25" s="268">
        <v>0.5</v>
      </c>
      <c r="Q25" s="268">
        <v>0.3</v>
      </c>
      <c r="R25" s="410">
        <v>100</v>
      </c>
      <c r="S25" s="412">
        <v>100</v>
      </c>
      <c r="T25" s="412">
        <v>100</v>
      </c>
      <c r="U25" s="412">
        <v>100</v>
      </c>
    </row>
    <row r="26" spans="1:24" ht="12" customHeight="1">
      <c r="B26" s="270" t="s">
        <v>194</v>
      </c>
      <c r="C26" s="374">
        <f ca="1">IF(AND(C13="до 01.04.2009",C14="ЄВРО-0, ЄВРО-1"),RANDBETWEEN(850,1100)/1000, RANDBETWEEN(971,1029)/1000)</f>
        <v>0.93500000000000005</v>
      </c>
      <c r="E26" s="301"/>
      <c r="L26" s="416"/>
      <c r="M26" s="418"/>
      <c r="N26" s="267" t="s">
        <v>182</v>
      </c>
      <c r="O26" s="414"/>
      <c r="P26" s="268">
        <v>0.3</v>
      </c>
      <c r="Q26" s="268">
        <v>0.2</v>
      </c>
      <c r="R26" s="411"/>
      <c r="S26" s="413"/>
      <c r="T26" s="413"/>
      <c r="U26" s="413"/>
    </row>
    <row r="27" spans="1:24" ht="18">
      <c r="E27" s="301"/>
      <c r="L27" s="269"/>
      <c r="M27" s="269"/>
    </row>
    <row r="28" spans="1:24" ht="18">
      <c r="A28" s="271" t="s">
        <v>197</v>
      </c>
      <c r="B28" s="271"/>
      <c r="E28" s="301"/>
      <c r="Q28" s="563"/>
      <c r="R28" s="563"/>
      <c r="S28" s="563"/>
      <c r="T28" s="563"/>
      <c r="U28" s="563"/>
      <c r="V28" s="563"/>
      <c r="W28" s="563"/>
      <c r="X28" s="563"/>
    </row>
    <row r="29" spans="1:24" ht="18" customHeight="1" thickBot="1">
      <c r="B29" s="270" t="s">
        <v>190</v>
      </c>
      <c r="C29" s="302">
        <f ca="1">RANDBETWEEN(210,230)*10</f>
        <v>2270</v>
      </c>
      <c r="E29" s="301"/>
      <c r="L29" s="285" t="s">
        <v>210</v>
      </c>
      <c r="Q29" s="564"/>
      <c r="R29" s="565" t="s">
        <v>245</v>
      </c>
      <c r="S29" s="565"/>
      <c r="T29" s="565"/>
      <c r="U29" s="565"/>
      <c r="V29" s="565"/>
      <c r="W29" s="563"/>
      <c r="X29" s="563"/>
    </row>
    <row r="30" spans="1:24" ht="27" thickTop="1" thickBot="1">
      <c r="B30" s="270" t="s">
        <v>191</v>
      </c>
      <c r="C30" s="303">
        <f ca="1">RANDBETWEEN(0,E30*100)/100</f>
        <v>0.17</v>
      </c>
      <c r="E30" s="300">
        <f>M4</f>
        <v>2</v>
      </c>
      <c r="L30" s="408" t="s">
        <v>171</v>
      </c>
      <c r="M30" s="286" t="s">
        <v>169</v>
      </c>
      <c r="N30" s="287"/>
      <c r="O30" s="287" t="s">
        <v>208</v>
      </c>
      <c r="P30" s="283"/>
      <c r="Q30" s="564"/>
      <c r="R30" s="566" t="str">
        <f>IF(C14="ЄВРО-0, ЄВРО-1", "",U30)</f>
        <v/>
      </c>
      <c r="S30" s="567" t="str">
        <f>IF(C14="ЄВРО-0, ЄВРО-1", "", U30)</f>
        <v/>
      </c>
      <c r="T30" s="565"/>
      <c r="U30" s="568" t="s">
        <v>246</v>
      </c>
      <c r="V30" s="565" t="s">
        <v>247</v>
      </c>
      <c r="W30" s="563"/>
      <c r="X30" s="563"/>
    </row>
    <row r="31" spans="1:24" ht="18.600000000000001" customHeight="1" thickTop="1" thickBot="1">
      <c r="B31" s="270" t="s">
        <v>96</v>
      </c>
      <c r="C31" s="303">
        <f ca="1">Q37</f>
        <v>14.9</v>
      </c>
      <c r="E31" s="301"/>
      <c r="L31" s="408"/>
      <c r="M31" s="286" t="s">
        <v>179</v>
      </c>
      <c r="N31" s="287"/>
      <c r="O31" s="287" t="s">
        <v>181</v>
      </c>
      <c r="P31" s="283"/>
      <c r="Q31" s="563"/>
      <c r="R31" s="563"/>
      <c r="S31" s="563"/>
      <c r="T31" s="563"/>
      <c r="U31" s="563"/>
      <c r="V31" s="563"/>
      <c r="W31" s="563"/>
      <c r="X31" s="563"/>
    </row>
    <row r="32" spans="1:24" ht="16.899999999999999" customHeight="1" thickTop="1">
      <c r="B32" s="270" t="s">
        <v>192</v>
      </c>
      <c r="C32" s="304">
        <f ca="1" xml:space="preserve"> IF(-((1-C35)*(100-C31+C30)-1.88*C30)/(4.76*C35-1)&lt;0, 0, -((1-C35)*(100-C31+C30)-1.88*C21)/(4.76*C35-1))</f>
        <v>0</v>
      </c>
      <c r="E32" s="301"/>
      <c r="L32" s="269"/>
      <c r="M32" s="269"/>
    </row>
    <row r="33" spans="2:23" ht="16.899999999999999" customHeight="1" thickBot="1">
      <c r="B33" s="270" t="s">
        <v>195</v>
      </c>
      <c r="C33" s="303">
        <f ca="1">IF(C16=4,(C30*(15/(C30+C31))), (C30*(10/(C30+C31))))</f>
        <v>0.16921035169210352</v>
      </c>
      <c r="E33" s="301"/>
      <c r="L33" s="285" t="s">
        <v>212</v>
      </c>
      <c r="T33" s="380" t="s">
        <v>264</v>
      </c>
      <c r="U33" s="281"/>
      <c r="V33" s="281"/>
      <c r="W33" s="281"/>
    </row>
    <row r="34" spans="2:23" ht="12" customHeight="1" thickTop="1" thickBot="1">
      <c r="B34" s="270" t="s">
        <v>193</v>
      </c>
      <c r="C34" s="302">
        <f ca="1">T9</f>
        <v>304</v>
      </c>
      <c r="E34" s="301"/>
      <c r="L34" s="405" t="s">
        <v>211</v>
      </c>
      <c r="M34" s="405"/>
      <c r="N34" s="409" t="s">
        <v>98</v>
      </c>
      <c r="O34" s="409"/>
      <c r="P34" s="405" t="s">
        <v>213</v>
      </c>
      <c r="Q34" s="405"/>
      <c r="T34" s="379" t="str">
        <f ca="1">IF(AND(0.97&lt;C26,C26&lt;1.03),U30,V30)</f>
        <v>НЕГОДЕН</v>
      </c>
      <c r="U34" s="281"/>
      <c r="V34" s="281"/>
      <c r="W34" s="281"/>
    </row>
    <row r="35" spans="2:23" ht="19.5" thickTop="1" thickBot="1">
      <c r="B35" s="270" t="s">
        <v>194</v>
      </c>
      <c r="C35" s="374">
        <f ca="1">IF(AND(C13="до 01.04.2009",C14="ЄВРО-0, ЄВРО-1"),RANDBETWEEN(960,1200)/1000, RANDBETWEEN(971,1029)/1000)</f>
        <v>0.97299999999999998</v>
      </c>
      <c r="E35" s="301"/>
      <c r="L35" s="405"/>
      <c r="M35" s="405"/>
      <c r="N35" s="288" t="s">
        <v>174</v>
      </c>
      <c r="O35" s="288" t="s">
        <v>175</v>
      </c>
      <c r="P35" s="405"/>
      <c r="Q35" s="405"/>
      <c r="T35" s="380" t="s">
        <v>265</v>
      </c>
      <c r="U35" s="281"/>
      <c r="V35" s="281"/>
      <c r="W35" s="281"/>
    </row>
    <row r="36" spans="2:23" ht="17.45" customHeight="1" thickTop="1" thickBot="1">
      <c r="L36" s="400" t="s">
        <v>170</v>
      </c>
      <c r="M36" s="289" t="s">
        <v>178</v>
      </c>
      <c r="N36" s="291">
        <f ca="1">RANDBETWEEN(110,160)/10</f>
        <v>12.9</v>
      </c>
      <c r="O36" s="291">
        <f ca="1">RANDBETWEEN(144,155)/10</f>
        <v>14.9</v>
      </c>
      <c r="P36" s="288" t="s">
        <v>174</v>
      </c>
      <c r="Q36" s="288" t="s">
        <v>175</v>
      </c>
      <c r="T36" s="379" t="str">
        <f ca="1">IF(AND(0.97&lt;C35,C35&lt;1.03),U30,V30)</f>
        <v>ГОДЕН</v>
      </c>
      <c r="U36" s="281"/>
      <c r="V36" s="281"/>
      <c r="W36" s="281"/>
    </row>
    <row r="37" spans="2:23" ht="14.25" thickTop="1" thickBot="1">
      <c r="L37" s="401"/>
      <c r="M37" s="290" t="s">
        <v>180</v>
      </c>
      <c r="N37" s="403">
        <f ca="1">RANDBETWEEN(100,150)/10</f>
        <v>14.8</v>
      </c>
      <c r="O37" s="403">
        <f ca="1">RANDBETWEEN(144,155)/10</f>
        <v>14.8</v>
      </c>
      <c r="P37" s="406">
        <f ca="1">IF(AND(C13="до 01.04.2009",C14="ЄВРО-0, ЄВРО-1"),N36,N37)</f>
        <v>12.9</v>
      </c>
      <c r="Q37" s="406">
        <f ca="1">IF(AND(C13="до 01.04.2009",C14="ЄВРО-0, ЄВРО-1"),O36,O37)</f>
        <v>14.9</v>
      </c>
    </row>
    <row r="38" spans="2:23" ht="19.5" thickTop="1" thickBot="1">
      <c r="L38" s="402"/>
      <c r="M38" s="290" t="s">
        <v>182</v>
      </c>
      <c r="N38" s="404"/>
      <c r="O38" s="404"/>
      <c r="P38" s="407"/>
      <c r="Q38" s="407"/>
      <c r="T38" s="380" t="s">
        <v>266</v>
      </c>
      <c r="U38" s="281"/>
      <c r="V38" s="281"/>
    </row>
    <row r="39" spans="2:23" ht="13.5" thickTop="1">
      <c r="T39" s="379" t="str">
        <f ca="1">IF(OR(T34="НЕГОДЕН",T36="НЕГОДЕН"),"НЕГОДЕН","ГОДЕН")</f>
        <v>НЕГОДЕН</v>
      </c>
      <c r="U39" s="281"/>
      <c r="V39" s="281"/>
    </row>
    <row r="41" spans="2:23">
      <c r="L41" s="263" t="s">
        <v>217</v>
      </c>
    </row>
    <row r="46" spans="2:23" ht="12" customHeight="1"/>
    <row r="53" ht="24" customHeight="1"/>
    <row r="54" ht="12" customHeight="1"/>
    <row r="55" ht="24" customHeight="1"/>
    <row r="56" ht="12" customHeight="1"/>
    <row r="57" ht="24" customHeight="1"/>
    <row r="58" ht="12" customHeight="1"/>
    <row r="59" ht="24" customHeight="1"/>
    <row r="60" ht="12" customHeight="1"/>
    <row r="72" ht="17.45" customHeight="1"/>
  </sheetData>
  <mergeCells count="37">
    <mergeCell ref="O22:O24"/>
    <mergeCell ref="L9:L11"/>
    <mergeCell ref="L7:M8"/>
    <mergeCell ref="Q9:Q10"/>
    <mergeCell ref="P9:P10"/>
    <mergeCell ref="N9:N10"/>
    <mergeCell ref="O9:O10"/>
    <mergeCell ref="U25:U26"/>
    <mergeCell ref="N12:N13"/>
    <mergeCell ref="O12:O13"/>
    <mergeCell ref="M12:M13"/>
    <mergeCell ref="N7:O7"/>
    <mergeCell ref="P7:Q7"/>
    <mergeCell ref="R19:U19"/>
    <mergeCell ref="R20:S20"/>
    <mergeCell ref="T20:U20"/>
    <mergeCell ref="P19:Q20"/>
    <mergeCell ref="T25:T26"/>
    <mergeCell ref="O19:O21"/>
    <mergeCell ref="N19:N21"/>
    <mergeCell ref="L19:M21"/>
    <mergeCell ref="L22:L24"/>
    <mergeCell ref="N22:N24"/>
    <mergeCell ref="L30:L31"/>
    <mergeCell ref="N34:O34"/>
    <mergeCell ref="L34:M35"/>
    <mergeCell ref="R25:R26"/>
    <mergeCell ref="S25:S26"/>
    <mergeCell ref="O25:O26"/>
    <mergeCell ref="L25:L26"/>
    <mergeCell ref="M25:M26"/>
    <mergeCell ref="L36:L38"/>
    <mergeCell ref="N37:N38"/>
    <mergeCell ref="O37:O38"/>
    <mergeCell ref="P34:Q35"/>
    <mergeCell ref="P37:P38"/>
    <mergeCell ref="Q37:Q38"/>
  </mergeCells>
  <phoneticPr fontId="3" type="noConversion"/>
  <dataValidations count="5">
    <dataValidation type="list" allowBlank="1" showInputMessage="1" showErrorMessage="1" sqref="C12">
      <formula1>$M$22:$M$24</formula1>
    </dataValidation>
    <dataValidation type="list" allowBlank="1" showInputMessage="1" showErrorMessage="1" sqref="C13">
      <formula1>$L$22:$L$26</formula1>
    </dataValidation>
    <dataValidation type="list" allowBlank="1" showInputMessage="1" showErrorMessage="1" sqref="C14">
      <formula1>$N$22:$N$26</formula1>
    </dataValidation>
    <dataValidation type="list" allowBlank="1" showInputMessage="1" showErrorMessage="1" sqref="C15">
      <formula1>$R$20:$U$20</formula1>
    </dataValidation>
    <dataValidation type="list" allowBlank="1" showInputMessage="1" showErrorMessage="1" sqref="C16">
      <formula1>$O$3:$O$4</formula1>
    </dataValidation>
  </dataValidations>
  <pageMargins left="0" right="0" top="0.15748031496062992" bottom="0" header="0.31496062992125984" footer="0.31496062992125984"/>
  <pageSetup paperSize="9" scale="74" orientation="portrait" horizontalDpi="20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30" zoomScaleNormal="130" workbookViewId="0">
      <selection activeCell="K11" sqref="K11:L11"/>
    </sheetView>
  </sheetViews>
  <sheetFormatPr defaultRowHeight="12.75"/>
  <cols>
    <col min="1" max="1" width="8.42578125" customWidth="1"/>
    <col min="2" max="2" width="10.7109375" customWidth="1"/>
    <col min="3" max="3" width="3.7109375" customWidth="1"/>
    <col min="4" max="4" width="6.7109375" customWidth="1"/>
    <col min="5" max="5" width="0.28515625" customWidth="1"/>
    <col min="6" max="6" width="6" customWidth="1"/>
    <col min="7" max="13" width="6.28515625" customWidth="1"/>
    <col min="14" max="14" width="7.7109375" customWidth="1"/>
  </cols>
  <sheetData>
    <row r="1" spans="1:15" ht="3" customHeight="1"/>
    <row r="2" spans="1:15" ht="18.75">
      <c r="A2" s="541" t="s">
        <v>47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31"/>
    </row>
    <row r="3" spans="1:15" ht="18.75">
      <c r="A3" s="91"/>
      <c r="B3" s="91"/>
      <c r="C3" s="91"/>
      <c r="F3" s="91"/>
      <c r="G3" s="91"/>
      <c r="H3" s="91"/>
      <c r="I3" s="91"/>
      <c r="J3" s="91"/>
      <c r="K3" s="91"/>
      <c r="L3" s="91"/>
      <c r="M3" s="91"/>
      <c r="N3" s="31"/>
    </row>
    <row r="4" spans="1:15" ht="10.9" customHeight="1">
      <c r="A4" s="41" t="s">
        <v>48</v>
      </c>
      <c r="B4" s="179">
        <f ca="1">NOW()</f>
        <v>44834.790105208333</v>
      </c>
      <c r="C4" s="57"/>
      <c r="D4" s="515" t="s">
        <v>129</v>
      </c>
      <c r="E4" s="515"/>
      <c r="F4" s="515"/>
      <c r="G4" s="469">
        <v>0.4848958333333333</v>
      </c>
      <c r="H4" s="469"/>
      <c r="I4" s="57"/>
      <c r="J4" s="57"/>
      <c r="K4" s="126"/>
      <c r="L4" s="464" t="s">
        <v>106</v>
      </c>
      <c r="M4" s="464"/>
      <c r="N4" s="464"/>
    </row>
    <row r="5" spans="1:15" ht="10.9" customHeight="1">
      <c r="A5" s="460" t="s">
        <v>49</v>
      </c>
      <c r="B5" s="460"/>
      <c r="C5" s="542">
        <f ca="1">B4</f>
        <v>44834.790105208333</v>
      </c>
      <c r="D5" s="542"/>
      <c r="E5" s="178" t="s">
        <v>130</v>
      </c>
      <c r="F5" s="467">
        <f>G4</f>
        <v>0.4848958333333333</v>
      </c>
      <c r="G5" s="467"/>
      <c r="H5" s="55"/>
      <c r="I5" s="55"/>
      <c r="J5" s="55"/>
      <c r="K5" s="465" t="s">
        <v>107</v>
      </c>
      <c r="L5" s="465"/>
      <c r="M5" s="465"/>
      <c r="N5" s="465"/>
    </row>
    <row r="6" spans="1:15" ht="10.9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  <c r="O6" s="135"/>
    </row>
    <row r="7" spans="1:15" ht="10.9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5" ht="10.9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 t="s">
        <v>124</v>
      </c>
      <c r="I8" s="456"/>
      <c r="J8" s="456"/>
      <c r="K8" s="456"/>
      <c r="L8" s="183"/>
    </row>
    <row r="9" spans="1:15" ht="10.9" customHeight="1">
      <c r="A9" s="94" t="s">
        <v>51</v>
      </c>
      <c r="B9" s="455" t="s">
        <v>123</v>
      </c>
      <c r="C9" s="472"/>
      <c r="D9" s="93"/>
      <c r="E9" s="93"/>
      <c r="F9" s="93"/>
      <c r="G9" s="195"/>
      <c r="H9" s="186" t="s">
        <v>125</v>
      </c>
      <c r="I9" s="185"/>
      <c r="J9" s="185"/>
      <c r="K9" s="185"/>
      <c r="L9" s="185"/>
    </row>
    <row r="10" spans="1:15" ht="10.9" customHeight="1">
      <c r="A10" s="94" t="s">
        <v>53</v>
      </c>
      <c r="B10" s="518" t="s">
        <v>126</v>
      </c>
      <c r="C10" s="518"/>
      <c r="D10" s="93"/>
      <c r="E10" s="93"/>
      <c r="F10" s="93"/>
      <c r="G10" s="93"/>
      <c r="H10" s="451" t="s">
        <v>52</v>
      </c>
      <c r="I10" s="451"/>
      <c r="J10" s="451"/>
      <c r="K10" s="183"/>
      <c r="L10" s="183"/>
    </row>
    <row r="11" spans="1:15" ht="10.9" customHeight="1">
      <c r="A11" s="23" t="s">
        <v>54</v>
      </c>
      <c r="B11" s="518" t="s">
        <v>131</v>
      </c>
      <c r="C11" s="518"/>
      <c r="D11" s="518"/>
      <c r="E11" s="518"/>
      <c r="F11" s="518"/>
      <c r="G11" s="93"/>
      <c r="H11" s="186" t="s">
        <v>132</v>
      </c>
      <c r="I11" s="185"/>
      <c r="J11" s="185"/>
      <c r="K11" s="519" t="str">
        <f>'Hofm3 осі'!N5</f>
        <v>Т0326</v>
      </c>
      <c r="L11" s="520"/>
    </row>
    <row r="12" spans="1:15" ht="10.9" customHeight="1">
      <c r="A12" s="23"/>
      <c r="B12" s="518" t="s">
        <v>137</v>
      </c>
      <c r="C12" s="518"/>
      <c r="D12" s="93"/>
      <c r="E12" s="93"/>
      <c r="F12" s="93"/>
      <c r="G12" s="93"/>
      <c r="H12" s="452"/>
      <c r="I12" s="452"/>
      <c r="J12" s="452"/>
      <c r="K12" s="543"/>
      <c r="L12" s="543"/>
      <c r="M12" s="164"/>
      <c r="N12" s="164"/>
    </row>
    <row r="13" spans="1:15" ht="10.9" customHeight="1">
      <c r="H13" s="94"/>
      <c r="I13" s="94"/>
      <c r="J13" s="94"/>
      <c r="K13" s="185"/>
      <c r="L13" s="185"/>
    </row>
    <row r="14" spans="1:15" ht="10.9" customHeight="1">
      <c r="H14" s="452" t="s">
        <v>133</v>
      </c>
      <c r="I14" s="452"/>
      <c r="J14" s="452"/>
      <c r="K14" s="94"/>
      <c r="L14" s="94"/>
    </row>
    <row r="15" spans="1:15" ht="10.9" customHeight="1">
      <c r="A15" s="23"/>
      <c r="B15" s="23"/>
      <c r="C15" s="23"/>
      <c r="D15" s="42"/>
      <c r="E15" s="42"/>
      <c r="F15" s="42"/>
      <c r="G15" s="42"/>
      <c r="H15" s="453" t="s">
        <v>121</v>
      </c>
      <c r="I15" s="453"/>
      <c r="J15" s="453"/>
      <c r="K15" s="94"/>
      <c r="L15" s="94"/>
    </row>
    <row r="16" spans="1:15" ht="10.9" customHeight="1">
      <c r="A16" s="23"/>
      <c r="B16" s="23"/>
      <c r="C16" s="23"/>
      <c r="D16" s="42"/>
      <c r="E16" s="42"/>
      <c r="F16" s="42"/>
      <c r="G16" s="42"/>
      <c r="H16" s="453"/>
      <c r="I16" s="453"/>
      <c r="J16" s="453"/>
      <c r="K16" s="94"/>
      <c r="L16" s="94"/>
    </row>
    <row r="17" spans="1:14" ht="10.9" customHeight="1">
      <c r="A17" s="539"/>
      <c r="B17" s="539"/>
      <c r="C17" s="539"/>
      <c r="D17" s="539"/>
      <c r="E17" s="539"/>
      <c r="F17" s="539"/>
      <c r="G17" s="539"/>
      <c r="H17" s="457"/>
      <c r="I17" s="457"/>
      <c r="J17" s="457"/>
      <c r="K17" s="95"/>
      <c r="L17" s="95"/>
    </row>
    <row r="18" spans="1:14" ht="10.9" customHeight="1">
      <c r="A18" s="453"/>
      <c r="B18" s="453"/>
      <c r="C18" s="94"/>
      <c r="D18" s="93"/>
      <c r="E18" s="93"/>
      <c r="F18" s="93"/>
      <c r="G18" s="93"/>
      <c r="H18" s="95"/>
      <c r="I18" s="95"/>
      <c r="J18" s="95"/>
      <c r="K18" s="95"/>
      <c r="L18" s="95"/>
    </row>
    <row r="19" spans="1:14" ht="10.9" customHeight="1">
      <c r="A19" s="123"/>
      <c r="B19" s="92"/>
      <c r="C19" s="94"/>
      <c r="D19" s="93"/>
      <c r="E19" s="93"/>
      <c r="F19" s="93"/>
      <c r="G19" s="93"/>
      <c r="H19" s="95"/>
      <c r="I19" s="95"/>
      <c r="J19" s="95"/>
      <c r="K19" s="95"/>
      <c r="L19" s="95"/>
    </row>
    <row r="20" spans="1:14" ht="10.9" customHeight="1">
      <c r="K20" s="95"/>
      <c r="L20" s="95"/>
    </row>
    <row r="21" spans="1:14" ht="13.9" customHeight="1">
      <c r="A21" s="97" t="s">
        <v>55</v>
      </c>
      <c r="B21" s="97"/>
    </row>
    <row r="22" spans="1:14" ht="13.9" customHeight="1">
      <c r="A22" s="98"/>
      <c r="B22" s="98"/>
    </row>
    <row r="23" spans="1:14" ht="10.9" customHeight="1">
      <c r="A23" s="540" t="s">
        <v>56</v>
      </c>
      <c r="B23" s="540"/>
      <c r="C23" s="99"/>
      <c r="D23" s="100" t="s">
        <v>57</v>
      </c>
      <c r="E23" s="100"/>
      <c r="F23" s="100" t="s">
        <v>58</v>
      </c>
      <c r="G23" s="100" t="s">
        <v>128</v>
      </c>
      <c r="H23" s="100">
        <v>4</v>
      </c>
      <c r="I23" s="100">
        <v>5</v>
      </c>
      <c r="J23" s="100">
        <v>6</v>
      </c>
      <c r="K23" s="100">
        <v>7</v>
      </c>
      <c r="L23" s="100">
        <v>8</v>
      </c>
      <c r="M23" s="100">
        <v>9</v>
      </c>
      <c r="N23" s="101" t="s">
        <v>29</v>
      </c>
    </row>
    <row r="24" spans="1:14" ht="10.9" customHeight="1">
      <c r="A24" s="516" t="s">
        <v>0</v>
      </c>
      <c r="B24" s="517"/>
      <c r="C24" s="102" t="s">
        <v>1</v>
      </c>
      <c r="D24" s="103">
        <f ca="1">'Hofm3 осі'!C1</f>
        <v>21443</v>
      </c>
      <c r="E24" s="482">
        <f ca="1">'Hofm3 осі'!D1</f>
        <v>21017</v>
      </c>
      <c r="F24" s="494"/>
      <c r="G24" s="103">
        <f ca="1">'Hofm3 осі'!E1</f>
        <v>21865</v>
      </c>
      <c r="H24" s="103"/>
      <c r="I24" s="104"/>
      <c r="J24" s="104"/>
      <c r="K24" s="104"/>
      <c r="L24" s="104"/>
      <c r="M24" s="104"/>
      <c r="N24" s="105"/>
    </row>
    <row r="25" spans="1:14" ht="10.9" customHeight="1">
      <c r="A25" s="516" t="s">
        <v>2</v>
      </c>
      <c r="B25" s="517"/>
      <c r="C25" s="102" t="s">
        <v>1</v>
      </c>
      <c r="D25" s="103">
        <f ca="1">'Hofm3 осі'!C2</f>
        <v>19057</v>
      </c>
      <c r="E25" s="482">
        <f ca="1">'Hofm3 осі'!D2</f>
        <v>20137</v>
      </c>
      <c r="F25" s="494"/>
      <c r="G25" s="103">
        <f ca="1">'Hofm3 осі'!E2</f>
        <v>21076</v>
      </c>
      <c r="H25" s="103"/>
      <c r="I25" s="104"/>
      <c r="J25" s="104"/>
      <c r="K25" s="104"/>
      <c r="L25" s="104"/>
      <c r="M25" s="104"/>
      <c r="N25" s="105"/>
    </row>
    <row r="26" spans="1:14" ht="10.9" customHeight="1">
      <c r="A26" s="516" t="s">
        <v>3</v>
      </c>
      <c r="B26" s="517"/>
      <c r="C26" s="102" t="s">
        <v>1</v>
      </c>
      <c r="D26" s="148">
        <f ca="1">'Hofm3 осі'!C3</f>
        <v>666</v>
      </c>
      <c r="E26" s="482">
        <f ca="1">'Hofm3 осі'!D3</f>
        <v>703</v>
      </c>
      <c r="F26" s="494"/>
      <c r="G26" s="103">
        <f ca="1">'Hofm3 осі'!E3</f>
        <v>799</v>
      </c>
      <c r="H26" s="103"/>
      <c r="I26" s="104"/>
      <c r="J26" s="104"/>
      <c r="K26" s="104"/>
      <c r="L26" s="104"/>
      <c r="M26" s="104"/>
      <c r="N26" s="105"/>
    </row>
    <row r="27" spans="1:14" ht="10.9" customHeight="1">
      <c r="A27" s="516" t="s">
        <v>75</v>
      </c>
      <c r="B27" s="517"/>
      <c r="C27" s="102" t="s">
        <v>1</v>
      </c>
      <c r="D27" s="103">
        <f ca="1">'Hofm3 осі'!C4</f>
        <v>803</v>
      </c>
      <c r="E27" s="482">
        <f ca="1">'Hofm3 осі'!D4</f>
        <v>373</v>
      </c>
      <c r="F27" s="494"/>
      <c r="G27" s="103">
        <f ca="1">'Hofm3 осі'!E4</f>
        <v>587</v>
      </c>
      <c r="H27" s="103"/>
      <c r="I27" s="104"/>
      <c r="J27" s="104"/>
      <c r="K27" s="104"/>
      <c r="L27" s="104"/>
      <c r="M27" s="104"/>
      <c r="N27" s="105"/>
    </row>
    <row r="28" spans="1:14" ht="10.9" customHeight="1">
      <c r="A28" s="516" t="s">
        <v>5</v>
      </c>
      <c r="B28" s="517"/>
      <c r="C28" s="102" t="s">
        <v>6</v>
      </c>
      <c r="D28" s="103"/>
      <c r="E28" s="482"/>
      <c r="F28" s="494"/>
      <c r="G28" s="103"/>
      <c r="H28" s="103"/>
      <c r="I28" s="104"/>
      <c r="J28" s="104"/>
      <c r="K28" s="104"/>
      <c r="L28" s="104"/>
      <c r="M28" s="104"/>
      <c r="N28" s="105"/>
    </row>
    <row r="29" spans="1:14" ht="10.9" customHeight="1">
      <c r="A29" s="516" t="s">
        <v>7</v>
      </c>
      <c r="B29" s="517"/>
      <c r="C29" s="106" t="s">
        <v>6</v>
      </c>
      <c r="D29" s="103" t="s">
        <v>134</v>
      </c>
      <c r="E29" s="482" t="s">
        <v>134</v>
      </c>
      <c r="F29" s="494"/>
      <c r="G29" s="103" t="s">
        <v>134</v>
      </c>
      <c r="H29" s="103"/>
      <c r="I29" s="104"/>
      <c r="J29" s="104"/>
      <c r="K29" s="104"/>
      <c r="L29" s="104"/>
      <c r="M29" s="104"/>
      <c r="N29" s="105"/>
    </row>
    <row r="30" spans="1:14" ht="10.9" customHeight="1">
      <c r="A30" s="516" t="s">
        <v>8</v>
      </c>
      <c r="B30" s="517"/>
      <c r="C30" s="106" t="s">
        <v>6</v>
      </c>
      <c r="D30" s="174" t="s">
        <v>134</v>
      </c>
      <c r="E30" s="445" t="s">
        <v>134</v>
      </c>
      <c r="F30" s="446"/>
      <c r="G30" s="174" t="s">
        <v>134</v>
      </c>
      <c r="H30" s="103"/>
      <c r="I30" s="104"/>
      <c r="J30" s="104"/>
      <c r="K30" s="104"/>
      <c r="L30" s="104"/>
      <c r="M30" s="104"/>
      <c r="N30" s="105"/>
    </row>
    <row r="31" spans="1:14" ht="10.9" customHeight="1">
      <c r="A31" s="516" t="s">
        <v>9</v>
      </c>
      <c r="B31" s="517"/>
      <c r="C31" s="102" t="s">
        <v>1</v>
      </c>
      <c r="D31" s="103">
        <f ca="1">'Hofm3 осі'!C8</f>
        <v>218</v>
      </c>
      <c r="E31" s="482">
        <f ca="1">'Hofm3 осі'!D8</f>
        <v>242</v>
      </c>
      <c r="F31" s="494"/>
      <c r="G31" s="103">
        <f ca="1">'Hofm3 осі'!E8</f>
        <v>285</v>
      </c>
      <c r="H31" s="103"/>
      <c r="I31" s="104"/>
      <c r="J31" s="104"/>
      <c r="K31" s="104"/>
      <c r="L31" s="104"/>
      <c r="M31" s="104"/>
      <c r="N31" s="102" t="s">
        <v>59</v>
      </c>
    </row>
    <row r="32" spans="1:14" ht="10.9" customHeight="1">
      <c r="A32" s="516" t="s">
        <v>10</v>
      </c>
      <c r="B32" s="517"/>
      <c r="C32" s="106" t="s">
        <v>6</v>
      </c>
      <c r="D32" s="103">
        <f>Hofmann!C9</f>
        <v>6.5</v>
      </c>
      <c r="E32" s="482">
        <f>Hofmann!D9</f>
        <v>6.5</v>
      </c>
      <c r="F32" s="494"/>
      <c r="G32" s="103">
        <v>6.5</v>
      </c>
      <c r="H32" s="103"/>
      <c r="I32" s="104"/>
      <c r="J32" s="104"/>
      <c r="K32" s="104"/>
      <c r="L32" s="104"/>
      <c r="M32" s="104"/>
      <c r="N32" s="107"/>
    </row>
    <row r="33" spans="1:14" ht="10.9" customHeight="1">
      <c r="A33" s="516" t="s">
        <v>11</v>
      </c>
      <c r="B33" s="517"/>
      <c r="C33" s="106" t="s">
        <v>12</v>
      </c>
      <c r="D33" s="389">
        <f ca="1">'Hofm3 осі'!C11</f>
        <v>11</v>
      </c>
      <c r="E33" s="511">
        <f ca="1">'Hofm3 осі'!D11</f>
        <v>4</v>
      </c>
      <c r="F33" s="512"/>
      <c r="G33" s="389">
        <f ca="1">'Hofm3 осі'!E11</f>
        <v>4</v>
      </c>
      <c r="H33" s="103"/>
      <c r="I33" s="104"/>
      <c r="J33" s="104"/>
      <c r="K33" s="104"/>
      <c r="L33" s="104"/>
      <c r="M33" s="104"/>
      <c r="N33" s="102" t="s">
        <v>33</v>
      </c>
    </row>
    <row r="34" spans="1:14" ht="10.9" customHeight="1">
      <c r="A34" s="516" t="s">
        <v>13</v>
      </c>
      <c r="B34" s="517"/>
      <c r="C34" s="106" t="s">
        <v>12</v>
      </c>
      <c r="D34" s="103">
        <f ca="1">ROUND(D33*RANDBETWEEN(12,14)/10,0)</f>
        <v>15</v>
      </c>
      <c r="E34" s="513">
        <f ca="1">ROUND(E33*RANDBETWEEN(12,14)/10,0)</f>
        <v>5</v>
      </c>
      <c r="F34" s="514"/>
      <c r="G34" s="103">
        <f ca="1">ROUND(G33*RANDBETWEEN(12,14)/10,0)</f>
        <v>5</v>
      </c>
      <c r="H34" s="103"/>
      <c r="I34" s="104"/>
      <c r="J34" s="104"/>
      <c r="K34" s="104"/>
      <c r="L34" s="104"/>
      <c r="M34" s="104"/>
      <c r="N34" s="102" t="s">
        <v>60</v>
      </c>
    </row>
    <row r="35" spans="1:14" ht="10.9" customHeight="1">
      <c r="A35" s="516" t="s">
        <v>14</v>
      </c>
      <c r="B35" s="517"/>
      <c r="C35" s="106" t="s">
        <v>12</v>
      </c>
      <c r="D35" s="103"/>
      <c r="E35" s="526"/>
      <c r="F35" s="526"/>
      <c r="G35" s="190"/>
      <c r="H35" s="103"/>
      <c r="I35" s="104"/>
      <c r="J35" s="104"/>
      <c r="K35" s="104"/>
      <c r="L35" s="104"/>
      <c r="M35" s="104"/>
      <c r="N35" s="102" t="s">
        <v>60</v>
      </c>
    </row>
    <row r="36" spans="1:14" ht="10.9" customHeight="1">
      <c r="A36" s="516" t="s">
        <v>15</v>
      </c>
      <c r="B36" s="517"/>
      <c r="C36" s="106" t="s">
        <v>12</v>
      </c>
      <c r="D36" s="103"/>
      <c r="E36" s="482"/>
      <c r="F36" s="494"/>
      <c r="G36" s="103"/>
      <c r="H36" s="103"/>
      <c r="I36" s="104"/>
      <c r="J36" s="104"/>
      <c r="K36" s="104"/>
      <c r="L36" s="104"/>
      <c r="M36" s="104"/>
      <c r="N36" s="102" t="s">
        <v>60</v>
      </c>
    </row>
    <row r="37" spans="1:14" ht="10.9" customHeight="1">
      <c r="A37" s="516" t="s">
        <v>16</v>
      </c>
      <c r="B37" s="517"/>
      <c r="C37" s="106" t="s">
        <v>17</v>
      </c>
      <c r="D37" s="103">
        <f ca="1">'Hofm3 осі'!C14</f>
        <v>3971</v>
      </c>
      <c r="E37" s="482">
        <f ca="1">'Hofm3 осі'!D14</f>
        <v>3892</v>
      </c>
      <c r="F37" s="494"/>
      <c r="G37" s="103">
        <f ca="1">'Hofm3 осі'!E14</f>
        <v>4049</v>
      </c>
      <c r="H37" s="103"/>
      <c r="I37" s="104"/>
      <c r="J37" s="104"/>
      <c r="K37" s="104"/>
      <c r="L37" s="104"/>
      <c r="M37" s="104"/>
      <c r="N37" s="107"/>
    </row>
    <row r="38" spans="1:14" ht="10.9" customHeight="1">
      <c r="A38" s="516" t="s">
        <v>74</v>
      </c>
      <c r="B38" s="517"/>
      <c r="C38" s="106" t="s">
        <v>17</v>
      </c>
      <c r="D38" s="103">
        <f ca="1">'Hofm3 осі'!C15</f>
        <v>3529</v>
      </c>
      <c r="E38" s="482">
        <f ca="1">'Hofm3 осі'!D15</f>
        <v>3729</v>
      </c>
      <c r="F38" s="494"/>
      <c r="G38" s="103">
        <f ca="1">'Hofm3 осі'!E15</f>
        <v>3903</v>
      </c>
      <c r="H38" s="103"/>
      <c r="I38" s="104"/>
      <c r="J38" s="104"/>
      <c r="K38" s="104"/>
      <c r="L38" s="104"/>
      <c r="M38" s="104"/>
      <c r="N38" s="107"/>
    </row>
    <row r="39" spans="1:14" ht="10.9" customHeight="1">
      <c r="A39" s="516" t="s">
        <v>76</v>
      </c>
      <c r="B39" s="517"/>
      <c r="C39" s="106" t="s">
        <v>17</v>
      </c>
      <c r="D39" s="103">
        <f>'Hofm3 осі'!C16</f>
        <v>7500</v>
      </c>
      <c r="E39" s="482">
        <f>'Hofm3 осі'!D16</f>
        <v>7621</v>
      </c>
      <c r="F39" s="494"/>
      <c r="G39" s="103">
        <f>'Hofm3 осі'!E16</f>
        <v>7952</v>
      </c>
      <c r="H39" s="103"/>
      <c r="I39" s="104"/>
      <c r="J39" s="104"/>
      <c r="K39" s="104"/>
      <c r="L39" s="104"/>
      <c r="M39" s="104"/>
      <c r="N39" s="107"/>
    </row>
    <row r="40" spans="1:14" ht="10.9" customHeight="1">
      <c r="A40" s="516" t="s">
        <v>20</v>
      </c>
      <c r="B40" s="517"/>
      <c r="C40" s="106" t="s">
        <v>21</v>
      </c>
      <c r="D40" s="108">
        <f ca="1">'Hofm3 осі'!C17</f>
        <v>0.27500000000000002</v>
      </c>
      <c r="E40" s="524">
        <f ca="1">'Hofm3 осі'!D17</f>
        <v>0.13500000000000001</v>
      </c>
      <c r="F40" s="525"/>
      <c r="G40" s="122">
        <f ca="1">'Hofm3 осі'!E17</f>
        <v>0.128</v>
      </c>
      <c r="H40" s="104"/>
      <c r="I40" s="104"/>
      <c r="J40" s="104"/>
      <c r="K40" s="104"/>
      <c r="L40" s="104"/>
      <c r="M40" s="104"/>
      <c r="N40" s="102" t="s">
        <v>140</v>
      </c>
    </row>
    <row r="41" spans="1:14" ht="10.9" customHeight="1">
      <c r="A41" s="516" t="s">
        <v>22</v>
      </c>
      <c r="B41" s="517"/>
      <c r="C41" s="106" t="s">
        <v>21</v>
      </c>
      <c r="D41" s="108">
        <f ca="1">'Hofm3 осі'!C18</f>
        <v>0.19500000000000001</v>
      </c>
      <c r="E41" s="524">
        <f ca="1">'Hofm3 осі'!D18</f>
        <v>0.28699999999999998</v>
      </c>
      <c r="F41" s="525"/>
      <c r="G41" s="122">
        <f ca="1">'Hofm3 осі'!E18</f>
        <v>0.11899999999999999</v>
      </c>
      <c r="H41" s="104"/>
      <c r="I41" s="104"/>
      <c r="J41" s="104"/>
      <c r="K41" s="104"/>
      <c r="L41" s="104"/>
      <c r="M41" s="104"/>
      <c r="N41" s="102" t="s">
        <v>140</v>
      </c>
    </row>
    <row r="42" spans="1:14" ht="10.9" customHeight="1">
      <c r="A42" s="516" t="s">
        <v>23</v>
      </c>
      <c r="B42" s="517"/>
      <c r="C42" s="106" t="s">
        <v>21</v>
      </c>
      <c r="D42" s="108">
        <f ca="1">'Hofm3 осі'!C19</f>
        <v>0.05</v>
      </c>
      <c r="E42" s="524">
        <f ca="1">'Hofm3 осі'!D19</f>
        <v>0.1</v>
      </c>
      <c r="F42" s="525"/>
      <c r="G42" s="122">
        <f ca="1">'Hofm3 осі'!E19</f>
        <v>0.05</v>
      </c>
      <c r="H42" s="104"/>
      <c r="I42" s="104"/>
      <c r="J42" s="104"/>
      <c r="K42" s="104"/>
      <c r="L42" s="104"/>
      <c r="M42" s="104"/>
      <c r="N42" s="102" t="s">
        <v>136</v>
      </c>
    </row>
    <row r="43" spans="1:14" ht="10.9" customHeight="1">
      <c r="A43" s="96"/>
      <c r="B43" s="96"/>
      <c r="C43" s="96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</row>
    <row r="44" spans="1:14" ht="10.9" customHeight="1">
      <c r="A44" s="30"/>
      <c r="B44" s="30"/>
    </row>
    <row r="45" spans="1:14" ht="10.9" customHeight="1">
      <c r="A45" s="521" t="s">
        <v>24</v>
      </c>
      <c r="B45" s="521"/>
      <c r="C45" s="521"/>
      <c r="D45" s="397">
        <f ca="1">'Hofm3 осі'!B21</f>
        <v>124595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1"/>
    </row>
    <row r="46" spans="1:14" ht="10.9" customHeight="1">
      <c r="A46" s="521" t="s">
        <v>68</v>
      </c>
      <c r="B46" s="521"/>
      <c r="C46" s="521"/>
      <c r="D46" s="112">
        <f ca="1">'Hofm3 осі'!B22/100</f>
        <v>0.55046225000621829</v>
      </c>
      <c r="E46" s="112"/>
      <c r="F46" s="110"/>
      <c r="G46" s="110"/>
      <c r="H46" s="110"/>
      <c r="I46" s="110"/>
      <c r="J46" s="110"/>
      <c r="K46" s="110"/>
      <c r="L46" s="110"/>
      <c r="M46" s="111"/>
      <c r="N46" s="46" t="s">
        <v>115</v>
      </c>
    </row>
    <row r="47" spans="1:14" ht="10.9" customHeight="1">
      <c r="A47" s="521" t="s">
        <v>69</v>
      </c>
      <c r="B47" s="521"/>
      <c r="C47" s="521"/>
      <c r="D47" s="110" t="str">
        <f>Hofmann!B23</f>
        <v>%</v>
      </c>
      <c r="E47" s="110"/>
      <c r="F47" s="110"/>
      <c r="G47" s="110"/>
      <c r="H47" s="110"/>
      <c r="I47" s="110"/>
      <c r="J47" s="110"/>
      <c r="K47" s="110"/>
      <c r="L47" s="110"/>
      <c r="M47" s="111"/>
      <c r="N47" s="51"/>
    </row>
    <row r="48" spans="1:14" ht="10.9" customHeight="1">
      <c r="A48" s="113"/>
      <c r="B48" s="113"/>
      <c r="C48" s="522"/>
      <c r="D48" s="522"/>
      <c r="E48" s="177"/>
      <c r="F48" s="33"/>
      <c r="G48" s="33"/>
      <c r="H48" s="33"/>
      <c r="I48" s="33"/>
      <c r="J48" s="33"/>
      <c r="K48" s="33"/>
      <c r="L48" s="33"/>
      <c r="M48" s="33"/>
      <c r="N48" s="52"/>
    </row>
    <row r="49" spans="1:14" ht="10.9" customHeight="1">
      <c r="A49" s="30"/>
      <c r="B49" s="30"/>
    </row>
    <row r="50" spans="1:14" ht="10.9" customHeight="1">
      <c r="A50" s="523" t="s">
        <v>28</v>
      </c>
      <c r="B50" s="523"/>
      <c r="C50" s="114"/>
      <c r="D50" s="115">
        <v>1</v>
      </c>
      <c r="E50" s="115"/>
      <c r="F50" s="115" t="s">
        <v>71</v>
      </c>
      <c r="G50" s="115" t="s">
        <v>128</v>
      </c>
      <c r="H50" s="115">
        <v>4</v>
      </c>
      <c r="I50" s="115">
        <v>5</v>
      </c>
      <c r="J50" s="115">
        <v>6</v>
      </c>
      <c r="K50" s="115">
        <v>7</v>
      </c>
      <c r="L50" s="115">
        <v>8</v>
      </c>
      <c r="M50" s="115">
        <v>9</v>
      </c>
      <c r="N50" s="101" t="s">
        <v>29</v>
      </c>
    </row>
    <row r="51" spans="1:14" ht="10.9" customHeight="1">
      <c r="A51" s="516" t="s">
        <v>30</v>
      </c>
      <c r="B51" s="517"/>
      <c r="C51" s="102" t="s">
        <v>1</v>
      </c>
      <c r="D51" s="103"/>
      <c r="E51" s="482">
        <f ca="1">'Hofm3 осі'!D26</f>
        <v>10456</v>
      </c>
      <c r="F51" s="494"/>
      <c r="G51" s="103">
        <f ca="1">'Hofm3 осі'!E26</f>
        <v>10878</v>
      </c>
      <c r="H51" s="103"/>
      <c r="I51" s="116"/>
      <c r="J51" s="106"/>
      <c r="K51" s="106"/>
      <c r="L51" s="106"/>
      <c r="M51" s="106"/>
      <c r="N51" s="105"/>
    </row>
    <row r="52" spans="1:14" ht="10.9" customHeight="1">
      <c r="A52" s="516" t="s">
        <v>31</v>
      </c>
      <c r="B52" s="517"/>
      <c r="C52" s="102" t="s">
        <v>1</v>
      </c>
      <c r="D52" s="103"/>
      <c r="E52" s="482">
        <f ca="1">'Hofm3 осі'!D27</f>
        <v>10018</v>
      </c>
      <c r="F52" s="494"/>
      <c r="G52" s="103">
        <f ca="1">'Hofm3 осі'!E27</f>
        <v>10486</v>
      </c>
      <c r="H52" s="106"/>
      <c r="I52" s="106"/>
      <c r="J52" s="106"/>
      <c r="K52" s="106"/>
      <c r="L52" s="106"/>
      <c r="M52" s="106"/>
      <c r="N52" s="105"/>
    </row>
    <row r="53" spans="1:14" ht="10.9" customHeight="1">
      <c r="A53" s="516" t="s">
        <v>32</v>
      </c>
      <c r="B53" s="517"/>
      <c r="C53" s="102" t="s">
        <v>12</v>
      </c>
      <c r="D53" s="106"/>
      <c r="E53" s="527"/>
      <c r="F53" s="528"/>
      <c r="G53" s="106"/>
      <c r="H53" s="106"/>
      <c r="I53" s="106"/>
      <c r="J53" s="106"/>
      <c r="K53" s="106"/>
      <c r="L53" s="106"/>
      <c r="M53" s="106"/>
      <c r="N53" s="106" t="s">
        <v>33</v>
      </c>
    </row>
    <row r="54" spans="1:14" ht="10.9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0.9" customHeight="1">
      <c r="A55" s="532" t="s">
        <v>25</v>
      </c>
      <c r="B55" s="532"/>
      <c r="C55" s="532"/>
      <c r="D55" s="536">
        <f ca="1">'Hofm3 осі'!B31/100</f>
        <v>0.18484080112171564</v>
      </c>
      <c r="E55" s="537"/>
      <c r="F55" s="537"/>
      <c r="G55" s="537"/>
      <c r="H55" s="537"/>
      <c r="I55" s="537"/>
      <c r="J55" s="537"/>
      <c r="K55" s="537"/>
      <c r="L55" s="537"/>
      <c r="M55" s="538"/>
      <c r="N55" s="102" t="s">
        <v>34</v>
      </c>
    </row>
    <row r="56" spans="1:14" ht="10.9" customHeight="1">
      <c r="A56" s="532" t="s">
        <v>27</v>
      </c>
      <c r="B56" s="532"/>
      <c r="C56" s="532"/>
      <c r="D56" s="516" t="str">
        <f>Hofmann!B32</f>
        <v>%</v>
      </c>
      <c r="E56" s="535"/>
      <c r="F56" s="535"/>
      <c r="G56" s="535"/>
      <c r="H56" s="535"/>
      <c r="I56" s="535"/>
      <c r="J56" s="535"/>
      <c r="K56" s="535"/>
      <c r="L56" s="535"/>
      <c r="M56" s="517"/>
      <c r="N56" s="51"/>
    </row>
    <row r="57" spans="1:14" ht="6.75" customHeight="1">
      <c r="A57" s="533"/>
      <c r="B57" s="533"/>
      <c r="C57" s="533"/>
      <c r="D57" s="533"/>
      <c r="E57" s="533"/>
      <c r="F57" s="533"/>
      <c r="G57" s="533"/>
      <c r="H57" s="533"/>
      <c r="I57" s="533"/>
      <c r="J57" s="533"/>
    </row>
    <row r="58" spans="1:14" ht="13.5" customHeight="1" thickBot="1">
      <c r="A58" s="534" t="s">
        <v>105</v>
      </c>
      <c r="B58" s="534"/>
      <c r="C58" s="534"/>
      <c r="D58" s="534"/>
      <c r="E58" s="534"/>
      <c r="F58" s="534"/>
      <c r="G58" s="534"/>
      <c r="H58" s="534"/>
      <c r="I58" s="534"/>
      <c r="J58" s="534"/>
      <c r="K58" s="534"/>
      <c r="L58" s="534"/>
      <c r="M58" s="534"/>
      <c r="N58" s="534"/>
    </row>
    <row r="59" spans="1:14" ht="13.5" thickTop="1">
      <c r="A59" s="117"/>
      <c r="B59" s="117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</row>
    <row r="60" spans="1:14" ht="21" customHeight="1">
      <c r="A60" s="139" t="s">
        <v>111</v>
      </c>
      <c r="H60" s="33"/>
      <c r="I60" s="124"/>
      <c r="M60" s="33"/>
      <c r="N60" s="33"/>
    </row>
    <row r="61" spans="1:14" ht="24" customHeight="1">
      <c r="A61" s="136"/>
      <c r="B61" s="136"/>
      <c r="C61" s="136"/>
      <c r="D61" s="136"/>
      <c r="E61" s="136"/>
      <c r="F61" s="136"/>
      <c r="G61" s="136"/>
      <c r="H61" s="52"/>
      <c r="I61" s="137"/>
      <c r="J61" s="138"/>
      <c r="K61" s="138"/>
      <c r="L61" s="138"/>
      <c r="M61" s="52"/>
      <c r="N61" s="52"/>
    </row>
    <row r="62" spans="1:14" ht="27.75" customHeight="1">
      <c r="A62" s="531" t="s">
        <v>61</v>
      </c>
      <c r="B62" s="531"/>
      <c r="C62" s="531"/>
      <c r="D62" s="531"/>
      <c r="E62" s="531"/>
      <c r="F62" s="531"/>
      <c r="G62" s="531"/>
      <c r="H62" s="52"/>
      <c r="I62" s="137"/>
      <c r="J62" s="529" t="s">
        <v>62</v>
      </c>
      <c r="K62" s="529"/>
      <c r="L62" s="529"/>
      <c r="M62" s="52"/>
      <c r="N62" s="52"/>
    </row>
    <row r="63" spans="1:14" ht="12.75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85" t="s">
        <v>65</v>
      </c>
      <c r="K63" s="485"/>
      <c r="L63" s="485"/>
      <c r="M63" s="486" t="s">
        <v>104</v>
      </c>
      <c r="N63" s="486"/>
    </row>
    <row r="64" spans="1:14" ht="15.75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13.5" customHeight="1">
      <c r="A65" s="142"/>
      <c r="B65" s="142"/>
      <c r="C65" s="530"/>
      <c r="D65" s="530"/>
      <c r="E65" s="142"/>
      <c r="F65" s="142"/>
      <c r="G65" s="530"/>
      <c r="H65" s="530"/>
      <c r="I65" s="530"/>
      <c r="J65" s="530"/>
      <c r="K65" s="149"/>
      <c r="L65" s="149"/>
      <c r="M65" s="149"/>
      <c r="N65" s="149"/>
    </row>
    <row r="66" spans="1:14" ht="12.75" customHeight="1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</row>
    <row r="70" spans="1:14">
      <c r="D70" t="s">
        <v>164</v>
      </c>
    </row>
  </sheetData>
  <mergeCells count="95">
    <mergeCell ref="A2:M2"/>
    <mergeCell ref="L4:N4"/>
    <mergeCell ref="A5:B5"/>
    <mergeCell ref="C5:D5"/>
    <mergeCell ref="K5:N5"/>
    <mergeCell ref="G4:H4"/>
    <mergeCell ref="F5:G5"/>
    <mergeCell ref="A38:B38"/>
    <mergeCell ref="A31:B31"/>
    <mergeCell ref="A24:B24"/>
    <mergeCell ref="H12:J12"/>
    <mergeCell ref="A17:G17"/>
    <mergeCell ref="H17:J17"/>
    <mergeCell ref="A23:B23"/>
    <mergeCell ref="H16:J16"/>
    <mergeCell ref="M63:N63"/>
    <mergeCell ref="A28:B28"/>
    <mergeCell ref="A29:B29"/>
    <mergeCell ref="A30:B30"/>
    <mergeCell ref="A45:C45"/>
    <mergeCell ref="A32:B32"/>
    <mergeCell ref="A35:B35"/>
    <mergeCell ref="A37:B37"/>
    <mergeCell ref="A51:B51"/>
    <mergeCell ref="A42:B42"/>
    <mergeCell ref="A52:B52"/>
    <mergeCell ref="A53:B53"/>
    <mergeCell ref="A55:C55"/>
    <mergeCell ref="A46:C46"/>
    <mergeCell ref="A36:B36"/>
    <mergeCell ref="A41:B41"/>
    <mergeCell ref="A56:C56"/>
    <mergeCell ref="A57:J57"/>
    <mergeCell ref="A58:N58"/>
    <mergeCell ref="D56:M56"/>
    <mergeCell ref="D55:M55"/>
    <mergeCell ref="J62:L62"/>
    <mergeCell ref="G65:H65"/>
    <mergeCell ref="I65:J65"/>
    <mergeCell ref="C63:D63"/>
    <mergeCell ref="J63:L63"/>
    <mergeCell ref="J64:L64"/>
    <mergeCell ref="A62:G62"/>
    <mergeCell ref="C65:D65"/>
    <mergeCell ref="M64:N64"/>
    <mergeCell ref="A47:C47"/>
    <mergeCell ref="A33:B33"/>
    <mergeCell ref="A34:B34"/>
    <mergeCell ref="C64:D64"/>
    <mergeCell ref="C48:D48"/>
    <mergeCell ref="A50:B50"/>
    <mergeCell ref="A39:B39"/>
    <mergeCell ref="A40:B40"/>
    <mergeCell ref="E40:F40"/>
    <mergeCell ref="E35:F35"/>
    <mergeCell ref="E42:F42"/>
    <mergeCell ref="E51:F51"/>
    <mergeCell ref="E52:F52"/>
    <mergeCell ref="E53:F53"/>
    <mergeCell ref="E41:F41"/>
    <mergeCell ref="M6:N6"/>
    <mergeCell ref="B10:C10"/>
    <mergeCell ref="F6:G6"/>
    <mergeCell ref="K11:L11"/>
    <mergeCell ref="H15:J15"/>
    <mergeCell ref="A7:G7"/>
    <mergeCell ref="H7:J7"/>
    <mergeCell ref="B9:C9"/>
    <mergeCell ref="B11:F11"/>
    <mergeCell ref="H14:J14"/>
    <mergeCell ref="H8:K8"/>
    <mergeCell ref="H10:J10"/>
    <mergeCell ref="K12:L12"/>
    <mergeCell ref="E28:F28"/>
    <mergeCell ref="E29:F29"/>
    <mergeCell ref="D4:F4"/>
    <mergeCell ref="B8:G8"/>
    <mergeCell ref="A26:B26"/>
    <mergeCell ref="A25:B25"/>
    <mergeCell ref="A18:B18"/>
    <mergeCell ref="E24:F24"/>
    <mergeCell ref="A27:B27"/>
    <mergeCell ref="B12:C12"/>
    <mergeCell ref="E25:F25"/>
    <mergeCell ref="E26:F26"/>
    <mergeCell ref="E27:F27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</mergeCells>
  <phoneticPr fontId="3" type="noConversion"/>
  <pageMargins left="0.70866141732283472" right="0.70866141732283472" top="0.19685039370078741" bottom="0.35433070866141736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21" zoomScale="130" zoomScaleNormal="130" workbookViewId="0">
      <selection activeCell="Q44" sqref="Q44"/>
    </sheetView>
  </sheetViews>
  <sheetFormatPr defaultRowHeight="12.75"/>
  <cols>
    <col min="1" max="1" width="8.42578125" customWidth="1"/>
    <col min="2" max="2" width="10.7109375" customWidth="1"/>
    <col min="3" max="3" width="3.7109375" customWidth="1"/>
    <col min="4" max="4" width="6.7109375" customWidth="1"/>
    <col min="5" max="5" width="0.28515625" customWidth="1"/>
    <col min="6" max="6" width="6" customWidth="1"/>
    <col min="7" max="13" width="6.28515625" customWidth="1"/>
    <col min="14" max="14" width="7.7109375" customWidth="1"/>
  </cols>
  <sheetData>
    <row r="1" spans="1:15" ht="3" customHeight="1"/>
    <row r="2" spans="1:15" ht="18.75">
      <c r="A2" s="541" t="s">
        <v>47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31"/>
    </row>
    <row r="3" spans="1:15" ht="18.75">
      <c r="A3" s="91"/>
      <c r="B3" s="91"/>
      <c r="C3" s="91"/>
      <c r="F3" s="91"/>
      <c r="G3" s="91"/>
      <c r="H3" s="91"/>
      <c r="I3" s="91"/>
      <c r="J3" s="91"/>
      <c r="K3" s="91"/>
      <c r="L3" s="91"/>
      <c r="M3" s="91"/>
      <c r="N3" s="31"/>
    </row>
    <row r="4" spans="1:15" ht="10.9" customHeight="1">
      <c r="A4" s="41" t="s">
        <v>48</v>
      </c>
      <c r="B4" s="179">
        <f ca="1">NOW()</f>
        <v>44834.790105208333</v>
      </c>
      <c r="C4" s="57"/>
      <c r="D4" s="515" t="s">
        <v>129</v>
      </c>
      <c r="E4" s="515"/>
      <c r="F4" s="515"/>
      <c r="G4" s="469">
        <v>0.58332175925925933</v>
      </c>
      <c r="H4" s="469"/>
      <c r="I4" s="57"/>
      <c r="J4" s="57"/>
      <c r="K4" s="126"/>
      <c r="L4" s="464" t="s">
        <v>106</v>
      </c>
      <c r="M4" s="464"/>
      <c r="N4" s="464"/>
    </row>
    <row r="5" spans="1:15" ht="10.9" customHeight="1">
      <c r="A5" s="460" t="s">
        <v>49</v>
      </c>
      <c r="B5" s="460"/>
      <c r="C5" s="542">
        <f ca="1">B4</f>
        <v>44834.790105208333</v>
      </c>
      <c r="D5" s="542"/>
      <c r="E5" s="178" t="s">
        <v>130</v>
      </c>
      <c r="F5" s="467">
        <f>G4</f>
        <v>0.58332175925925933</v>
      </c>
      <c r="G5" s="467"/>
      <c r="H5" s="55"/>
      <c r="I5" s="55"/>
      <c r="J5" s="55"/>
      <c r="K5" s="465" t="s">
        <v>107</v>
      </c>
      <c r="L5" s="465"/>
      <c r="M5" s="465"/>
      <c r="N5" s="465"/>
    </row>
    <row r="6" spans="1:15" ht="10.9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  <c r="O6" s="135"/>
    </row>
    <row r="7" spans="1:15" ht="10.9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5" ht="10.9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 t="s">
        <v>124</v>
      </c>
      <c r="I8" s="456"/>
      <c r="J8" s="456"/>
      <c r="K8" s="456"/>
      <c r="L8" s="183"/>
    </row>
    <row r="9" spans="1:15" ht="10.9" customHeight="1">
      <c r="A9" s="94" t="s">
        <v>51</v>
      </c>
      <c r="B9" s="455" t="s">
        <v>123</v>
      </c>
      <c r="C9" s="472"/>
      <c r="D9" s="93"/>
      <c r="E9" s="93"/>
      <c r="F9" s="93"/>
      <c r="G9" s="195"/>
      <c r="H9" s="186" t="s">
        <v>125</v>
      </c>
      <c r="I9" s="185"/>
      <c r="J9" s="185"/>
      <c r="K9" s="185"/>
      <c r="L9" s="185"/>
    </row>
    <row r="10" spans="1:15" ht="10.9" customHeight="1">
      <c r="A10" s="94" t="s">
        <v>53</v>
      </c>
      <c r="B10" s="518" t="s">
        <v>126</v>
      </c>
      <c r="C10" s="518"/>
      <c r="D10" s="93"/>
      <c r="E10" s="93"/>
      <c r="F10" s="93"/>
      <c r="G10" s="93"/>
      <c r="H10" s="451" t="s">
        <v>52</v>
      </c>
      <c r="I10" s="451"/>
      <c r="J10" s="451"/>
      <c r="K10" s="183"/>
      <c r="L10" s="183"/>
    </row>
    <row r="11" spans="1:15" ht="10.9" customHeight="1">
      <c r="A11" s="23" t="s">
        <v>54</v>
      </c>
      <c r="B11" s="518" t="s">
        <v>131</v>
      </c>
      <c r="C11" s="518"/>
      <c r="D11" s="518"/>
      <c r="E11" s="518"/>
      <c r="F11" s="518"/>
      <c r="G11" s="93"/>
      <c r="H11" s="186" t="s">
        <v>132</v>
      </c>
      <c r="I11" s="185"/>
      <c r="J11" s="185"/>
      <c r="K11" s="519" t="str">
        <f>'Hofm3 осі'!N5</f>
        <v>Т0326</v>
      </c>
      <c r="L11" s="520"/>
    </row>
    <row r="12" spans="1:15" ht="10.9" customHeight="1">
      <c r="A12" s="23"/>
      <c r="B12" s="518" t="s">
        <v>137</v>
      </c>
      <c r="C12" s="518"/>
      <c r="D12" s="93"/>
      <c r="E12" s="93"/>
      <c r="F12" s="93"/>
      <c r="G12" s="93"/>
      <c r="H12" s="452"/>
      <c r="I12" s="452"/>
      <c r="J12" s="452"/>
      <c r="K12" s="543"/>
      <c r="L12" s="543"/>
      <c r="M12" s="164"/>
      <c r="N12" s="164"/>
    </row>
    <row r="13" spans="1:15" ht="10.9" customHeight="1">
      <c r="H13" s="94"/>
      <c r="I13" s="94"/>
      <c r="J13" s="94"/>
      <c r="K13" s="185"/>
      <c r="L13" s="185"/>
    </row>
    <row r="14" spans="1:15" ht="12" customHeight="1">
      <c r="H14" s="452" t="s">
        <v>133</v>
      </c>
      <c r="I14" s="452"/>
      <c r="J14" s="452"/>
      <c r="K14" s="94"/>
      <c r="L14" s="94"/>
    </row>
    <row r="15" spans="1:15" ht="10.9" customHeight="1">
      <c r="A15" s="23"/>
      <c r="B15" s="23"/>
      <c r="C15" s="23"/>
      <c r="D15" s="42"/>
      <c r="E15" s="42"/>
      <c r="F15" s="42"/>
      <c r="G15" s="42"/>
      <c r="H15" s="453" t="s">
        <v>121</v>
      </c>
      <c r="I15" s="453"/>
      <c r="J15" s="453"/>
      <c r="K15" s="94"/>
      <c r="L15" s="94"/>
    </row>
    <row r="16" spans="1:15" ht="10.9" customHeight="1">
      <c r="A16" s="23"/>
      <c r="B16" s="23"/>
      <c r="C16" s="23"/>
      <c r="D16" s="42"/>
      <c r="E16" s="42"/>
      <c r="F16" s="42"/>
      <c r="G16" s="42"/>
      <c r="H16" s="453"/>
      <c r="I16" s="453"/>
      <c r="J16" s="453"/>
      <c r="K16" s="94"/>
      <c r="L16" s="94"/>
    </row>
    <row r="17" spans="1:14" ht="10.9" customHeight="1">
      <c r="A17" s="539"/>
      <c r="B17" s="539"/>
      <c r="C17" s="539"/>
      <c r="D17" s="539"/>
      <c r="E17" s="539"/>
      <c r="F17" s="539"/>
      <c r="G17" s="539"/>
      <c r="H17" s="457"/>
      <c r="I17" s="457"/>
      <c r="J17" s="457"/>
      <c r="K17" s="95"/>
      <c r="L17" s="95"/>
    </row>
    <row r="18" spans="1:14" ht="10.9" customHeight="1">
      <c r="A18" s="453"/>
      <c r="B18" s="453"/>
      <c r="C18" s="94"/>
      <c r="D18" s="93"/>
      <c r="E18" s="93"/>
      <c r="F18" s="93"/>
      <c r="G18" s="93"/>
      <c r="H18" s="95"/>
      <c r="I18" s="95"/>
      <c r="J18" s="95"/>
      <c r="K18" s="95"/>
      <c r="L18" s="95"/>
    </row>
    <row r="19" spans="1:14" ht="10.9" customHeight="1">
      <c r="A19" s="123"/>
      <c r="B19" s="92"/>
      <c r="C19" s="94"/>
      <c r="D19" s="93"/>
      <c r="E19" s="93"/>
      <c r="F19" s="93"/>
      <c r="G19" s="93"/>
      <c r="H19" s="95"/>
      <c r="I19" s="95"/>
      <c r="J19" s="95"/>
      <c r="K19" s="95"/>
      <c r="L19" s="95"/>
    </row>
    <row r="20" spans="1:14" ht="10.9" customHeight="1">
      <c r="K20" s="95"/>
      <c r="L20" s="95"/>
    </row>
    <row r="21" spans="1:14" ht="13.9" customHeight="1">
      <c r="A21" s="97" t="s">
        <v>55</v>
      </c>
      <c r="B21" s="97"/>
    </row>
    <row r="22" spans="1:14" ht="13.9" customHeight="1">
      <c r="A22" s="98"/>
      <c r="B22" s="98"/>
    </row>
    <row r="23" spans="1:14" ht="10.9" customHeight="1">
      <c r="A23" s="540" t="s">
        <v>56</v>
      </c>
      <c r="B23" s="540"/>
      <c r="C23" s="99"/>
      <c r="D23" s="100" t="s">
        <v>57</v>
      </c>
      <c r="E23" s="100"/>
      <c r="F23" s="100" t="s">
        <v>58</v>
      </c>
      <c r="G23" s="100" t="s">
        <v>128</v>
      </c>
      <c r="H23" s="100">
        <v>4</v>
      </c>
      <c r="I23" s="100">
        <v>5</v>
      </c>
      <c r="J23" s="100">
        <v>6</v>
      </c>
      <c r="K23" s="100">
        <v>7</v>
      </c>
      <c r="L23" s="100">
        <v>8</v>
      </c>
      <c r="M23" s="100">
        <v>9</v>
      </c>
      <c r="N23" s="101" t="s">
        <v>29</v>
      </c>
    </row>
    <row r="24" spans="1:14" ht="10.9" customHeight="1">
      <c r="A24" s="516" t="s">
        <v>0</v>
      </c>
      <c r="B24" s="517"/>
      <c r="C24" s="102" t="s">
        <v>1</v>
      </c>
      <c r="D24" s="103">
        <f ca="1">'Hofm3 осі'!C1</f>
        <v>21443</v>
      </c>
      <c r="E24" s="482">
        <f ca="1">'Hofm3 осі'!D1</f>
        <v>21017</v>
      </c>
      <c r="F24" s="494"/>
      <c r="G24" s="103">
        <f ca="1">'Hofm3 осі'!E1</f>
        <v>21865</v>
      </c>
      <c r="H24" s="103"/>
      <c r="I24" s="104"/>
      <c r="J24" s="104"/>
      <c r="K24" s="104"/>
      <c r="L24" s="104"/>
      <c r="M24" s="104"/>
      <c r="N24" s="105"/>
    </row>
    <row r="25" spans="1:14" ht="10.9" customHeight="1">
      <c r="A25" s="516" t="s">
        <v>2</v>
      </c>
      <c r="B25" s="517"/>
      <c r="C25" s="102" t="s">
        <v>1</v>
      </c>
      <c r="D25" s="103">
        <f ca="1">'Hofm3 осі'!C2</f>
        <v>19057</v>
      </c>
      <c r="E25" s="482">
        <f ca="1">'Hofm3 осі'!D2</f>
        <v>20137</v>
      </c>
      <c r="F25" s="494"/>
      <c r="G25" s="103">
        <f ca="1">'Hofm3 осі'!E2</f>
        <v>21076</v>
      </c>
      <c r="H25" s="103"/>
      <c r="I25" s="104"/>
      <c r="J25" s="104"/>
      <c r="K25" s="104"/>
      <c r="L25" s="104"/>
      <c r="M25" s="104"/>
      <c r="N25" s="105"/>
    </row>
    <row r="26" spans="1:14" ht="10.9" customHeight="1">
      <c r="A26" s="516" t="s">
        <v>3</v>
      </c>
      <c r="B26" s="517"/>
      <c r="C26" s="102" t="s">
        <v>1</v>
      </c>
      <c r="D26" s="148">
        <f ca="1">'Hofm3 осі'!C3</f>
        <v>666</v>
      </c>
      <c r="E26" s="482">
        <f ca="1">'Hofm3 осі'!D3</f>
        <v>703</v>
      </c>
      <c r="F26" s="494"/>
      <c r="G26" s="103">
        <f ca="1">'Hofm3 осі'!E3</f>
        <v>799</v>
      </c>
      <c r="H26" s="103"/>
      <c r="I26" s="104"/>
      <c r="J26" s="104"/>
      <c r="K26" s="104"/>
      <c r="L26" s="104"/>
      <c r="M26" s="104"/>
      <c r="N26" s="105"/>
    </row>
    <row r="27" spans="1:14" ht="10.9" customHeight="1">
      <c r="A27" s="516" t="s">
        <v>75</v>
      </c>
      <c r="B27" s="517"/>
      <c r="C27" s="102" t="s">
        <v>1</v>
      </c>
      <c r="D27" s="103">
        <f ca="1">'Hofm3 осі'!C4</f>
        <v>803</v>
      </c>
      <c r="E27" s="482">
        <f ca="1">'Hofm3 осі'!D4</f>
        <v>373</v>
      </c>
      <c r="F27" s="494"/>
      <c r="G27" s="103">
        <f ca="1">'Hofm3 осі'!E4</f>
        <v>587</v>
      </c>
      <c r="H27" s="103"/>
      <c r="I27" s="104"/>
      <c r="J27" s="104"/>
      <c r="K27" s="104"/>
      <c r="L27" s="104"/>
      <c r="M27" s="104"/>
      <c r="N27" s="105"/>
    </row>
    <row r="28" spans="1:14" ht="10.9" customHeight="1">
      <c r="A28" s="516" t="s">
        <v>5</v>
      </c>
      <c r="B28" s="517"/>
      <c r="C28" s="102" t="s">
        <v>6</v>
      </c>
      <c r="D28" s="103"/>
      <c r="E28" s="482"/>
      <c r="F28" s="494"/>
      <c r="G28" s="103"/>
      <c r="H28" s="103"/>
      <c r="I28" s="104"/>
      <c r="J28" s="104"/>
      <c r="K28" s="104"/>
      <c r="L28" s="104"/>
      <c r="M28" s="104"/>
      <c r="N28" s="105"/>
    </row>
    <row r="29" spans="1:14" ht="10.9" customHeight="1">
      <c r="A29" s="516" t="s">
        <v>7</v>
      </c>
      <c r="B29" s="517"/>
      <c r="C29" s="106" t="s">
        <v>6</v>
      </c>
      <c r="D29" s="103" t="s">
        <v>134</v>
      </c>
      <c r="E29" s="482" t="s">
        <v>134</v>
      </c>
      <c r="F29" s="494"/>
      <c r="G29" s="103" t="s">
        <v>134</v>
      </c>
      <c r="H29" s="103"/>
      <c r="I29" s="104"/>
      <c r="J29" s="104"/>
      <c r="K29" s="104"/>
      <c r="L29" s="104"/>
      <c r="M29" s="104"/>
      <c r="N29" s="105"/>
    </row>
    <row r="30" spans="1:14" ht="10.9" customHeight="1">
      <c r="A30" s="516" t="s">
        <v>8</v>
      </c>
      <c r="B30" s="517"/>
      <c r="C30" s="106" t="s">
        <v>6</v>
      </c>
      <c r="D30" s="174" t="s">
        <v>134</v>
      </c>
      <c r="E30" s="445" t="s">
        <v>134</v>
      </c>
      <c r="F30" s="446"/>
      <c r="G30" s="174" t="s">
        <v>134</v>
      </c>
      <c r="H30" s="103"/>
      <c r="I30" s="104"/>
      <c r="J30" s="104"/>
      <c r="K30" s="104"/>
      <c r="L30" s="104"/>
      <c r="M30" s="104"/>
      <c r="N30" s="105"/>
    </row>
    <row r="31" spans="1:14" ht="10.9" customHeight="1">
      <c r="A31" s="516" t="s">
        <v>9</v>
      </c>
      <c r="B31" s="517"/>
      <c r="C31" s="102" t="s">
        <v>1</v>
      </c>
      <c r="D31" s="103">
        <f ca="1">'Hofm3 осі'!C8</f>
        <v>218</v>
      </c>
      <c r="E31" s="482">
        <f ca="1">'Hofm3 осі'!D8</f>
        <v>242</v>
      </c>
      <c r="F31" s="494"/>
      <c r="G31" s="103">
        <f ca="1">'Hofm3 осі'!E8</f>
        <v>285</v>
      </c>
      <c r="H31" s="103"/>
      <c r="I31" s="104"/>
      <c r="J31" s="104"/>
      <c r="K31" s="104"/>
      <c r="L31" s="104"/>
      <c r="M31" s="104"/>
      <c r="N31" s="102" t="s">
        <v>59</v>
      </c>
    </row>
    <row r="32" spans="1:14" ht="10.9" customHeight="1">
      <c r="A32" s="516" t="s">
        <v>10</v>
      </c>
      <c r="B32" s="517"/>
      <c r="C32" s="106" t="s">
        <v>6</v>
      </c>
      <c r="D32" s="103">
        <f>Hofmann!C9</f>
        <v>6.5</v>
      </c>
      <c r="E32" s="482">
        <f>Hofmann!D9</f>
        <v>6.5</v>
      </c>
      <c r="F32" s="494"/>
      <c r="G32" s="103">
        <v>6.5</v>
      </c>
      <c r="H32" s="103"/>
      <c r="I32" s="104"/>
      <c r="J32" s="104"/>
      <c r="K32" s="104"/>
      <c r="L32" s="104"/>
      <c r="M32" s="104"/>
      <c r="N32" s="107"/>
    </row>
    <row r="33" spans="1:14" ht="10.9" customHeight="1">
      <c r="A33" s="516" t="s">
        <v>11</v>
      </c>
      <c r="B33" s="517"/>
      <c r="C33" s="106" t="s">
        <v>12</v>
      </c>
      <c r="D33" s="389">
        <f ca="1">'Hofm3 осі'!C11</f>
        <v>11</v>
      </c>
      <c r="E33" s="511">
        <f ca="1">'Hofm3 осі'!D11</f>
        <v>4</v>
      </c>
      <c r="F33" s="512"/>
      <c r="G33" s="389">
        <f ca="1">'Hofm3 осі'!E11</f>
        <v>4</v>
      </c>
      <c r="H33" s="103"/>
      <c r="I33" s="104"/>
      <c r="J33" s="104"/>
      <c r="K33" s="104"/>
      <c r="L33" s="104"/>
      <c r="M33" s="104"/>
      <c r="N33" s="102" t="s">
        <v>33</v>
      </c>
    </row>
    <row r="34" spans="1:14" ht="10.9" customHeight="1">
      <c r="A34" s="516" t="s">
        <v>13</v>
      </c>
      <c r="B34" s="517"/>
      <c r="C34" s="106" t="s">
        <v>12</v>
      </c>
      <c r="D34" s="103">
        <f ca="1">ROUND(D33*RANDBETWEEN(12,14)/10,0)</f>
        <v>13</v>
      </c>
      <c r="E34" s="513">
        <f ca="1">ROUND(E33*RANDBETWEEN(12,14)/10,0)</f>
        <v>6</v>
      </c>
      <c r="F34" s="514"/>
      <c r="G34" s="103">
        <f ca="1">ROUND(G33*RANDBETWEEN(12,14)/10,0)</f>
        <v>6</v>
      </c>
      <c r="H34" s="103"/>
      <c r="I34" s="104"/>
      <c r="J34" s="104"/>
      <c r="K34" s="104"/>
      <c r="L34" s="104"/>
      <c r="M34" s="104"/>
      <c r="N34" s="102" t="s">
        <v>60</v>
      </c>
    </row>
    <row r="35" spans="1:14" ht="10.9" customHeight="1">
      <c r="A35" s="516" t="s">
        <v>14</v>
      </c>
      <c r="B35" s="517"/>
      <c r="C35" s="106" t="s">
        <v>12</v>
      </c>
      <c r="D35" s="103"/>
      <c r="E35" s="526"/>
      <c r="F35" s="526"/>
      <c r="G35" s="190"/>
      <c r="H35" s="103"/>
      <c r="I35" s="104"/>
      <c r="J35" s="104"/>
      <c r="K35" s="104"/>
      <c r="L35" s="104"/>
      <c r="M35" s="104"/>
      <c r="N35" s="102" t="s">
        <v>60</v>
      </c>
    </row>
    <row r="36" spans="1:14" ht="10.9" customHeight="1">
      <c r="A36" s="516" t="s">
        <v>15</v>
      </c>
      <c r="B36" s="517"/>
      <c r="C36" s="106" t="s">
        <v>12</v>
      </c>
      <c r="D36" s="103"/>
      <c r="E36" s="482"/>
      <c r="F36" s="494"/>
      <c r="G36" s="103"/>
      <c r="H36" s="103"/>
      <c r="I36" s="104"/>
      <c r="J36" s="104"/>
      <c r="K36" s="104"/>
      <c r="L36" s="104"/>
      <c r="M36" s="104"/>
      <c r="N36" s="102" t="s">
        <v>60</v>
      </c>
    </row>
    <row r="37" spans="1:14" ht="10.9" customHeight="1">
      <c r="A37" s="516" t="s">
        <v>16</v>
      </c>
      <c r="B37" s="517"/>
      <c r="C37" s="106" t="s">
        <v>17</v>
      </c>
      <c r="D37" s="103">
        <f ca="1">'Hofm3 осі'!C14</f>
        <v>3971</v>
      </c>
      <c r="E37" s="482">
        <f ca="1">'Hofm3 осі'!D14</f>
        <v>3892</v>
      </c>
      <c r="F37" s="494"/>
      <c r="G37" s="103">
        <f ca="1">'Hofm3 осі'!E14</f>
        <v>4049</v>
      </c>
      <c r="H37" s="103"/>
      <c r="I37" s="104"/>
      <c r="J37" s="104"/>
      <c r="K37" s="104"/>
      <c r="L37" s="104"/>
      <c r="M37" s="104"/>
      <c r="N37" s="107"/>
    </row>
    <row r="38" spans="1:14" ht="10.9" customHeight="1">
      <c r="A38" s="516" t="s">
        <v>74</v>
      </c>
      <c r="B38" s="517"/>
      <c r="C38" s="106" t="s">
        <v>17</v>
      </c>
      <c r="D38" s="103">
        <f ca="1">'Hofm3 осі'!C15</f>
        <v>3529</v>
      </c>
      <c r="E38" s="482">
        <f ca="1">'Hofm3 осі'!D15</f>
        <v>3729</v>
      </c>
      <c r="F38" s="494"/>
      <c r="G38" s="103">
        <f ca="1">'Hofm3 осі'!E15</f>
        <v>3903</v>
      </c>
      <c r="H38" s="103"/>
      <c r="I38" s="104"/>
      <c r="J38" s="104"/>
      <c r="K38" s="104"/>
      <c r="L38" s="104"/>
      <c r="M38" s="104"/>
      <c r="N38" s="107"/>
    </row>
    <row r="39" spans="1:14" ht="10.9" customHeight="1">
      <c r="A39" s="516" t="s">
        <v>76</v>
      </c>
      <c r="B39" s="517"/>
      <c r="C39" s="106" t="s">
        <v>17</v>
      </c>
      <c r="D39" s="103">
        <f>'Hofm3 осі'!C16</f>
        <v>7500</v>
      </c>
      <c r="E39" s="482">
        <f>'Hofm3 осі'!D16</f>
        <v>7621</v>
      </c>
      <c r="F39" s="494"/>
      <c r="G39" s="103">
        <f>'Hofm3 осі'!E16</f>
        <v>7952</v>
      </c>
      <c r="H39" s="103"/>
      <c r="I39" s="104"/>
      <c r="J39" s="104"/>
      <c r="K39" s="104"/>
      <c r="L39" s="104"/>
      <c r="M39" s="104"/>
      <c r="N39" s="107"/>
    </row>
    <row r="40" spans="1:14" ht="10.9" customHeight="1">
      <c r="A40" s="516" t="s">
        <v>20</v>
      </c>
      <c r="B40" s="517"/>
      <c r="C40" s="106" t="s">
        <v>21</v>
      </c>
      <c r="D40" s="108">
        <f ca="1">'Hofm3 осі'!C17</f>
        <v>0.27500000000000002</v>
      </c>
      <c r="E40" s="524">
        <f ca="1">'Hofm3 осі'!D17</f>
        <v>0.13500000000000001</v>
      </c>
      <c r="F40" s="525"/>
      <c r="G40" s="122">
        <f ca="1">'Hofm3 осі'!E17</f>
        <v>0.128</v>
      </c>
      <c r="H40" s="104"/>
      <c r="I40" s="104"/>
      <c r="J40" s="104"/>
      <c r="K40" s="104"/>
      <c r="L40" s="104"/>
      <c r="M40" s="104"/>
      <c r="N40" s="102" t="s">
        <v>140</v>
      </c>
    </row>
    <row r="41" spans="1:14" ht="10.9" customHeight="1">
      <c r="A41" s="516" t="s">
        <v>22</v>
      </c>
      <c r="B41" s="517"/>
      <c r="C41" s="106" t="s">
        <v>21</v>
      </c>
      <c r="D41" s="108">
        <f ca="1">'Hofm3 осі'!C18</f>
        <v>0.19500000000000001</v>
      </c>
      <c r="E41" s="524">
        <f ca="1">'Hofm3 осі'!D18</f>
        <v>0.28699999999999998</v>
      </c>
      <c r="F41" s="525"/>
      <c r="G41" s="122">
        <f ca="1">'Hofm3 осі'!E18</f>
        <v>0.11899999999999999</v>
      </c>
      <c r="H41" s="104"/>
      <c r="I41" s="104"/>
      <c r="J41" s="104"/>
      <c r="K41" s="104"/>
      <c r="L41" s="104"/>
      <c r="M41" s="104"/>
      <c r="N41" s="102" t="s">
        <v>140</v>
      </c>
    </row>
    <row r="42" spans="1:14" ht="10.9" customHeight="1">
      <c r="A42" s="516" t="s">
        <v>23</v>
      </c>
      <c r="B42" s="517"/>
      <c r="C42" s="106" t="s">
        <v>21</v>
      </c>
      <c r="D42" s="108">
        <f ca="1">'Hofm3 осі'!C19</f>
        <v>0.05</v>
      </c>
      <c r="E42" s="524">
        <f ca="1">'Hofm3 осі'!D19</f>
        <v>0.1</v>
      </c>
      <c r="F42" s="525"/>
      <c r="G42" s="122">
        <f ca="1">'Hofm3 осі'!E19</f>
        <v>0.05</v>
      </c>
      <c r="H42" s="104"/>
      <c r="I42" s="104"/>
      <c r="J42" s="104"/>
      <c r="K42" s="104"/>
      <c r="L42" s="104"/>
      <c r="M42" s="104"/>
      <c r="N42" s="102" t="s">
        <v>136</v>
      </c>
    </row>
    <row r="43" spans="1:14" ht="10.9" customHeight="1">
      <c r="A43" s="96"/>
      <c r="B43" s="96"/>
      <c r="C43" s="96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</row>
    <row r="44" spans="1:14" ht="10.9" customHeight="1">
      <c r="A44" s="30"/>
      <c r="B44" s="30"/>
    </row>
    <row r="45" spans="1:14" ht="10.9" customHeight="1">
      <c r="A45" s="521" t="s">
        <v>24</v>
      </c>
      <c r="B45" s="521"/>
      <c r="C45" s="521"/>
      <c r="D45" s="194">
        <f ca="1">'Hofm3 осі'!B21</f>
        <v>124595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1"/>
    </row>
    <row r="46" spans="1:14" ht="10.9" customHeight="1">
      <c r="A46" s="521" t="s">
        <v>68</v>
      </c>
      <c r="B46" s="521"/>
      <c r="C46" s="521"/>
      <c r="D46" s="112">
        <f ca="1">'Hofm3 осі'!B22/100</f>
        <v>0.55046225000621829</v>
      </c>
      <c r="E46" s="112"/>
      <c r="F46" s="110"/>
      <c r="G46" s="110"/>
      <c r="H46" s="110"/>
      <c r="I46" s="110"/>
      <c r="J46" s="110"/>
      <c r="K46" s="110"/>
      <c r="L46" s="110"/>
      <c r="M46" s="111"/>
      <c r="N46" s="46" t="s">
        <v>115</v>
      </c>
    </row>
    <row r="47" spans="1:14" ht="10.9" customHeight="1">
      <c r="A47" s="521" t="s">
        <v>69</v>
      </c>
      <c r="B47" s="521"/>
      <c r="C47" s="521"/>
      <c r="D47" s="110" t="str">
        <f>Hofmann!B23</f>
        <v>%</v>
      </c>
      <c r="E47" s="110"/>
      <c r="F47" s="110"/>
      <c r="G47" s="110"/>
      <c r="H47" s="110"/>
      <c r="I47" s="110"/>
      <c r="J47" s="110"/>
      <c r="K47" s="110"/>
      <c r="L47" s="110"/>
      <c r="M47" s="111"/>
      <c r="N47" s="51"/>
    </row>
    <row r="48" spans="1:14" ht="10.9" customHeight="1">
      <c r="A48" s="113"/>
      <c r="B48" s="113"/>
      <c r="C48" s="522"/>
      <c r="D48" s="522"/>
      <c r="E48" s="177"/>
      <c r="F48" s="33"/>
      <c r="G48" s="33"/>
      <c r="H48" s="33"/>
      <c r="I48" s="33"/>
      <c r="J48" s="33"/>
      <c r="K48" s="33"/>
      <c r="L48" s="33"/>
      <c r="M48" s="33"/>
      <c r="N48" s="52"/>
    </row>
    <row r="49" spans="1:14" ht="10.9" customHeight="1">
      <c r="A49" s="30"/>
      <c r="B49" s="30"/>
    </row>
    <row r="50" spans="1:14" ht="10.9" customHeight="1">
      <c r="A50" s="523" t="s">
        <v>28</v>
      </c>
      <c r="B50" s="523"/>
      <c r="C50" s="114"/>
      <c r="D50" s="115">
        <v>1</v>
      </c>
      <c r="E50" s="115"/>
      <c r="F50" s="115" t="s">
        <v>71</v>
      </c>
      <c r="G50" s="115" t="s">
        <v>128</v>
      </c>
      <c r="H50" s="115">
        <v>4</v>
      </c>
      <c r="I50" s="115">
        <v>5</v>
      </c>
      <c r="J50" s="115">
        <v>6</v>
      </c>
      <c r="K50" s="115">
        <v>7</v>
      </c>
      <c r="L50" s="115">
        <v>8</v>
      </c>
      <c r="M50" s="115">
        <v>9</v>
      </c>
      <c r="N50" s="101" t="s">
        <v>29</v>
      </c>
    </row>
    <row r="51" spans="1:14" ht="10.9" customHeight="1">
      <c r="A51" s="516" t="s">
        <v>30</v>
      </c>
      <c r="B51" s="517"/>
      <c r="C51" s="102" t="s">
        <v>1</v>
      </c>
      <c r="D51" s="103">
        <f ca="1">'Hofm3 осі'!R27</f>
        <v>8339</v>
      </c>
      <c r="E51" s="482">
        <f ca="1">'Hofm3 осі'!S27</f>
        <v>8173</v>
      </c>
      <c r="F51" s="494"/>
      <c r="G51" s="103">
        <f ca="1">'Hofm3 осі'!T27</f>
        <v>8503</v>
      </c>
      <c r="H51" s="103"/>
      <c r="I51" s="116"/>
      <c r="J51" s="106"/>
      <c r="K51" s="106"/>
      <c r="L51" s="106"/>
      <c r="M51" s="106"/>
      <c r="N51" s="105"/>
    </row>
    <row r="52" spans="1:14" ht="10.9" customHeight="1">
      <c r="A52" s="516" t="s">
        <v>31</v>
      </c>
      <c r="B52" s="517"/>
      <c r="C52" s="102" t="s">
        <v>1</v>
      </c>
      <c r="D52" s="103">
        <f ca="1">'Hofm3 осі'!R28</f>
        <v>7411</v>
      </c>
      <c r="E52" s="482">
        <f ca="1">'Hofm3 осі'!S28</f>
        <v>7831</v>
      </c>
      <c r="F52" s="494"/>
      <c r="G52" s="103">
        <f ca="1">'Hofm3 осі'!T28</f>
        <v>8196</v>
      </c>
      <c r="H52" s="106"/>
      <c r="I52" s="106"/>
      <c r="J52" s="106"/>
      <c r="K52" s="106"/>
      <c r="L52" s="106"/>
      <c r="M52" s="106"/>
      <c r="N52" s="105"/>
    </row>
    <row r="53" spans="1:14" ht="10.9" customHeight="1">
      <c r="A53" s="516" t="s">
        <v>32</v>
      </c>
      <c r="B53" s="517"/>
      <c r="C53" s="102" t="s">
        <v>12</v>
      </c>
      <c r="D53" s="106"/>
      <c r="E53" s="527"/>
      <c r="F53" s="528"/>
      <c r="G53" s="106"/>
      <c r="H53" s="106"/>
      <c r="I53" s="106"/>
      <c r="J53" s="106"/>
      <c r="K53" s="106"/>
      <c r="L53" s="106"/>
      <c r="M53" s="106"/>
      <c r="N53" s="106" t="s">
        <v>33</v>
      </c>
    </row>
    <row r="54" spans="1:14" ht="10.9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0.9" customHeight="1">
      <c r="A55" s="532" t="s">
        <v>25</v>
      </c>
      <c r="B55" s="532"/>
      <c r="C55" s="532"/>
      <c r="D55" s="536">
        <f ca="1">'Hofm3 осі'!V28/100</f>
        <v>0.21406595288375371</v>
      </c>
      <c r="E55" s="537"/>
      <c r="F55" s="537"/>
      <c r="G55" s="537"/>
      <c r="H55" s="537"/>
      <c r="I55" s="537"/>
      <c r="J55" s="537"/>
      <c r="K55" s="537"/>
      <c r="L55" s="537"/>
      <c r="M55" s="538"/>
      <c r="N55" s="102" t="s">
        <v>34</v>
      </c>
    </row>
    <row r="56" spans="1:14" ht="10.9" customHeight="1">
      <c r="A56" s="532" t="s">
        <v>27</v>
      </c>
      <c r="B56" s="532"/>
      <c r="C56" s="532"/>
      <c r="D56" s="516" t="str">
        <f>Hofmann!B32</f>
        <v>%</v>
      </c>
      <c r="E56" s="535"/>
      <c r="F56" s="535"/>
      <c r="G56" s="535"/>
      <c r="H56" s="535"/>
      <c r="I56" s="535"/>
      <c r="J56" s="535"/>
      <c r="K56" s="535"/>
      <c r="L56" s="535"/>
      <c r="M56" s="517"/>
      <c r="N56" s="51"/>
    </row>
    <row r="57" spans="1:14" ht="6.75" customHeight="1">
      <c r="A57" s="533"/>
      <c r="B57" s="533"/>
      <c r="C57" s="533"/>
      <c r="D57" s="533"/>
      <c r="E57" s="533"/>
      <c r="F57" s="533"/>
      <c r="G57" s="533"/>
      <c r="H57" s="533"/>
      <c r="I57" s="533"/>
      <c r="J57" s="533"/>
    </row>
    <row r="58" spans="1:14" ht="13.5" customHeight="1" thickBot="1">
      <c r="A58" s="534" t="s">
        <v>105</v>
      </c>
      <c r="B58" s="534"/>
      <c r="C58" s="534"/>
      <c r="D58" s="534"/>
      <c r="E58" s="534"/>
      <c r="F58" s="534"/>
      <c r="G58" s="534"/>
      <c r="H58" s="534"/>
      <c r="I58" s="534"/>
      <c r="J58" s="534"/>
      <c r="K58" s="534"/>
      <c r="L58" s="534"/>
      <c r="M58" s="534"/>
      <c r="N58" s="534"/>
    </row>
    <row r="59" spans="1:14" ht="13.5" thickTop="1">
      <c r="A59" s="117"/>
      <c r="B59" s="117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</row>
    <row r="60" spans="1:14" ht="21" customHeight="1">
      <c r="A60" s="139" t="s">
        <v>111</v>
      </c>
      <c r="H60" s="33"/>
      <c r="I60" s="124"/>
      <c r="M60" s="33"/>
      <c r="N60" s="33"/>
    </row>
    <row r="61" spans="1:14" ht="24" customHeight="1">
      <c r="A61" s="136"/>
      <c r="B61" s="136"/>
      <c r="C61" s="136"/>
      <c r="D61" s="136"/>
      <c r="E61" s="136"/>
      <c r="F61" s="136"/>
      <c r="G61" s="136"/>
      <c r="H61" s="52"/>
      <c r="I61" s="137"/>
      <c r="J61" s="138"/>
      <c r="K61" s="138"/>
      <c r="L61" s="138"/>
      <c r="M61" s="52"/>
      <c r="N61" s="52"/>
    </row>
    <row r="62" spans="1:14" ht="27.75" customHeight="1">
      <c r="A62" s="531" t="s">
        <v>61</v>
      </c>
      <c r="B62" s="531"/>
      <c r="C62" s="531"/>
      <c r="D62" s="531"/>
      <c r="E62" s="531"/>
      <c r="F62" s="531"/>
      <c r="G62" s="531"/>
      <c r="H62" s="52"/>
      <c r="I62" s="137"/>
      <c r="J62" s="529" t="s">
        <v>62</v>
      </c>
      <c r="K62" s="529"/>
      <c r="L62" s="529"/>
      <c r="M62" s="52"/>
      <c r="N62" s="52"/>
    </row>
    <row r="63" spans="1:14" ht="12.75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85" t="s">
        <v>65</v>
      </c>
      <c r="K63" s="485"/>
      <c r="L63" s="485"/>
      <c r="M63" s="486" t="s">
        <v>104</v>
      </c>
      <c r="N63" s="486"/>
    </row>
    <row r="64" spans="1:14" ht="15.75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13.5" customHeight="1">
      <c r="A65" s="142"/>
      <c r="B65" s="142"/>
      <c r="C65" s="530"/>
      <c r="D65" s="530"/>
      <c r="E65" s="142"/>
      <c r="F65" s="142"/>
      <c r="G65" s="530"/>
      <c r="H65" s="530"/>
      <c r="I65" s="530"/>
      <c r="J65" s="530"/>
      <c r="K65" s="149"/>
      <c r="L65" s="149"/>
      <c r="M65" s="149"/>
      <c r="N65" s="149"/>
    </row>
    <row r="66" spans="1:14" ht="12.75" customHeight="1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</row>
  </sheetData>
  <mergeCells count="95">
    <mergeCell ref="C65:D65"/>
    <mergeCell ref="G65:H65"/>
    <mergeCell ref="I65:J65"/>
    <mergeCell ref="A62:G62"/>
    <mergeCell ref="J62:L62"/>
    <mergeCell ref="C63:D63"/>
    <mergeCell ref="J63:L63"/>
    <mergeCell ref="M63:N63"/>
    <mergeCell ref="C64:D64"/>
    <mergeCell ref="J64:L64"/>
    <mergeCell ref="M64:N64"/>
    <mergeCell ref="A55:C55"/>
    <mergeCell ref="D55:M55"/>
    <mergeCell ref="A56:C56"/>
    <mergeCell ref="D56:M56"/>
    <mergeCell ref="A57:J57"/>
    <mergeCell ref="A58:N58"/>
    <mergeCell ref="A53:B53"/>
    <mergeCell ref="E53:F53"/>
    <mergeCell ref="A42:B42"/>
    <mergeCell ref="E42:F42"/>
    <mergeCell ref="A45:C45"/>
    <mergeCell ref="A46:C46"/>
    <mergeCell ref="A47:C47"/>
    <mergeCell ref="C48:D48"/>
    <mergeCell ref="A50:B50"/>
    <mergeCell ref="A51:B51"/>
    <mergeCell ref="E51:F51"/>
    <mergeCell ref="A52:B52"/>
    <mergeCell ref="E52:F52"/>
    <mergeCell ref="A39:B39"/>
    <mergeCell ref="E39:F39"/>
    <mergeCell ref="A40:B40"/>
    <mergeCell ref="E40:F40"/>
    <mergeCell ref="A41:B41"/>
    <mergeCell ref="E41:F41"/>
    <mergeCell ref="A36:B36"/>
    <mergeCell ref="E36:F36"/>
    <mergeCell ref="A37:B37"/>
    <mergeCell ref="E37:F37"/>
    <mergeCell ref="A38:B38"/>
    <mergeCell ref="E38:F38"/>
    <mergeCell ref="A33:B33"/>
    <mergeCell ref="E33:F33"/>
    <mergeCell ref="A34:B34"/>
    <mergeCell ref="E34:F34"/>
    <mergeCell ref="A35:B35"/>
    <mergeCell ref="E35:F35"/>
    <mergeCell ref="A30:B30"/>
    <mergeCell ref="E30:F30"/>
    <mergeCell ref="A31:B31"/>
    <mergeCell ref="E31:F31"/>
    <mergeCell ref="A32:B32"/>
    <mergeCell ref="E32:F32"/>
    <mergeCell ref="A27:B27"/>
    <mergeCell ref="E27:F27"/>
    <mergeCell ref="A28:B28"/>
    <mergeCell ref="E28:F28"/>
    <mergeCell ref="A29:B29"/>
    <mergeCell ref="E29:F29"/>
    <mergeCell ref="A26:B26"/>
    <mergeCell ref="E26:F26"/>
    <mergeCell ref="H14:J14"/>
    <mergeCell ref="H15:J15"/>
    <mergeCell ref="H16:J16"/>
    <mergeCell ref="A17:G17"/>
    <mergeCell ref="H17:J17"/>
    <mergeCell ref="A18:B18"/>
    <mergeCell ref="A23:B23"/>
    <mergeCell ref="A24:B24"/>
    <mergeCell ref="E24:F24"/>
    <mergeCell ref="A25:B25"/>
    <mergeCell ref="E25:F25"/>
    <mergeCell ref="B12:C12"/>
    <mergeCell ref="H12:J12"/>
    <mergeCell ref="K12:L12"/>
    <mergeCell ref="F6:G6"/>
    <mergeCell ref="M6:N6"/>
    <mergeCell ref="A7:G7"/>
    <mergeCell ref="H7:J7"/>
    <mergeCell ref="B8:G8"/>
    <mergeCell ref="H8:K8"/>
    <mergeCell ref="B9:C9"/>
    <mergeCell ref="B10:C10"/>
    <mergeCell ref="H10:J10"/>
    <mergeCell ref="B11:F11"/>
    <mergeCell ref="K11:L11"/>
    <mergeCell ref="A2:M2"/>
    <mergeCell ref="D4:F4"/>
    <mergeCell ref="G4:H4"/>
    <mergeCell ref="L4:N4"/>
    <mergeCell ref="A5:B5"/>
    <mergeCell ref="C5:D5"/>
    <mergeCell ref="F5:G5"/>
    <mergeCell ref="K5:N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N1" zoomScale="55" zoomScaleNormal="55" workbookViewId="0">
      <selection activeCell="W21" sqref="W21"/>
    </sheetView>
  </sheetViews>
  <sheetFormatPr defaultRowHeight="12.75"/>
  <sheetData>
    <row r="1" spans="1:24" ht="57" thickBot="1">
      <c r="A1" s="1" t="s">
        <v>0</v>
      </c>
      <c r="B1" s="2" t="s">
        <v>1</v>
      </c>
      <c r="C1" s="18">
        <f t="shared" ref="C1:F2" ca="1" si="0">R20</f>
        <v>2172</v>
      </c>
      <c r="D1" s="18">
        <f t="shared" ca="1" si="0"/>
        <v>1493</v>
      </c>
      <c r="E1" s="18">
        <f t="shared" ca="1" si="0"/>
        <v>3939</v>
      </c>
      <c r="F1" s="201">
        <f t="shared" ca="1" si="0"/>
        <v>2383</v>
      </c>
      <c r="G1" s="4">
        <f ca="1">ROUND(G21*0.4+RAND()*0.14,0)</f>
        <v>48576</v>
      </c>
      <c r="H1" s="5"/>
      <c r="I1" s="6" t="s">
        <v>38</v>
      </c>
      <c r="J1" s="7" t="s">
        <v>39</v>
      </c>
      <c r="K1" s="7" t="s">
        <v>40</v>
      </c>
      <c r="L1" s="7" t="s">
        <v>41</v>
      </c>
      <c r="M1" s="5"/>
      <c r="N1" s="86" t="s">
        <v>93</v>
      </c>
      <c r="O1" s="502"/>
      <c r="P1" s="503"/>
      <c r="Q1" s="152" t="str">
        <f>I1</f>
        <v>Технічно допустима маса</v>
      </c>
      <c r="R1" s="152" t="str">
        <f>J1</f>
        <v>Допустиме навантаження на 1 вісь</v>
      </c>
      <c r="S1" s="152" t="str">
        <f>K1</f>
        <v>Допустиме навантаження на 2 вісь</v>
      </c>
      <c r="T1" s="152" t="str">
        <f>L1</f>
        <v>Допустиме навантаження на 3 вісь</v>
      </c>
      <c r="U1" s="152" t="s">
        <v>156</v>
      </c>
    </row>
    <row r="2" spans="1:24" ht="24.75" thickBot="1">
      <c r="A2" s="8" t="s">
        <v>72</v>
      </c>
      <c r="B2" s="9" t="s">
        <v>1</v>
      </c>
      <c r="C2" s="19">
        <f t="shared" ca="1" si="0"/>
        <v>2531</v>
      </c>
      <c r="D2" s="19">
        <f t="shared" ca="1" si="0"/>
        <v>1379</v>
      </c>
      <c r="E2" s="19">
        <f t="shared" ca="1" si="0"/>
        <v>3859</v>
      </c>
      <c r="F2" s="205">
        <f t="shared" ca="1" si="0"/>
        <v>2189</v>
      </c>
      <c r="G2" s="4">
        <f ca="1">G21-G1</f>
        <v>72863</v>
      </c>
      <c r="H2" s="11">
        <f ca="1">ROUND(I2*(0.91+RAND()*0.1),0)</f>
        <v>25064</v>
      </c>
      <c r="I2" s="144">
        <v>25300</v>
      </c>
      <c r="J2" s="145">
        <v>6850</v>
      </c>
      <c r="K2" s="145">
        <v>6895</v>
      </c>
      <c r="L2" s="146">
        <v>6996</v>
      </c>
      <c r="M2" s="5"/>
      <c r="N2" s="87" t="s">
        <v>94</v>
      </c>
      <c r="O2" s="502"/>
      <c r="P2" s="503"/>
      <c r="Q2" s="199">
        <f>R2+S2+T2+U2</f>
        <v>3499</v>
      </c>
      <c r="R2" s="220">
        <v>825</v>
      </c>
      <c r="S2" s="220">
        <v>504</v>
      </c>
      <c r="T2" s="220">
        <v>1368</v>
      </c>
      <c r="U2" s="220">
        <v>802</v>
      </c>
      <c r="V2" s="219" t="s">
        <v>157</v>
      </c>
      <c r="X2" s="168"/>
    </row>
    <row r="3" spans="1:24" ht="36.75" thickBot="1">
      <c r="A3" s="8" t="s">
        <v>3</v>
      </c>
      <c r="B3" s="9" t="s">
        <v>1</v>
      </c>
      <c r="C3" s="19">
        <f ca="1">ROUND((RAND()*180+570),0)</f>
        <v>695</v>
      </c>
      <c r="D3" s="19">
        <f ca="1">ROUND((RAND()*180+570),0)</f>
        <v>704</v>
      </c>
      <c r="E3" s="202">
        <f ca="1">ROUND((RAND()*380+570),0)</f>
        <v>798</v>
      </c>
      <c r="F3" s="201">
        <f ca="1">ROUND((RAND()*380+570),0)</f>
        <v>599</v>
      </c>
      <c r="G3" s="12">
        <f>ROUND(K5*20*9.81/100,0)</f>
        <v>13636</v>
      </c>
      <c r="H3" s="59" t="s">
        <v>73</v>
      </c>
      <c r="I3" s="432"/>
      <c r="J3" s="432"/>
      <c r="K3" s="432"/>
      <c r="L3" s="432"/>
      <c r="M3" s="433" t="s">
        <v>95</v>
      </c>
      <c r="N3" s="433"/>
      <c r="O3" s="502"/>
      <c r="P3" s="503"/>
      <c r="X3" s="168"/>
    </row>
    <row r="4" spans="1:24" ht="36.75" thickBot="1">
      <c r="A4" s="8" t="s">
        <v>4</v>
      </c>
      <c r="B4" s="9" t="s">
        <v>1</v>
      </c>
      <c r="C4" s="19">
        <f ca="1">ROUND((RAND()*290+550),0)</f>
        <v>591</v>
      </c>
      <c r="D4" s="19">
        <f ca="1">ROUND((RAND()*490+350),0)</f>
        <v>554</v>
      </c>
      <c r="E4" s="202">
        <f ca="1">ROUND((RAND()*490+550),0)</f>
        <v>852</v>
      </c>
      <c r="F4" s="201">
        <f ca="1">ROUND((RAND()*490+550),0)</f>
        <v>804</v>
      </c>
      <c r="G4" s="4">
        <f>ROUND(L5*20*9.81/100,0)</f>
        <v>13285</v>
      </c>
      <c r="H4" s="5"/>
      <c r="I4" s="5"/>
      <c r="J4" s="5" t="s">
        <v>44</v>
      </c>
      <c r="K4" s="5" t="s">
        <v>45</v>
      </c>
      <c r="L4" s="5" t="s">
        <v>101</v>
      </c>
      <c r="M4" s="5"/>
      <c r="N4" s="87" t="s">
        <v>99</v>
      </c>
      <c r="O4" s="502">
        <v>0.5</v>
      </c>
      <c r="P4" s="503"/>
      <c r="R4">
        <f ca="1">ROUND(R2*(0.45+RAND()*0.1),0)</f>
        <v>381</v>
      </c>
      <c r="S4">
        <f ca="1">ROUND(S2*(0.45+RAND()*0.1),0)</f>
        <v>262</v>
      </c>
      <c r="T4">
        <f ca="1">ROUND(T2*(0.45+RAND()*0.1),0)</f>
        <v>691</v>
      </c>
      <c r="U4">
        <f ca="1">ROUND(U2*(0.45+RAND()*0.1),0)</f>
        <v>418</v>
      </c>
      <c r="X4" s="168"/>
    </row>
    <row r="5" spans="1:24" ht="24.75" thickBot="1">
      <c r="A5" s="8" t="s">
        <v>5</v>
      </c>
      <c r="B5" s="9" t="s">
        <v>6</v>
      </c>
      <c r="C5" s="19">
        <v>0</v>
      </c>
      <c r="D5" s="19">
        <v>0</v>
      </c>
      <c r="E5" s="202">
        <v>0</v>
      </c>
      <c r="F5" s="201">
        <v>0</v>
      </c>
      <c r="G5" s="4"/>
      <c r="H5" s="5"/>
      <c r="I5" s="5" t="s">
        <v>42</v>
      </c>
      <c r="J5" s="161">
        <v>5755</v>
      </c>
      <c r="K5" s="161">
        <v>6950</v>
      </c>
      <c r="L5" s="161">
        <v>6771</v>
      </c>
      <c r="M5" s="551" t="s">
        <v>102</v>
      </c>
      <c r="N5" s="552"/>
      <c r="O5" s="259" t="s">
        <v>159</v>
      </c>
      <c r="P5" s="260"/>
      <c r="R5">
        <f ca="1">R2-R4</f>
        <v>444</v>
      </c>
      <c r="S5">
        <f ca="1">S2-S4</f>
        <v>242</v>
      </c>
      <c r="T5">
        <f ca="1">T2-T4</f>
        <v>677</v>
      </c>
      <c r="U5">
        <f ca="1">U2-U4</f>
        <v>384</v>
      </c>
      <c r="X5" s="168"/>
    </row>
    <row r="6" spans="1:24" ht="36.75" thickBot="1">
      <c r="A6" s="8" t="s">
        <v>7</v>
      </c>
      <c r="B6" s="13" t="s">
        <v>6</v>
      </c>
      <c r="C6" s="19">
        <v>0</v>
      </c>
      <c r="D6" s="19">
        <v>0</v>
      </c>
      <c r="E6" s="202">
        <v>0</v>
      </c>
      <c r="F6" s="201">
        <v>0</v>
      </c>
      <c r="G6" s="5"/>
      <c r="H6" s="5" t="s">
        <v>43</v>
      </c>
      <c r="I6" s="5" t="s">
        <v>35</v>
      </c>
      <c r="J6" s="5">
        <f ca="1">ROUND(J5*(0.45+RAND()*0.1),0)</f>
        <v>3117</v>
      </c>
      <c r="K6" s="5">
        <f ca="1">ROUND(K5*(0.45+RAND()*0.1),0)</f>
        <v>3366</v>
      </c>
      <c r="L6" s="5">
        <f ca="1">ROUND(L5*(0.45+RAND()*0.1),0)</f>
        <v>3667</v>
      </c>
      <c r="M6" s="5"/>
      <c r="N6" s="5"/>
      <c r="O6" s="5"/>
      <c r="P6" s="5"/>
      <c r="X6" s="168"/>
    </row>
    <row r="7" spans="1:24" ht="36.75" thickBot="1">
      <c r="A7" s="8" t="s">
        <v>8</v>
      </c>
      <c r="B7" s="13" t="s">
        <v>6</v>
      </c>
      <c r="C7" s="173">
        <f ca="1">(RAND()*3+1.3)</f>
        <v>4.0335242984691009</v>
      </c>
      <c r="D7" s="173">
        <f ca="1">(RAND()*3+1.4)</f>
        <v>1.9216219766202185</v>
      </c>
      <c r="E7" s="203">
        <f ca="1">(RAND()*3+1.6)</f>
        <v>2.840862214394007</v>
      </c>
      <c r="F7" s="206"/>
      <c r="G7" s="5"/>
      <c r="H7" s="5"/>
      <c r="I7" s="5" t="s">
        <v>36</v>
      </c>
      <c r="J7" s="5">
        <f ca="1">J5-J6</f>
        <v>2638</v>
      </c>
      <c r="K7" s="5">
        <f ca="1">K5-K6</f>
        <v>3584</v>
      </c>
      <c r="L7" s="5">
        <f ca="1">L5-L6</f>
        <v>3104</v>
      </c>
      <c r="M7" s="5"/>
      <c r="N7" s="5"/>
      <c r="O7" s="5"/>
      <c r="P7" s="5"/>
      <c r="X7" s="168"/>
    </row>
    <row r="8" spans="1:24" ht="36.75" thickBot="1">
      <c r="A8" s="8" t="s">
        <v>9</v>
      </c>
      <c r="B8" s="9" t="s">
        <v>1</v>
      </c>
      <c r="C8" s="19">
        <f ca="1">RANDBETWEEN(121,379)</f>
        <v>355</v>
      </c>
      <c r="D8" s="19">
        <f ca="1">RANDBETWEEN(121,412)</f>
        <v>212</v>
      </c>
      <c r="E8" s="202">
        <f ca="1">RANDBETWEEN(121,359)</f>
        <v>131</v>
      </c>
      <c r="F8" s="201">
        <f ca="1">RANDBETWEEN(121,359)</f>
        <v>124</v>
      </c>
      <c r="G8" s="5"/>
      <c r="H8" s="5"/>
      <c r="I8" s="5"/>
      <c r="J8" s="5"/>
      <c r="K8" s="5"/>
      <c r="L8" s="5"/>
      <c r="M8" s="5"/>
      <c r="N8" s="5"/>
      <c r="O8" s="5">
        <f ca="1">J21</f>
        <v>14658</v>
      </c>
      <c r="P8" s="5"/>
      <c r="X8" s="200"/>
    </row>
    <row r="9" spans="1:24" ht="24.75" thickBot="1">
      <c r="A9" s="8" t="s">
        <v>10</v>
      </c>
      <c r="B9" s="13" t="s">
        <v>6</v>
      </c>
      <c r="C9" s="19">
        <v>6.5</v>
      </c>
      <c r="D9" s="19">
        <v>6.5</v>
      </c>
      <c r="E9" s="202">
        <v>6.5</v>
      </c>
      <c r="F9" s="201">
        <v>6.5</v>
      </c>
      <c r="G9" s="5"/>
      <c r="H9" s="5"/>
      <c r="I9" s="5"/>
      <c r="J9" s="5"/>
      <c r="K9" s="5"/>
      <c r="L9" s="5"/>
      <c r="M9" s="5"/>
      <c r="N9" s="5"/>
      <c r="O9" s="5">
        <f>J5+K5+L5</f>
        <v>19476</v>
      </c>
      <c r="P9" s="5">
        <v>9.81</v>
      </c>
      <c r="R9" s="168"/>
      <c r="S9" s="168"/>
      <c r="T9" s="168"/>
      <c r="U9" s="168"/>
      <c r="V9" s="168"/>
      <c r="W9" s="168"/>
    </row>
    <row r="10" spans="1:24" ht="36.75" thickBot="1">
      <c r="A10" s="8" t="s">
        <v>11</v>
      </c>
      <c r="B10" s="13" t="s">
        <v>12</v>
      </c>
      <c r="C10" s="19"/>
      <c r="D10" s="19"/>
      <c r="E10" s="202"/>
      <c r="F10" s="201"/>
      <c r="G10" s="5"/>
      <c r="H10" s="5"/>
      <c r="I10" s="5"/>
      <c r="J10" s="5" t="s">
        <v>46</v>
      </c>
      <c r="K10" s="5"/>
      <c r="L10" s="5"/>
      <c r="M10" s="5"/>
      <c r="N10" s="5"/>
      <c r="O10" s="5"/>
      <c r="P10" s="5"/>
      <c r="R10" s="168"/>
      <c r="S10" s="168"/>
      <c r="T10" s="168"/>
      <c r="U10" s="168"/>
      <c r="V10" s="168"/>
      <c r="W10" s="208"/>
    </row>
    <row r="11" spans="1:24" ht="24.75" thickBot="1">
      <c r="A11" s="8" t="s">
        <v>13</v>
      </c>
      <c r="B11" s="13" t="s">
        <v>12</v>
      </c>
      <c r="C11" s="19">
        <f ca="1">R18</f>
        <v>14</v>
      </c>
      <c r="D11" s="19">
        <f ca="1">S18</f>
        <v>8</v>
      </c>
      <c r="E11" s="202">
        <f ca="1">T18</f>
        <v>2</v>
      </c>
      <c r="F11" s="201">
        <f ca="1">U18</f>
        <v>8</v>
      </c>
      <c r="G11" s="5"/>
      <c r="H11" s="5"/>
      <c r="I11" s="5"/>
      <c r="J11" s="5">
        <f ca="1">ROUND(ABS((C1-C2)/MAX(C1:C2))*100,0)</f>
        <v>14</v>
      </c>
      <c r="K11" s="5">
        <f ca="1">ROUND(ABS((D1-D2)/MAX(D1:D2))*100,0)</f>
        <v>8</v>
      </c>
      <c r="L11" s="5">
        <f ca="1">ROUND(ABS((E1-E2)/MAX(E1:E2))*100,0)</f>
        <v>2</v>
      </c>
      <c r="M11" s="5"/>
      <c r="N11" s="5"/>
      <c r="O11" s="5"/>
      <c r="P11" s="5"/>
    </row>
    <row r="12" spans="1:24" ht="24.75" thickBot="1">
      <c r="A12" s="8" t="s">
        <v>14</v>
      </c>
      <c r="B12" s="13" t="s">
        <v>12</v>
      </c>
      <c r="C12" s="19"/>
      <c r="D12" s="19"/>
      <c r="E12" s="202"/>
      <c r="F12" s="201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4" ht="24.75" thickBot="1">
      <c r="A13" s="8" t="s">
        <v>15</v>
      </c>
      <c r="B13" s="13" t="s">
        <v>12</v>
      </c>
      <c r="C13" s="19"/>
      <c r="D13" s="19"/>
      <c r="E13" s="202"/>
      <c r="F13" s="201"/>
      <c r="G13" s="5"/>
      <c r="H13" s="84"/>
      <c r="I13" s="5"/>
      <c r="J13" s="5"/>
      <c r="K13" s="5"/>
      <c r="L13" s="5"/>
      <c r="M13" s="5"/>
      <c r="N13" s="5"/>
      <c r="O13" s="5">
        <f>T16</f>
        <v>0</v>
      </c>
      <c r="P13" s="5"/>
    </row>
    <row r="14" spans="1:24" ht="24.75" thickBot="1">
      <c r="A14" s="8" t="s">
        <v>16</v>
      </c>
      <c r="B14" s="13" t="s">
        <v>17</v>
      </c>
      <c r="C14" s="19">
        <f t="shared" ref="C14:F15" ca="1" si="1">R4</f>
        <v>381</v>
      </c>
      <c r="D14" s="19">
        <f t="shared" ca="1" si="1"/>
        <v>262</v>
      </c>
      <c r="E14" s="202">
        <f t="shared" ca="1" si="1"/>
        <v>691</v>
      </c>
      <c r="F14" s="201">
        <f t="shared" ca="1" si="1"/>
        <v>418</v>
      </c>
      <c r="G14" s="5"/>
      <c r="H14" s="5"/>
      <c r="J14" s="5">
        <f ca="1">ROUND(C14*4.8+RAND()*0.1,0)</f>
        <v>1829</v>
      </c>
      <c r="K14" s="5">
        <f ca="1">ROUND(D14*4.8+RAND()+300,0)</f>
        <v>1558</v>
      </c>
      <c r="L14" s="5">
        <f ca="1">ROUND(E14*4.88+RAND()+500,0)</f>
        <v>3873</v>
      </c>
      <c r="M14" s="5"/>
      <c r="N14" s="5"/>
      <c r="O14" s="5">
        <f>O9</f>
        <v>19476</v>
      </c>
      <c r="P14" s="5">
        <v>9.81</v>
      </c>
    </row>
    <row r="15" spans="1:24" ht="36.75" thickBot="1">
      <c r="A15" s="8" t="s">
        <v>18</v>
      </c>
      <c r="B15" s="13" t="s">
        <v>17</v>
      </c>
      <c r="C15" s="19">
        <f t="shared" ca="1" si="1"/>
        <v>444</v>
      </c>
      <c r="D15" s="19">
        <f t="shared" ca="1" si="1"/>
        <v>242</v>
      </c>
      <c r="E15" s="202">
        <f t="shared" ca="1" si="1"/>
        <v>677</v>
      </c>
      <c r="F15" s="201">
        <f t="shared" ca="1" si="1"/>
        <v>384</v>
      </c>
      <c r="G15" s="5"/>
      <c r="H15" s="5"/>
      <c r="J15" s="5">
        <f ca="1">ROUND(C15*4.8+RAND()*0.1,0)</f>
        <v>2131</v>
      </c>
      <c r="K15" s="5">
        <f ca="1">ROUND(D15*4.8+RAND()+300,0)</f>
        <v>1462</v>
      </c>
      <c r="L15" s="5">
        <f ca="1">ROUND(E15*4.88+RAND()+500,0)</f>
        <v>3805</v>
      </c>
      <c r="M15" s="5"/>
      <c r="N15" s="5"/>
      <c r="O15" s="5"/>
      <c r="P15" s="5"/>
    </row>
    <row r="16" spans="1:24" ht="24.75" thickBot="1">
      <c r="A16" s="8" t="s">
        <v>19</v>
      </c>
      <c r="B16" s="13" t="s">
        <v>17</v>
      </c>
      <c r="C16" s="19">
        <f>R2</f>
        <v>825</v>
      </c>
      <c r="D16" s="19">
        <f>S2</f>
        <v>504</v>
      </c>
      <c r="E16" s="202">
        <f>T2</f>
        <v>1368</v>
      </c>
      <c r="F16" s="201">
        <f>U2</f>
        <v>802</v>
      </c>
      <c r="G16" s="5"/>
      <c r="H16" s="5"/>
      <c r="J16" s="5"/>
      <c r="K16" s="5"/>
      <c r="L16" s="5"/>
      <c r="M16" s="5"/>
      <c r="N16" s="5"/>
      <c r="O16" s="5"/>
      <c r="P16" s="5"/>
    </row>
    <row r="17" spans="1:25" ht="36.75" thickBot="1">
      <c r="A17" s="8" t="s">
        <v>20</v>
      </c>
      <c r="B17" s="13" t="s">
        <v>21</v>
      </c>
      <c r="C17" s="20">
        <f ca="1">RANDBETWEEN(111,287)/1000</f>
        <v>0.191</v>
      </c>
      <c r="D17" s="20">
        <f ca="1">RANDBETWEEN(111,279)/1000</f>
        <v>0.126</v>
      </c>
      <c r="E17" s="204">
        <f ca="1">RANDBETWEEN(111,292)/1000</f>
        <v>0.128</v>
      </c>
      <c r="F17" s="207">
        <f ca="1">RANDBETWEEN(111,279)/1000</f>
        <v>0.26800000000000002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153"/>
      <c r="R17" s="154" t="s">
        <v>46</v>
      </c>
      <c r="S17" s="154"/>
      <c r="T17" s="154"/>
      <c r="U17" s="154"/>
      <c r="V17" s="154"/>
      <c r="W17" s="155"/>
    </row>
    <row r="18" spans="1:25" ht="36.75" thickBot="1">
      <c r="A18" s="8" t="s">
        <v>22</v>
      </c>
      <c r="B18" s="13" t="s">
        <v>21</v>
      </c>
      <c r="C18" s="20">
        <f ca="1">RANDBETWEEN(111,300)/1000</f>
        <v>0.22600000000000001</v>
      </c>
      <c r="D18" s="20">
        <f ca="1">RANDBETWEEN(111,296)/1000</f>
        <v>0.27800000000000002</v>
      </c>
      <c r="E18" s="204">
        <f ca="1">RANDBETWEEN(111,286)/1000</f>
        <v>0.126</v>
      </c>
      <c r="F18" s="207">
        <f ca="1">RANDBETWEEN(111,296)/1000</f>
        <v>0.13200000000000001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156"/>
      <c r="R18" s="149">
        <f ca="1">ROUND(ABS((R20-R21)/MAX(R20:R21))*100,0)</f>
        <v>14</v>
      </c>
      <c r="S18" s="149">
        <f ca="1">ROUND(ABS((S20-S21)/MAX(S20:S21))*100,0)</f>
        <v>8</v>
      </c>
      <c r="T18" s="149">
        <f ca="1">ROUND(ABS((T20-T21)/MAX(T20:T21))*100,0)</f>
        <v>2</v>
      </c>
      <c r="U18" s="149">
        <f ca="1">ROUND(ABS((U20-U21)/MAX(U20:U21))*100,0)</f>
        <v>8</v>
      </c>
      <c r="V18" s="149"/>
      <c r="W18" s="157"/>
    </row>
    <row r="19" spans="1:25" ht="24.75" thickBot="1">
      <c r="A19" s="8" t="s">
        <v>23</v>
      </c>
      <c r="B19" s="13" t="s">
        <v>21</v>
      </c>
      <c r="C19" s="20">
        <f ca="1">0.05+ROUND(RAND()*1,0)*0.05</f>
        <v>0.05</v>
      </c>
      <c r="D19" s="20">
        <f ca="1">0.05+ROUND(RAND()*2,0)*0.05</f>
        <v>0.1</v>
      </c>
      <c r="E19" s="204">
        <f ca="1">0.05+ROUND(RAND()*2.5,0)*0.05</f>
        <v>0.15000000000000002</v>
      </c>
      <c r="F19" s="207">
        <f ca="1">0.05+ROUND(RAND()*2,0)*0.05</f>
        <v>0.1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156" t="s">
        <v>118</v>
      </c>
      <c r="R19" s="149"/>
      <c r="S19" s="149"/>
      <c r="T19" s="149"/>
      <c r="U19" s="149"/>
      <c r="V19" s="149"/>
      <c r="W19" s="157"/>
    </row>
    <row r="20" spans="1:25" ht="13.5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56"/>
      <c r="R20" s="149">
        <f ca="1">ROUND(R4*W20/10+RAND()*0.1,0)</f>
        <v>2172</v>
      </c>
      <c r="S20" s="149">
        <f ca="1">ROUND(S4*W20/10+RAND()*0.1,0)</f>
        <v>1493</v>
      </c>
      <c r="T20" s="149">
        <f ca="1">ROUND(T4*W20/10+RAND()*0.1,0)</f>
        <v>3939</v>
      </c>
      <c r="U20" s="149">
        <f ca="1">ROUND(U4*W20/10+RAND()*0.1,0)</f>
        <v>2383</v>
      </c>
      <c r="V20" s="149">
        <f ca="1">R20+R21+S20+S21+T20+T21+U20+U21</f>
        <v>19945</v>
      </c>
      <c r="W20" s="221">
        <v>57</v>
      </c>
      <c r="X20" s="256" t="s">
        <v>157</v>
      </c>
      <c r="Y20" s="31"/>
    </row>
    <row r="21" spans="1:25" ht="36.75" thickBot="1">
      <c r="A21" s="1" t="s">
        <v>24</v>
      </c>
      <c r="B21" s="500">
        <f ca="1">V20</f>
        <v>19945</v>
      </c>
      <c r="C21" s="501"/>
      <c r="G21" s="430">
        <f ca="1">ROUND((H2*B22*9.81/100)*0.85,0)</f>
        <v>121439</v>
      </c>
      <c r="H21" s="431"/>
      <c r="J21" s="5">
        <f ca="1">J14+K14+L14+J15+K15+L15</f>
        <v>14658</v>
      </c>
      <c r="K21" s="5"/>
      <c r="L21" s="5"/>
      <c r="M21" s="5"/>
      <c r="N21" s="5"/>
      <c r="O21" s="5"/>
      <c r="P21" s="5"/>
      <c r="Q21" s="156" t="s">
        <v>116</v>
      </c>
      <c r="R21" s="149">
        <f ca="1">ROUND(R5*W20/10+RAND()*0.1,0)</f>
        <v>2531</v>
      </c>
      <c r="S21" s="149">
        <f ca="1">ROUND(S5*W20/10+RAND()*0.1,0)</f>
        <v>1379</v>
      </c>
      <c r="T21" s="149">
        <f ca="1">ROUND(T5*W20/10+RAND()*0.1,0)</f>
        <v>3859</v>
      </c>
      <c r="U21" s="149">
        <f ca="1">ROUND(U5*W20/10+RAND()*0.1,0)</f>
        <v>2189</v>
      </c>
      <c r="V21" s="149">
        <f>R2+S2+T2+U2</f>
        <v>3499</v>
      </c>
      <c r="W21" s="170">
        <f ca="1">V20/(V21*9.81)*100</f>
        <v>58.106014853814344</v>
      </c>
    </row>
    <row r="22" spans="1:25" ht="36.75" thickBot="1">
      <c r="A22" s="8" t="s">
        <v>25</v>
      </c>
      <c r="B22" s="209">
        <f ca="1">W21</f>
        <v>58.106014853814344</v>
      </c>
      <c r="C22" s="9" t="s">
        <v>112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56"/>
      <c r="R22" s="149"/>
      <c r="S22" s="149"/>
      <c r="T22" s="149"/>
      <c r="U22" s="149"/>
      <c r="V22" s="149"/>
      <c r="W22" s="157"/>
    </row>
    <row r="23" spans="1:25" ht="36.75" thickBot="1">
      <c r="A23" s="8" t="s">
        <v>27</v>
      </c>
      <c r="B23" s="13" t="s">
        <v>12</v>
      </c>
      <c r="C23" s="1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>
        <f ca="1">D26+D27+E26+E27</f>
        <v>2093</v>
      </c>
      <c r="P23" s="5"/>
      <c r="Q23" s="158"/>
      <c r="R23" s="159"/>
      <c r="S23" s="159"/>
      <c r="T23" s="159"/>
      <c r="U23" s="159"/>
      <c r="V23" s="159"/>
      <c r="W23" s="229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f>K5+L5</f>
        <v>13721</v>
      </c>
      <c r="P24" s="5">
        <v>9.81</v>
      </c>
      <c r="Q24" s="544" t="s">
        <v>162</v>
      </c>
      <c r="R24" s="545"/>
      <c r="S24" s="149">
        <f ca="1">ROUND(S4*W24/5.3+RAND()*0.1,0)</f>
        <v>1088</v>
      </c>
      <c r="T24" s="149"/>
      <c r="U24" s="149">
        <f ca="1">ROUND(U4*W24/5.3+RAND()*0.1,0)</f>
        <v>1735</v>
      </c>
      <c r="V24" s="149">
        <f ca="1">S24+S25+U24+U25</f>
        <v>5422</v>
      </c>
      <c r="W24" s="221">
        <v>22</v>
      </c>
      <c r="X24" s="198" t="s">
        <v>157</v>
      </c>
    </row>
    <row r="25" spans="1:25" ht="48.75" thickBot="1">
      <c r="A25" s="16" t="s">
        <v>28</v>
      </c>
      <c r="B25" s="16"/>
      <c r="C25" s="16">
        <v>1</v>
      </c>
      <c r="D25" s="16">
        <v>2</v>
      </c>
      <c r="E25" s="16"/>
      <c r="F25" s="16"/>
      <c r="G25" s="16">
        <v>4</v>
      </c>
      <c r="H25" s="16">
        <v>5</v>
      </c>
      <c r="I25" s="16">
        <v>6</v>
      </c>
      <c r="J25" s="16">
        <v>7</v>
      </c>
      <c r="K25" s="16">
        <v>8</v>
      </c>
      <c r="L25" s="16">
        <v>9</v>
      </c>
      <c r="M25" s="17" t="s">
        <v>29</v>
      </c>
      <c r="N25" s="5"/>
      <c r="O25" s="5"/>
      <c r="P25" s="5"/>
      <c r="Q25" s="546"/>
      <c r="R25" s="547"/>
      <c r="S25" s="159">
        <f ca="1">ROUND(S5*W24/5.3+RAND()*0.1,0)</f>
        <v>1005</v>
      </c>
      <c r="T25" s="159"/>
      <c r="U25" s="159">
        <f ca="1">ROUND(U5*W24/5.3+RAND()*0.1,0)</f>
        <v>1594</v>
      </c>
      <c r="V25" s="159">
        <f>V21</f>
        <v>3499</v>
      </c>
      <c r="W25" s="171">
        <f ca="1">(V24/V25/9.81)*100</f>
        <v>15.795979570688464</v>
      </c>
    </row>
    <row r="26" spans="1:25" ht="36.75" thickBot="1">
      <c r="A26" s="8" t="s">
        <v>30</v>
      </c>
      <c r="B26" s="9" t="s">
        <v>1</v>
      </c>
      <c r="C26" s="210"/>
      <c r="D26" s="211">
        <f ca="1">S24</f>
        <v>1088</v>
      </c>
      <c r="E26" s="212"/>
      <c r="F26" s="212">
        <f ca="1">U24</f>
        <v>1735</v>
      </c>
      <c r="G26" s="13"/>
      <c r="H26" s="13"/>
      <c r="I26" s="13"/>
      <c r="J26" s="13"/>
      <c r="K26" s="13"/>
      <c r="L26" s="13"/>
      <c r="M26" s="15"/>
      <c r="N26" s="5"/>
      <c r="O26" s="5"/>
      <c r="P26" s="5"/>
      <c r="Q26" s="544" t="s">
        <v>163</v>
      </c>
      <c r="R26" s="548"/>
      <c r="S26" s="154">
        <f ca="1">ROUND(S4*W26/8+RAND()*0.1,0)</f>
        <v>819</v>
      </c>
      <c r="T26" s="154">
        <f ca="1">ROUND(T4*W26/8+RAND()*0.1,0)</f>
        <v>2159</v>
      </c>
      <c r="U26" s="154">
        <f ca="1">ROUND(U4*W26/8+RAND()*0.1,0)</f>
        <v>1306</v>
      </c>
      <c r="V26" s="154">
        <f ca="1">S26+S27+T26+T27+U26+U27</f>
        <v>8356</v>
      </c>
      <c r="W26" s="258">
        <v>25</v>
      </c>
    </row>
    <row r="27" spans="1:25" ht="36.75" thickBot="1">
      <c r="A27" s="8" t="s">
        <v>31</v>
      </c>
      <c r="B27" s="9" t="s">
        <v>1</v>
      </c>
      <c r="C27" s="210"/>
      <c r="D27" s="213">
        <f ca="1">S25</f>
        <v>1005</v>
      </c>
      <c r="E27" s="212"/>
      <c r="F27" s="212">
        <f ca="1">U25</f>
        <v>1594</v>
      </c>
      <c r="G27" s="13"/>
      <c r="H27" s="13"/>
      <c r="I27" s="13"/>
      <c r="J27" s="13"/>
      <c r="K27" s="13"/>
      <c r="L27" s="13"/>
      <c r="M27" s="15"/>
      <c r="N27" s="5"/>
      <c r="O27" s="5"/>
      <c r="P27" s="5"/>
      <c r="Q27" s="549"/>
      <c r="R27" s="550"/>
      <c r="S27" s="159">
        <f ca="1">ROUND(S5*W26/8+RAND()*0.1,0)</f>
        <v>756</v>
      </c>
      <c r="T27" s="159">
        <f ca="1">ROUND(T5*W26/8+RAND()*0.1,0)</f>
        <v>2116</v>
      </c>
      <c r="U27" s="159">
        <f ca="1">ROUND(U5*W26/8+RAND()*0.1,0)</f>
        <v>1200</v>
      </c>
      <c r="V27" s="159">
        <f>Q2</f>
        <v>3499</v>
      </c>
      <c r="W27" s="257">
        <f ca="1">(V26/V27/9.81)*100</f>
        <v>24.343638010452381</v>
      </c>
    </row>
    <row r="28" spans="1:25" ht="36.75" thickBot="1">
      <c r="A28" s="8" t="s">
        <v>32</v>
      </c>
      <c r="B28" s="9" t="s">
        <v>12</v>
      </c>
      <c r="C28" s="13"/>
      <c r="D28" s="13"/>
      <c r="E28" s="90"/>
      <c r="F28" s="90"/>
      <c r="G28" s="13"/>
      <c r="H28" s="13"/>
      <c r="I28" s="13"/>
      <c r="J28" s="13"/>
      <c r="K28" s="13"/>
      <c r="L28" s="13"/>
      <c r="M28" s="13" t="s">
        <v>33</v>
      </c>
      <c r="N28" s="5"/>
      <c r="O28" s="5"/>
      <c r="P28" s="5"/>
    </row>
    <row r="29" spans="1: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25" ht="13.5" thickBo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25" ht="36.75" thickBot="1">
      <c r="A31" s="1" t="s">
        <v>25</v>
      </c>
      <c r="B31" s="172">
        <f ca="1">W25</f>
        <v>15.795979570688464</v>
      </c>
      <c r="C31" s="2" t="s">
        <v>34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25" ht="36.75" thickBot="1">
      <c r="A32" s="8" t="s">
        <v>27</v>
      </c>
      <c r="B32" s="13" t="s">
        <v>12</v>
      </c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mergeCells count="11">
    <mergeCell ref="O1:P1"/>
    <mergeCell ref="O2:P2"/>
    <mergeCell ref="I3:L3"/>
    <mergeCell ref="M3:N3"/>
    <mergeCell ref="O3:P3"/>
    <mergeCell ref="O4:P4"/>
    <mergeCell ref="Q24:R25"/>
    <mergeCell ref="Q26:R27"/>
    <mergeCell ref="M5:N5"/>
    <mergeCell ref="B21:C21"/>
    <mergeCell ref="G21:H2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22" zoomScale="85" zoomScaleNormal="85" workbookViewId="0">
      <selection activeCell="R36" sqref="R36"/>
    </sheetView>
  </sheetViews>
  <sheetFormatPr defaultRowHeight="12.75"/>
  <cols>
    <col min="1" max="1" width="8.42578125" customWidth="1"/>
    <col min="2" max="2" width="10.7109375" customWidth="1"/>
    <col min="3" max="3" width="3.7109375" customWidth="1"/>
    <col min="4" max="4" width="6.7109375" customWidth="1"/>
    <col min="5" max="5" width="0.28515625" customWidth="1"/>
    <col min="6" max="6" width="6" customWidth="1"/>
    <col min="7" max="13" width="6.28515625" customWidth="1"/>
    <col min="14" max="14" width="7.7109375" customWidth="1"/>
  </cols>
  <sheetData>
    <row r="1" spans="1:15" ht="3" customHeight="1"/>
    <row r="2" spans="1:15" ht="18.75">
      <c r="A2" s="541" t="s">
        <v>47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31"/>
    </row>
    <row r="3" spans="1:15" ht="18.75">
      <c r="A3" s="91"/>
      <c r="B3" s="91"/>
      <c r="C3" s="91"/>
      <c r="F3" s="91"/>
      <c r="G3" s="91"/>
      <c r="H3" s="91"/>
      <c r="I3" s="91"/>
      <c r="J3" s="91"/>
      <c r="K3" s="91"/>
      <c r="L3" s="91"/>
      <c r="M3" s="91"/>
      <c r="N3" s="31"/>
    </row>
    <row r="4" spans="1:15" ht="10.9" customHeight="1">
      <c r="A4" s="41" t="s">
        <v>48</v>
      </c>
      <c r="B4" s="179">
        <f ca="1">NOW()</f>
        <v>44834.790105208333</v>
      </c>
      <c r="C4" s="57"/>
      <c r="D4" s="515" t="s">
        <v>129</v>
      </c>
      <c r="E4" s="515"/>
      <c r="F4" s="515"/>
      <c r="G4" s="469">
        <v>0.58332175925925933</v>
      </c>
      <c r="H4" s="469"/>
      <c r="I4" s="57"/>
      <c r="J4" s="57"/>
      <c r="K4" s="126"/>
      <c r="L4" s="464" t="s">
        <v>106</v>
      </c>
      <c r="M4" s="464"/>
      <c r="N4" s="464"/>
    </row>
    <row r="5" spans="1:15" ht="10.9" customHeight="1">
      <c r="A5" s="460" t="s">
        <v>49</v>
      </c>
      <c r="B5" s="460"/>
      <c r="C5" s="542">
        <f ca="1">B4</f>
        <v>44834.790105208333</v>
      </c>
      <c r="D5" s="542"/>
      <c r="E5" s="178" t="s">
        <v>130</v>
      </c>
      <c r="F5" s="467">
        <f>G4</f>
        <v>0.58332175925925933</v>
      </c>
      <c r="G5" s="467"/>
      <c r="H5" s="55"/>
      <c r="I5" s="55"/>
      <c r="J5" s="55"/>
      <c r="K5" s="465" t="s">
        <v>107</v>
      </c>
      <c r="L5" s="465"/>
      <c r="M5" s="465"/>
      <c r="N5" s="465"/>
    </row>
    <row r="6" spans="1:15" ht="10.9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  <c r="O6" s="135"/>
    </row>
    <row r="7" spans="1:15" ht="10.9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5" ht="10.9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 t="s">
        <v>124</v>
      </c>
      <c r="I8" s="456"/>
      <c r="J8" s="456"/>
      <c r="K8" s="456"/>
      <c r="L8" s="183"/>
    </row>
    <row r="9" spans="1:15" ht="10.9" customHeight="1">
      <c r="A9" s="94" t="s">
        <v>51</v>
      </c>
      <c r="B9" s="455" t="s">
        <v>123</v>
      </c>
      <c r="C9" s="472"/>
      <c r="D9" s="93"/>
      <c r="E9" s="93"/>
      <c r="F9" s="93"/>
      <c r="G9" s="195"/>
      <c r="H9" s="186" t="s">
        <v>125</v>
      </c>
      <c r="I9" s="185"/>
      <c r="J9" s="185"/>
      <c r="K9" s="185"/>
      <c r="L9" s="185"/>
    </row>
    <row r="10" spans="1:15" ht="10.9" customHeight="1">
      <c r="A10" s="94" t="s">
        <v>53</v>
      </c>
      <c r="B10" s="518" t="s">
        <v>126</v>
      </c>
      <c r="C10" s="518"/>
      <c r="D10" s="93"/>
      <c r="E10" s="93"/>
      <c r="F10" s="93"/>
      <c r="G10" s="93"/>
      <c r="H10" s="451" t="s">
        <v>52</v>
      </c>
      <c r="I10" s="451"/>
      <c r="J10" s="451"/>
      <c r="K10" s="183"/>
      <c r="L10" s="183"/>
    </row>
    <row r="11" spans="1:15" ht="10.9" customHeight="1">
      <c r="A11" s="23" t="s">
        <v>54</v>
      </c>
      <c r="B11" s="518" t="s">
        <v>131</v>
      </c>
      <c r="C11" s="518"/>
      <c r="D11" s="518"/>
      <c r="E11" s="518"/>
      <c r="F11" s="518"/>
      <c r="G11" s="93"/>
      <c r="H11" s="186" t="s">
        <v>132</v>
      </c>
      <c r="I11" s="185"/>
      <c r="J11" s="185"/>
      <c r="K11" s="519" t="str">
        <f>'Hofm 4осі'!O5</f>
        <v>FC5468741</v>
      </c>
      <c r="L11" s="520"/>
    </row>
    <row r="12" spans="1:15" ht="10.9" customHeight="1">
      <c r="A12" s="23"/>
      <c r="B12" s="518" t="s">
        <v>137</v>
      </c>
      <c r="C12" s="518"/>
      <c r="D12" s="93"/>
      <c r="E12" s="93"/>
      <c r="F12" s="93"/>
      <c r="G12" s="93"/>
      <c r="H12" s="218"/>
      <c r="I12" s="218"/>
      <c r="J12" s="218"/>
      <c r="K12" s="217"/>
      <c r="L12" s="217"/>
      <c r="M12" s="164"/>
      <c r="N12" s="164"/>
    </row>
    <row r="13" spans="1:15" ht="10.9" customHeight="1">
      <c r="H13" s="94"/>
      <c r="I13" s="94"/>
      <c r="J13" s="94"/>
      <c r="K13" s="185"/>
      <c r="L13" s="185"/>
    </row>
    <row r="14" spans="1:15" ht="10.9" customHeight="1">
      <c r="H14" s="452" t="s">
        <v>133</v>
      </c>
      <c r="I14" s="452"/>
      <c r="J14" s="452"/>
      <c r="K14" s="94"/>
      <c r="L14" s="94"/>
    </row>
    <row r="15" spans="1:15" ht="10.9" customHeight="1">
      <c r="A15" s="23"/>
      <c r="B15" s="23"/>
      <c r="C15" s="23"/>
      <c r="D15" s="42"/>
      <c r="E15" s="42"/>
      <c r="F15" s="42"/>
      <c r="G15" s="42"/>
      <c r="H15" s="453" t="s">
        <v>121</v>
      </c>
      <c r="I15" s="453"/>
      <c r="J15" s="453"/>
      <c r="K15" s="94"/>
      <c r="L15" s="94"/>
    </row>
    <row r="16" spans="1:15" ht="10.9" customHeight="1">
      <c r="A16" s="23"/>
      <c r="B16" s="23"/>
      <c r="C16" s="23"/>
      <c r="D16" s="42"/>
      <c r="E16" s="42"/>
      <c r="F16" s="42"/>
      <c r="G16" s="42"/>
      <c r="H16" s="453"/>
      <c r="I16" s="453"/>
      <c r="J16" s="453"/>
      <c r="K16" s="94"/>
      <c r="L16" s="94"/>
    </row>
    <row r="17" spans="1:14" ht="10.9" customHeight="1">
      <c r="A17" s="539"/>
      <c r="B17" s="539"/>
      <c r="C17" s="539"/>
      <c r="D17" s="539"/>
      <c r="E17" s="539"/>
      <c r="F17" s="539"/>
      <c r="G17" s="539"/>
      <c r="H17" s="457"/>
      <c r="I17" s="457"/>
      <c r="J17" s="457"/>
      <c r="K17" s="95"/>
      <c r="L17" s="95"/>
    </row>
    <row r="18" spans="1:14" ht="10.9" customHeight="1">
      <c r="A18" s="453"/>
      <c r="B18" s="453"/>
      <c r="C18" s="94"/>
      <c r="D18" s="93"/>
      <c r="E18" s="93"/>
      <c r="F18" s="93"/>
      <c r="G18" s="93"/>
      <c r="H18" s="95"/>
      <c r="I18" s="95"/>
      <c r="J18" s="95"/>
      <c r="K18" s="95"/>
      <c r="L18" s="95"/>
    </row>
    <row r="19" spans="1:14" ht="10.9" customHeight="1">
      <c r="A19" s="123"/>
      <c r="B19" s="92"/>
      <c r="C19" s="94"/>
      <c r="D19" s="93"/>
      <c r="E19" s="93"/>
      <c r="F19" s="93"/>
      <c r="G19" s="93"/>
      <c r="H19" s="95"/>
      <c r="I19" s="95"/>
      <c r="J19" s="95"/>
      <c r="K19" s="95"/>
      <c r="L19" s="95"/>
    </row>
    <row r="20" spans="1:14" ht="10.9" customHeight="1">
      <c r="K20" s="95"/>
      <c r="L20" s="95"/>
    </row>
    <row r="21" spans="1:14" ht="13.9" customHeight="1">
      <c r="A21" s="97" t="s">
        <v>55</v>
      </c>
      <c r="B21" s="97"/>
    </row>
    <row r="22" spans="1:14" ht="13.9" customHeight="1">
      <c r="A22" s="98"/>
      <c r="B22" s="98"/>
    </row>
    <row r="23" spans="1:14" ht="10.9" customHeight="1">
      <c r="A23" s="540" t="s">
        <v>56</v>
      </c>
      <c r="B23" s="540"/>
      <c r="C23" s="99"/>
      <c r="D23" s="100" t="s">
        <v>57</v>
      </c>
      <c r="E23" s="100"/>
      <c r="F23" s="100" t="s">
        <v>58</v>
      </c>
      <c r="G23" s="100" t="s">
        <v>128</v>
      </c>
      <c r="H23" s="100">
        <v>4</v>
      </c>
      <c r="I23" s="100">
        <v>5</v>
      </c>
      <c r="J23" s="100">
        <v>6</v>
      </c>
      <c r="K23" s="100">
        <v>7</v>
      </c>
      <c r="L23" s="100">
        <v>8</v>
      </c>
      <c r="M23" s="100">
        <v>9</v>
      </c>
      <c r="N23" s="101" t="s">
        <v>29</v>
      </c>
    </row>
    <row r="24" spans="1:14" ht="10.9" customHeight="1">
      <c r="A24" s="516" t="s">
        <v>0</v>
      </c>
      <c r="B24" s="517"/>
      <c r="C24" s="102" t="s">
        <v>1</v>
      </c>
      <c r="D24" s="103">
        <f ca="1">'Hofm 4осі'!C1</f>
        <v>2172</v>
      </c>
      <c r="E24" s="482">
        <f ca="1">'Hofm 4осі'!D1</f>
        <v>1493</v>
      </c>
      <c r="F24" s="494"/>
      <c r="G24" s="103">
        <f ca="1">'Hofm 4осі'!E1</f>
        <v>3939</v>
      </c>
      <c r="H24" s="103">
        <f ca="1">'Hofm 4осі'!F1</f>
        <v>2383</v>
      </c>
      <c r="I24" s="104"/>
      <c r="J24" s="104"/>
      <c r="K24" s="104"/>
      <c r="L24" s="104"/>
      <c r="M24" s="104"/>
      <c r="N24" s="105"/>
    </row>
    <row r="25" spans="1:14" ht="10.9" customHeight="1">
      <c r="A25" s="516" t="s">
        <v>2</v>
      </c>
      <c r="B25" s="517"/>
      <c r="C25" s="102" t="s">
        <v>1</v>
      </c>
      <c r="D25" s="103">
        <f ca="1">'Hofm 4осі'!C2</f>
        <v>2531</v>
      </c>
      <c r="E25" s="482">
        <f ca="1">'Hofm 4осі'!D2</f>
        <v>1379</v>
      </c>
      <c r="F25" s="494"/>
      <c r="G25" s="103">
        <f ca="1">'Hofm 4осі'!E2</f>
        <v>3859</v>
      </c>
      <c r="H25" s="103">
        <f ca="1">'Hofm 4осі'!F2</f>
        <v>2189</v>
      </c>
      <c r="I25" s="104"/>
      <c r="J25" s="104"/>
      <c r="K25" s="104"/>
      <c r="L25" s="104"/>
      <c r="M25" s="104"/>
      <c r="N25" s="105"/>
    </row>
    <row r="26" spans="1:14" ht="10.9" customHeight="1">
      <c r="A26" s="516" t="s">
        <v>3</v>
      </c>
      <c r="B26" s="517"/>
      <c r="C26" s="102" t="s">
        <v>1</v>
      </c>
      <c r="D26" s="148">
        <f ca="1">'Hofm 4осі'!C3</f>
        <v>695</v>
      </c>
      <c r="E26" s="482">
        <f ca="1">'Hofm 4осі'!D3</f>
        <v>704</v>
      </c>
      <c r="F26" s="494"/>
      <c r="G26" s="103">
        <f ca="1">'Hofm 4осі'!E3</f>
        <v>798</v>
      </c>
      <c r="H26" s="103">
        <f ca="1">'Hofm 4осі'!F3</f>
        <v>599</v>
      </c>
      <c r="I26" s="104"/>
      <c r="J26" s="104"/>
      <c r="K26" s="104"/>
      <c r="L26" s="104"/>
      <c r="M26" s="104"/>
      <c r="N26" s="105"/>
    </row>
    <row r="27" spans="1:14" ht="10.9" customHeight="1">
      <c r="A27" s="516" t="s">
        <v>75</v>
      </c>
      <c r="B27" s="517"/>
      <c r="C27" s="102" t="s">
        <v>1</v>
      </c>
      <c r="D27" s="103">
        <f ca="1">'Hofm 4осі'!C4</f>
        <v>591</v>
      </c>
      <c r="E27" s="482">
        <f ca="1">'Hofm 4осі'!D4</f>
        <v>554</v>
      </c>
      <c r="F27" s="494"/>
      <c r="G27" s="103">
        <f ca="1">'Hofm 4осі'!E4</f>
        <v>852</v>
      </c>
      <c r="H27" s="103">
        <f ca="1">'Hofm 4осі'!F4</f>
        <v>804</v>
      </c>
      <c r="I27" s="104"/>
      <c r="J27" s="104"/>
      <c r="K27" s="104"/>
      <c r="L27" s="104"/>
      <c r="M27" s="104"/>
      <c r="N27" s="105"/>
    </row>
    <row r="28" spans="1:14" ht="10.9" customHeight="1">
      <c r="A28" s="516" t="s">
        <v>5</v>
      </c>
      <c r="B28" s="517"/>
      <c r="C28" s="102" t="s">
        <v>6</v>
      </c>
      <c r="D28" s="103"/>
      <c r="E28" s="482"/>
      <c r="F28" s="494"/>
      <c r="G28" s="103"/>
      <c r="H28" s="103"/>
      <c r="I28" s="104"/>
      <c r="J28" s="104"/>
      <c r="K28" s="104"/>
      <c r="L28" s="104"/>
      <c r="M28" s="104"/>
      <c r="N28" s="105"/>
    </row>
    <row r="29" spans="1:14" ht="10.9" customHeight="1">
      <c r="A29" s="516" t="s">
        <v>7</v>
      </c>
      <c r="B29" s="517"/>
      <c r="C29" s="106" t="s">
        <v>6</v>
      </c>
      <c r="D29" s="103" t="s">
        <v>134</v>
      </c>
      <c r="E29" s="482" t="s">
        <v>134</v>
      </c>
      <c r="F29" s="494"/>
      <c r="G29" s="103" t="s">
        <v>134</v>
      </c>
      <c r="H29" s="103" t="s">
        <v>134</v>
      </c>
      <c r="I29" s="104"/>
      <c r="J29" s="104"/>
      <c r="K29" s="104"/>
      <c r="L29" s="104"/>
      <c r="M29" s="104"/>
      <c r="N29" s="105"/>
    </row>
    <row r="30" spans="1:14" ht="10.9" customHeight="1">
      <c r="A30" s="516" t="s">
        <v>8</v>
      </c>
      <c r="B30" s="517"/>
      <c r="C30" s="106" t="s">
        <v>6</v>
      </c>
      <c r="D30" s="174" t="s">
        <v>134</v>
      </c>
      <c r="E30" s="445" t="s">
        <v>134</v>
      </c>
      <c r="F30" s="446"/>
      <c r="G30" s="174" t="s">
        <v>134</v>
      </c>
      <c r="H30" s="103" t="s">
        <v>134</v>
      </c>
      <c r="I30" s="104"/>
      <c r="J30" s="104"/>
      <c r="K30" s="104"/>
      <c r="L30" s="104"/>
      <c r="M30" s="104"/>
      <c r="N30" s="105"/>
    </row>
    <row r="31" spans="1:14" ht="10.9" customHeight="1">
      <c r="A31" s="516" t="s">
        <v>9</v>
      </c>
      <c r="B31" s="517"/>
      <c r="C31" s="102" t="s">
        <v>1</v>
      </c>
      <c r="D31" s="103">
        <f ca="1">'Hofm 4осі'!C8</f>
        <v>355</v>
      </c>
      <c r="E31" s="482">
        <f ca="1">'Hofm 4осі'!D8</f>
        <v>212</v>
      </c>
      <c r="F31" s="494"/>
      <c r="G31" s="103">
        <f ca="1">'Hofm 4осі'!E8</f>
        <v>131</v>
      </c>
      <c r="H31" s="103">
        <f ca="1">'Hofm 4осі'!F8</f>
        <v>124</v>
      </c>
      <c r="I31" s="104"/>
      <c r="J31" s="104"/>
      <c r="K31" s="104"/>
      <c r="L31" s="104"/>
      <c r="M31" s="104"/>
      <c r="N31" s="102" t="s">
        <v>59</v>
      </c>
    </row>
    <row r="32" spans="1:14" ht="10.9" customHeight="1">
      <c r="A32" s="516" t="s">
        <v>10</v>
      </c>
      <c r="B32" s="517"/>
      <c r="C32" s="106" t="s">
        <v>6</v>
      </c>
      <c r="D32" s="103">
        <f>Hofmann!C9</f>
        <v>6.5</v>
      </c>
      <c r="E32" s="482">
        <f>Hofmann!D9</f>
        <v>6.5</v>
      </c>
      <c r="F32" s="494"/>
      <c r="G32" s="103">
        <v>6.5</v>
      </c>
      <c r="H32" s="103">
        <v>6.5</v>
      </c>
      <c r="I32" s="104"/>
      <c r="J32" s="104"/>
      <c r="K32" s="104"/>
      <c r="L32" s="104"/>
      <c r="M32" s="104"/>
      <c r="N32" s="107"/>
    </row>
    <row r="33" spans="1:14" ht="10.9" customHeight="1">
      <c r="A33" s="516" t="s">
        <v>11</v>
      </c>
      <c r="B33" s="517"/>
      <c r="C33" s="106" t="s">
        <v>12</v>
      </c>
      <c r="D33" s="389">
        <f ca="1">'Hofm 4осі'!C11</f>
        <v>14</v>
      </c>
      <c r="E33" s="511">
        <f ca="1">'Hofm 4осі'!D11</f>
        <v>8</v>
      </c>
      <c r="F33" s="512"/>
      <c r="G33" s="389">
        <f ca="1">'Hofm 4осі'!E11</f>
        <v>2</v>
      </c>
      <c r="H33" s="389">
        <f ca="1">'Hofm 4осі'!F11</f>
        <v>8</v>
      </c>
      <c r="I33" s="104"/>
      <c r="J33" s="104"/>
      <c r="K33" s="104"/>
      <c r="L33" s="104"/>
      <c r="M33" s="104"/>
      <c r="N33" s="102" t="s">
        <v>33</v>
      </c>
    </row>
    <row r="34" spans="1:14" ht="10.9" customHeight="1">
      <c r="A34" s="516" t="s">
        <v>13</v>
      </c>
      <c r="B34" s="517"/>
      <c r="C34" s="106" t="s">
        <v>12</v>
      </c>
      <c r="D34" s="103">
        <f ca="1">ROUND(D33*RANDBETWEEN(12,14)/10,0)</f>
        <v>18</v>
      </c>
      <c r="E34" s="513">
        <f ca="1">ROUND(E33*RANDBETWEEN(12,14)/10,0)</f>
        <v>11</v>
      </c>
      <c r="F34" s="514"/>
      <c r="G34" s="103">
        <f ca="1">ROUND(G33*RANDBETWEEN(D3312,14)/10,0)</f>
        <v>0</v>
      </c>
      <c r="H34" s="103">
        <f ca="1">ROUND(H33*RANDBETWEEN(12,14)/10,0)</f>
        <v>10</v>
      </c>
      <c r="I34" s="104"/>
      <c r="J34" s="104"/>
      <c r="K34" s="104"/>
      <c r="L34" s="104"/>
      <c r="M34" s="104"/>
      <c r="N34" s="102" t="s">
        <v>60</v>
      </c>
    </row>
    <row r="35" spans="1:14" ht="10.9" customHeight="1">
      <c r="A35" s="516" t="s">
        <v>14</v>
      </c>
      <c r="B35" s="517"/>
      <c r="C35" s="106" t="s">
        <v>12</v>
      </c>
      <c r="D35" s="103"/>
      <c r="E35" s="526"/>
      <c r="F35" s="526"/>
      <c r="G35" s="190"/>
      <c r="H35" s="103"/>
      <c r="I35" s="104"/>
      <c r="J35" s="104"/>
      <c r="K35" s="104"/>
      <c r="L35" s="104"/>
      <c r="M35" s="104"/>
      <c r="N35" s="102" t="s">
        <v>60</v>
      </c>
    </row>
    <row r="36" spans="1:14" ht="10.9" customHeight="1">
      <c r="A36" s="516" t="s">
        <v>15</v>
      </c>
      <c r="B36" s="517"/>
      <c r="C36" s="106" t="s">
        <v>12</v>
      </c>
      <c r="D36" s="103"/>
      <c r="E36" s="482"/>
      <c r="F36" s="494"/>
      <c r="G36" s="103"/>
      <c r="H36" s="103"/>
      <c r="I36" s="104"/>
      <c r="J36" s="104"/>
      <c r="K36" s="104"/>
      <c r="L36" s="104"/>
      <c r="M36" s="104"/>
      <c r="N36" s="102" t="s">
        <v>60</v>
      </c>
    </row>
    <row r="37" spans="1:14" ht="10.9" customHeight="1">
      <c r="A37" s="516" t="s">
        <v>16</v>
      </c>
      <c r="B37" s="517"/>
      <c r="C37" s="106" t="s">
        <v>17</v>
      </c>
      <c r="D37" s="103">
        <f ca="1">'Hofm 4осі'!C14</f>
        <v>381</v>
      </c>
      <c r="E37" s="482">
        <f ca="1">'Hofm 4осі'!D14</f>
        <v>262</v>
      </c>
      <c r="F37" s="494"/>
      <c r="G37" s="215">
        <f ca="1">'Hofm 4осі'!E14</f>
        <v>691</v>
      </c>
      <c r="H37" s="215">
        <f ca="1">'Hofm 4осі'!F14</f>
        <v>418</v>
      </c>
      <c r="I37" s="104"/>
      <c r="J37" s="104"/>
      <c r="K37" s="104"/>
      <c r="L37" s="104"/>
      <c r="M37" s="104"/>
      <c r="N37" s="107"/>
    </row>
    <row r="38" spans="1:14" ht="10.9" customHeight="1">
      <c r="A38" s="516" t="s">
        <v>74</v>
      </c>
      <c r="B38" s="517"/>
      <c r="C38" s="106" t="s">
        <v>17</v>
      </c>
      <c r="D38" s="103">
        <f ca="1">'Hofm 4осі'!C15</f>
        <v>444</v>
      </c>
      <c r="E38" s="482">
        <f ca="1">'Hofm 4осі'!D15</f>
        <v>242</v>
      </c>
      <c r="F38" s="494"/>
      <c r="G38" s="215">
        <f ca="1">'Hofm 4осі'!E15</f>
        <v>677</v>
      </c>
      <c r="H38" s="215">
        <f ca="1">'Hofm 4осі'!F15</f>
        <v>384</v>
      </c>
      <c r="I38" s="104"/>
      <c r="J38" s="104"/>
      <c r="K38" s="104"/>
      <c r="L38" s="104"/>
      <c r="M38" s="104"/>
      <c r="N38" s="107"/>
    </row>
    <row r="39" spans="1:14" ht="10.9" customHeight="1">
      <c r="A39" s="516" t="s">
        <v>76</v>
      </c>
      <c r="B39" s="517"/>
      <c r="C39" s="106" t="s">
        <v>17</v>
      </c>
      <c r="D39" s="103">
        <f>'Hofm 4осі'!C16</f>
        <v>825</v>
      </c>
      <c r="E39" s="482">
        <f>'Hofm 4осі'!D16</f>
        <v>504</v>
      </c>
      <c r="F39" s="494"/>
      <c r="G39" s="215">
        <f>'Hofm 4осі'!E16</f>
        <v>1368</v>
      </c>
      <c r="H39" s="215">
        <f>'Hofm 4осі'!F16</f>
        <v>802</v>
      </c>
      <c r="I39" s="104"/>
      <c r="J39" s="104"/>
      <c r="K39" s="104"/>
      <c r="L39" s="104"/>
      <c r="M39" s="104"/>
      <c r="N39" s="107"/>
    </row>
    <row r="40" spans="1:14" ht="10.9" customHeight="1">
      <c r="A40" s="516" t="s">
        <v>20</v>
      </c>
      <c r="B40" s="517"/>
      <c r="C40" s="106" t="s">
        <v>21</v>
      </c>
      <c r="D40" s="108">
        <f ca="1">'Hofm 4осі'!C17</f>
        <v>0.191</v>
      </c>
      <c r="E40" s="524">
        <f ca="1">'Hofm 4осі'!D17</f>
        <v>0.126</v>
      </c>
      <c r="F40" s="525"/>
      <c r="G40" s="216">
        <f ca="1">'Hofm 4осі'!E17</f>
        <v>0.128</v>
      </c>
      <c r="H40" s="216">
        <f ca="1">'Hofm 4осі'!F17</f>
        <v>0.26800000000000002</v>
      </c>
      <c r="I40" s="104"/>
      <c r="J40" s="104"/>
      <c r="K40" s="104"/>
      <c r="L40" s="104"/>
      <c r="M40" s="104"/>
      <c r="N40" s="102" t="s">
        <v>140</v>
      </c>
    </row>
    <row r="41" spans="1:14" ht="10.9" customHeight="1">
      <c r="A41" s="516" t="s">
        <v>22</v>
      </c>
      <c r="B41" s="517"/>
      <c r="C41" s="106" t="s">
        <v>21</v>
      </c>
      <c r="D41" s="108">
        <f ca="1">'Hofm 4осі'!C18</f>
        <v>0.22600000000000001</v>
      </c>
      <c r="E41" s="524">
        <f ca="1">'Hofm 4осі'!D18</f>
        <v>0.27800000000000002</v>
      </c>
      <c r="F41" s="525"/>
      <c r="G41" s="216">
        <f ca="1">'Hofm 4осі'!E18</f>
        <v>0.126</v>
      </c>
      <c r="H41" s="216">
        <f ca="1">'Hofm 4осі'!F18</f>
        <v>0.13200000000000001</v>
      </c>
      <c r="I41" s="104"/>
      <c r="J41" s="104"/>
      <c r="K41" s="104"/>
      <c r="L41" s="104"/>
      <c r="M41" s="104"/>
      <c r="N41" s="102" t="s">
        <v>140</v>
      </c>
    </row>
    <row r="42" spans="1:14" ht="10.9" customHeight="1">
      <c r="A42" s="516" t="s">
        <v>23</v>
      </c>
      <c r="B42" s="517"/>
      <c r="C42" s="106" t="s">
        <v>21</v>
      </c>
      <c r="D42" s="108">
        <f ca="1">'Hofm 4осі'!C19</f>
        <v>0.05</v>
      </c>
      <c r="E42" s="524">
        <f ca="1">'Hofm 4осі'!D19</f>
        <v>0.1</v>
      </c>
      <c r="F42" s="525"/>
      <c r="G42" s="216">
        <f ca="1">'Hofm 4осі'!E19</f>
        <v>0.15000000000000002</v>
      </c>
      <c r="H42" s="216">
        <f ca="1">'Hofm 4осі'!F19</f>
        <v>0.1</v>
      </c>
      <c r="I42" s="104"/>
      <c r="J42" s="104"/>
      <c r="K42" s="104"/>
      <c r="L42" s="104"/>
      <c r="M42" s="104"/>
      <c r="N42" s="102" t="s">
        <v>136</v>
      </c>
    </row>
    <row r="43" spans="1:14" ht="10.9" customHeight="1">
      <c r="A43" s="96"/>
      <c r="B43" s="96"/>
      <c r="C43" s="96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</row>
    <row r="44" spans="1:14" ht="10.9" customHeight="1">
      <c r="A44" s="30"/>
      <c r="B44" s="30"/>
    </row>
    <row r="45" spans="1:14" ht="10.9" customHeight="1">
      <c r="A45" s="521" t="s">
        <v>24</v>
      </c>
      <c r="B45" s="521"/>
      <c r="C45" s="521"/>
      <c r="D45" s="555">
        <f ca="1">'Hofm 4осі'!V20</f>
        <v>19945</v>
      </c>
      <c r="E45" s="556"/>
      <c r="F45" s="556"/>
      <c r="G45" s="110"/>
      <c r="H45" s="110"/>
      <c r="I45" s="110"/>
      <c r="J45" s="110"/>
      <c r="K45" s="110"/>
      <c r="L45" s="110"/>
      <c r="M45" s="110"/>
      <c r="N45" s="111"/>
    </row>
    <row r="46" spans="1:14" ht="10.9" customHeight="1">
      <c r="A46" s="521" t="s">
        <v>68</v>
      </c>
      <c r="B46" s="521"/>
      <c r="C46" s="521"/>
      <c r="D46" s="112">
        <f ca="1">'Hofm 4осі'!W21/100</f>
        <v>0.58106014853814347</v>
      </c>
      <c r="E46" s="112"/>
      <c r="F46" s="110"/>
      <c r="G46" s="110"/>
      <c r="H46" s="110"/>
      <c r="I46" s="110"/>
      <c r="J46" s="110"/>
      <c r="K46" s="110"/>
      <c r="L46" s="110"/>
      <c r="M46" s="111"/>
      <c r="N46" s="46" t="s">
        <v>115</v>
      </c>
    </row>
    <row r="47" spans="1:14" ht="10.9" customHeight="1">
      <c r="A47" s="521" t="s">
        <v>69</v>
      </c>
      <c r="B47" s="521"/>
      <c r="C47" s="521"/>
      <c r="D47" s="110" t="str">
        <f>Hofmann!B23</f>
        <v>%</v>
      </c>
      <c r="E47" s="110"/>
      <c r="F47" s="110"/>
      <c r="G47" s="110"/>
      <c r="H47" s="110"/>
      <c r="I47" s="110"/>
      <c r="J47" s="110"/>
      <c r="K47" s="110"/>
      <c r="L47" s="110"/>
      <c r="M47" s="111"/>
      <c r="N47" s="51"/>
    </row>
    <row r="48" spans="1:14" ht="10.9" customHeight="1">
      <c r="A48" s="113"/>
      <c r="B48" s="113"/>
      <c r="C48" s="522"/>
      <c r="D48" s="522"/>
      <c r="E48" s="177"/>
      <c r="F48" s="33"/>
      <c r="G48" s="33"/>
      <c r="H48" s="33"/>
      <c r="I48" s="33"/>
      <c r="J48" s="33"/>
      <c r="K48" s="33"/>
      <c r="L48" s="33"/>
      <c r="M48" s="33"/>
      <c r="N48" s="52"/>
    </row>
    <row r="49" spans="1:14" ht="10.9" customHeight="1">
      <c r="A49" s="30"/>
      <c r="B49" s="30"/>
    </row>
    <row r="50" spans="1:14" ht="10.9" customHeight="1">
      <c r="A50" s="523" t="s">
        <v>28</v>
      </c>
      <c r="B50" s="523"/>
      <c r="C50" s="114"/>
      <c r="D50" s="115">
        <v>1</v>
      </c>
      <c r="E50" s="115"/>
      <c r="F50" s="115" t="s">
        <v>71</v>
      </c>
      <c r="G50" s="115" t="s">
        <v>128</v>
      </c>
      <c r="H50" s="115">
        <v>4</v>
      </c>
      <c r="I50" s="115">
        <v>5</v>
      </c>
      <c r="J50" s="115">
        <v>6</v>
      </c>
      <c r="K50" s="115">
        <v>7</v>
      </c>
      <c r="L50" s="115">
        <v>8</v>
      </c>
      <c r="M50" s="115">
        <v>9</v>
      </c>
      <c r="N50" s="101" t="s">
        <v>29</v>
      </c>
    </row>
    <row r="51" spans="1:14" ht="10.9" customHeight="1">
      <c r="A51" s="516" t="s">
        <v>30</v>
      </c>
      <c r="B51" s="517"/>
      <c r="C51" s="102" t="s">
        <v>1</v>
      </c>
      <c r="D51" s="103"/>
      <c r="E51" s="482">
        <f ca="1">'Hofm 4осі'!S24</f>
        <v>1088</v>
      </c>
      <c r="F51" s="494"/>
      <c r="G51" s="103"/>
      <c r="H51" s="103">
        <f ca="1">'Hofm 4осі'!U24</f>
        <v>1735</v>
      </c>
      <c r="I51" s="116"/>
      <c r="J51" s="106"/>
      <c r="K51" s="106"/>
      <c r="L51" s="106"/>
      <c r="M51" s="106"/>
      <c r="N51" s="105"/>
    </row>
    <row r="52" spans="1:14" ht="10.9" customHeight="1">
      <c r="A52" s="516" t="s">
        <v>31</v>
      </c>
      <c r="B52" s="517"/>
      <c r="C52" s="102" t="s">
        <v>1</v>
      </c>
      <c r="D52" s="103"/>
      <c r="E52" s="482">
        <f ca="1">'Hofm 4осі'!S25</f>
        <v>1005</v>
      </c>
      <c r="F52" s="494"/>
      <c r="G52" s="103"/>
      <c r="H52" s="214">
        <f ca="1">'Hofm 4осі'!U25</f>
        <v>1594</v>
      </c>
      <c r="I52" s="106"/>
      <c r="J52" s="106"/>
      <c r="K52" s="106"/>
      <c r="L52" s="106"/>
      <c r="M52" s="106"/>
      <c r="N52" s="105"/>
    </row>
    <row r="53" spans="1:14" ht="10.9" customHeight="1">
      <c r="A53" s="516" t="s">
        <v>32</v>
      </c>
      <c r="B53" s="517"/>
      <c r="C53" s="102" t="s">
        <v>12</v>
      </c>
      <c r="D53" s="106"/>
      <c r="E53" s="553"/>
      <c r="F53" s="554"/>
      <c r="G53" s="106"/>
      <c r="H53" s="106"/>
      <c r="I53" s="106"/>
      <c r="J53" s="106"/>
      <c r="K53" s="106"/>
      <c r="L53" s="106"/>
      <c r="M53" s="106"/>
      <c r="N53" s="106" t="s">
        <v>33</v>
      </c>
    </row>
    <row r="54" spans="1:14" ht="10.9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0.9" customHeight="1">
      <c r="A55" s="532" t="s">
        <v>25</v>
      </c>
      <c r="B55" s="532"/>
      <c r="C55" s="532"/>
      <c r="D55" s="536">
        <f ca="1">'Hofm 4осі'!W25/100</f>
        <v>0.15795979570688465</v>
      </c>
      <c r="E55" s="537"/>
      <c r="F55" s="537"/>
      <c r="G55" s="537"/>
      <c r="H55" s="537"/>
      <c r="I55" s="537"/>
      <c r="J55" s="537"/>
      <c r="K55" s="537"/>
      <c r="L55" s="537"/>
      <c r="M55" s="538"/>
      <c r="N55" s="102" t="s">
        <v>34</v>
      </c>
    </row>
    <row r="56" spans="1:14" ht="10.9" customHeight="1">
      <c r="A56" s="532" t="s">
        <v>27</v>
      </c>
      <c r="B56" s="532"/>
      <c r="C56" s="532"/>
      <c r="D56" s="516" t="str">
        <f>Hofmann!B32</f>
        <v>%</v>
      </c>
      <c r="E56" s="535"/>
      <c r="F56" s="535"/>
      <c r="G56" s="535"/>
      <c r="H56" s="535"/>
      <c r="I56" s="535"/>
      <c r="J56" s="535"/>
      <c r="K56" s="535"/>
      <c r="L56" s="535"/>
      <c r="M56" s="517"/>
      <c r="N56" s="51"/>
    </row>
    <row r="57" spans="1:14" ht="6.75" customHeight="1">
      <c r="A57" s="533"/>
      <c r="B57" s="533"/>
      <c r="C57" s="533"/>
      <c r="D57" s="533"/>
      <c r="E57" s="533"/>
      <c r="F57" s="533"/>
      <c r="G57" s="533"/>
      <c r="H57" s="533"/>
      <c r="I57" s="533"/>
      <c r="J57" s="533"/>
    </row>
    <row r="58" spans="1:14" ht="13.5" customHeight="1" thickBot="1">
      <c r="A58" s="534" t="s">
        <v>105</v>
      </c>
      <c r="B58" s="534"/>
      <c r="C58" s="534"/>
      <c r="D58" s="534"/>
      <c r="E58" s="534"/>
      <c r="F58" s="534"/>
      <c r="G58" s="534"/>
      <c r="H58" s="534"/>
      <c r="I58" s="534"/>
      <c r="J58" s="534"/>
      <c r="K58" s="534"/>
      <c r="L58" s="534"/>
      <c r="M58" s="534"/>
      <c r="N58" s="534"/>
    </row>
    <row r="59" spans="1:14" ht="13.5" thickTop="1">
      <c r="A59" s="117"/>
      <c r="B59" s="117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</row>
    <row r="60" spans="1:14" ht="21" customHeight="1">
      <c r="A60" s="139" t="s">
        <v>111</v>
      </c>
      <c r="H60" s="33"/>
      <c r="I60" s="124"/>
      <c r="M60" s="33"/>
      <c r="N60" s="33"/>
    </row>
    <row r="61" spans="1:14" ht="24" customHeight="1">
      <c r="A61" s="136"/>
      <c r="B61" s="136"/>
      <c r="C61" s="136"/>
      <c r="D61" s="136"/>
      <c r="E61" s="136"/>
      <c r="F61" s="136"/>
      <c r="G61" s="136"/>
      <c r="H61" s="52"/>
      <c r="I61" s="137"/>
      <c r="J61" s="138"/>
      <c r="K61" s="138"/>
      <c r="L61" s="138"/>
      <c r="M61" s="52"/>
      <c r="N61" s="52"/>
    </row>
    <row r="62" spans="1:14" ht="27.75" customHeight="1">
      <c r="A62" s="531" t="s">
        <v>61</v>
      </c>
      <c r="B62" s="531"/>
      <c r="C62" s="531"/>
      <c r="D62" s="531"/>
      <c r="E62" s="531"/>
      <c r="F62" s="531"/>
      <c r="G62" s="531"/>
      <c r="H62" s="52"/>
      <c r="I62" s="137"/>
      <c r="J62" s="529" t="s">
        <v>62</v>
      </c>
      <c r="K62" s="529"/>
      <c r="L62" s="529"/>
      <c r="M62" s="52"/>
      <c r="N62" s="52"/>
    </row>
    <row r="63" spans="1:14" ht="12.75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85" t="s">
        <v>65</v>
      </c>
      <c r="K63" s="485"/>
      <c r="L63" s="485"/>
      <c r="M63" s="486" t="s">
        <v>104</v>
      </c>
      <c r="N63" s="486"/>
    </row>
    <row r="64" spans="1:14" ht="15.75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13.5" customHeight="1">
      <c r="A65" s="142"/>
      <c r="B65" s="142"/>
      <c r="C65" s="530"/>
      <c r="D65" s="530"/>
      <c r="E65" s="142"/>
      <c r="F65" s="142"/>
      <c r="G65" s="530"/>
      <c r="H65" s="530"/>
      <c r="I65" s="530"/>
      <c r="J65" s="530"/>
      <c r="K65" s="149"/>
      <c r="L65" s="149"/>
      <c r="M65" s="149"/>
      <c r="N65" s="149"/>
    </row>
    <row r="66" spans="1:14" ht="12.75" customHeight="1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</row>
  </sheetData>
  <mergeCells count="94">
    <mergeCell ref="A2:M2"/>
    <mergeCell ref="D4:F4"/>
    <mergeCell ref="G4:H4"/>
    <mergeCell ref="L4:N4"/>
    <mergeCell ref="A5:B5"/>
    <mergeCell ref="C5:D5"/>
    <mergeCell ref="F5:G5"/>
    <mergeCell ref="K5:N5"/>
    <mergeCell ref="F6:G6"/>
    <mergeCell ref="M6:N6"/>
    <mergeCell ref="A7:G7"/>
    <mergeCell ref="H7:J7"/>
    <mergeCell ref="B8:G8"/>
    <mergeCell ref="H8:K8"/>
    <mergeCell ref="B9:C9"/>
    <mergeCell ref="B10:C10"/>
    <mergeCell ref="H10:J10"/>
    <mergeCell ref="B11:F11"/>
    <mergeCell ref="K11:L11"/>
    <mergeCell ref="B12:C12"/>
    <mergeCell ref="H14:J14"/>
    <mergeCell ref="H15:J15"/>
    <mergeCell ref="H16:J16"/>
    <mergeCell ref="A17:G17"/>
    <mergeCell ref="H17:J17"/>
    <mergeCell ref="A18:B18"/>
    <mergeCell ref="A23:B23"/>
    <mergeCell ref="A24:B24"/>
    <mergeCell ref="E24:F24"/>
    <mergeCell ref="A25:B25"/>
    <mergeCell ref="E25:F25"/>
    <mergeCell ref="A26:B26"/>
    <mergeCell ref="E26:F26"/>
    <mergeCell ref="A27:B27"/>
    <mergeCell ref="E27:F27"/>
    <mergeCell ref="A28:B28"/>
    <mergeCell ref="E28:F28"/>
    <mergeCell ref="A29:B29"/>
    <mergeCell ref="E29:F29"/>
    <mergeCell ref="A30:B30"/>
    <mergeCell ref="E30:F30"/>
    <mergeCell ref="A31:B31"/>
    <mergeCell ref="E31:F31"/>
    <mergeCell ref="A32:B32"/>
    <mergeCell ref="E32:F32"/>
    <mergeCell ref="A33:B33"/>
    <mergeCell ref="E33:F33"/>
    <mergeCell ref="A34:B34"/>
    <mergeCell ref="E34:F34"/>
    <mergeCell ref="A35:B35"/>
    <mergeCell ref="E35:F35"/>
    <mergeCell ref="A36:B36"/>
    <mergeCell ref="E36:F36"/>
    <mergeCell ref="A37:B37"/>
    <mergeCell ref="E37:F37"/>
    <mergeCell ref="A38:B38"/>
    <mergeCell ref="E38:F38"/>
    <mergeCell ref="A39:B39"/>
    <mergeCell ref="E39:F39"/>
    <mergeCell ref="A40:B40"/>
    <mergeCell ref="E40:F40"/>
    <mergeCell ref="A41:B41"/>
    <mergeCell ref="E41:F41"/>
    <mergeCell ref="A42:B42"/>
    <mergeCell ref="E42:F42"/>
    <mergeCell ref="A45:C45"/>
    <mergeCell ref="A46:C46"/>
    <mergeCell ref="A47:C47"/>
    <mergeCell ref="C48:D48"/>
    <mergeCell ref="D45:F45"/>
    <mergeCell ref="A50:B50"/>
    <mergeCell ref="A51:B51"/>
    <mergeCell ref="E51:F51"/>
    <mergeCell ref="A52:B52"/>
    <mergeCell ref="E52:F52"/>
    <mergeCell ref="A53:B53"/>
    <mergeCell ref="E53:F53"/>
    <mergeCell ref="M63:N63"/>
    <mergeCell ref="C64:D64"/>
    <mergeCell ref="J64:L64"/>
    <mergeCell ref="M64:N64"/>
    <mergeCell ref="A55:C55"/>
    <mergeCell ref="D55:M55"/>
    <mergeCell ref="A56:C56"/>
    <mergeCell ref="D56:M56"/>
    <mergeCell ref="A57:J57"/>
    <mergeCell ref="A58:N58"/>
    <mergeCell ref="C65:D65"/>
    <mergeCell ref="G65:H65"/>
    <mergeCell ref="I65:J65"/>
    <mergeCell ref="A62:G62"/>
    <mergeCell ref="J62:L62"/>
    <mergeCell ref="C63:D63"/>
    <mergeCell ref="J63:L6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12" zoomScale="85" zoomScaleNormal="85" workbookViewId="0">
      <selection activeCell="S54" sqref="S54"/>
    </sheetView>
  </sheetViews>
  <sheetFormatPr defaultRowHeight="12.75"/>
  <cols>
    <col min="1" max="1" width="8.42578125" customWidth="1"/>
    <col min="2" max="2" width="10.7109375" customWidth="1"/>
    <col min="3" max="3" width="3.7109375" customWidth="1"/>
    <col min="4" max="4" width="6.7109375" customWidth="1"/>
    <col min="5" max="5" width="0.28515625" customWidth="1"/>
    <col min="6" max="6" width="6" customWidth="1"/>
    <col min="7" max="13" width="6.28515625" customWidth="1"/>
    <col min="14" max="14" width="7.7109375" customWidth="1"/>
  </cols>
  <sheetData>
    <row r="1" spans="1:15" ht="3" customHeight="1"/>
    <row r="2" spans="1:15" ht="18.75">
      <c r="A2" s="541" t="s">
        <v>47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31"/>
    </row>
    <row r="3" spans="1:15" ht="18.75">
      <c r="A3" s="91"/>
      <c r="B3" s="91"/>
      <c r="C3" s="91"/>
      <c r="F3" s="91"/>
      <c r="G3" s="91"/>
      <c r="H3" s="91"/>
      <c r="I3" s="91"/>
      <c r="J3" s="91"/>
      <c r="K3" s="91"/>
      <c r="L3" s="91"/>
      <c r="M3" s="91"/>
      <c r="N3" s="31"/>
    </row>
    <row r="4" spans="1:15" ht="10.9" customHeight="1">
      <c r="A4" s="41" t="s">
        <v>48</v>
      </c>
      <c r="B4" s="179">
        <f ca="1">NOW()</f>
        <v>44834.790105208333</v>
      </c>
      <c r="C4" s="57"/>
      <c r="D4" s="515" t="s">
        <v>129</v>
      </c>
      <c r="E4" s="515"/>
      <c r="F4" s="515"/>
      <c r="G4" s="469">
        <v>0.58332175925925933</v>
      </c>
      <c r="H4" s="469"/>
      <c r="I4" s="57"/>
      <c r="J4" s="57"/>
      <c r="K4" s="126"/>
      <c r="L4" s="464" t="s">
        <v>106</v>
      </c>
      <c r="M4" s="464"/>
      <c r="N4" s="464"/>
    </row>
    <row r="5" spans="1:15" ht="10.9" customHeight="1">
      <c r="A5" s="460" t="s">
        <v>49</v>
      </c>
      <c r="B5" s="460"/>
      <c r="C5" s="542">
        <f ca="1">B4</f>
        <v>44834.790105208333</v>
      </c>
      <c r="D5" s="542"/>
      <c r="E5" s="178" t="s">
        <v>130</v>
      </c>
      <c r="F5" s="467">
        <f>G4</f>
        <v>0.58332175925925933</v>
      </c>
      <c r="G5" s="467"/>
      <c r="H5" s="55"/>
      <c r="I5" s="55"/>
      <c r="J5" s="55"/>
      <c r="K5" s="465" t="s">
        <v>107</v>
      </c>
      <c r="L5" s="465"/>
      <c r="M5" s="465"/>
      <c r="N5" s="465"/>
    </row>
    <row r="6" spans="1:15" ht="10.9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  <c r="O6" s="135"/>
    </row>
    <row r="7" spans="1:15" ht="10.9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5" ht="10.9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 t="s">
        <v>124</v>
      </c>
      <c r="I8" s="456"/>
      <c r="J8" s="456"/>
      <c r="K8" s="456"/>
      <c r="L8" s="183"/>
    </row>
    <row r="9" spans="1:15" ht="10.9" customHeight="1">
      <c r="A9" s="94" t="s">
        <v>51</v>
      </c>
      <c r="B9" s="455" t="s">
        <v>123</v>
      </c>
      <c r="C9" s="472"/>
      <c r="D9" s="93"/>
      <c r="E9" s="93"/>
      <c r="F9" s="93"/>
      <c r="G9" s="195"/>
      <c r="H9" s="186" t="s">
        <v>125</v>
      </c>
      <c r="I9" s="185"/>
      <c r="J9" s="185"/>
      <c r="K9" s="185"/>
      <c r="L9" s="185"/>
    </row>
    <row r="10" spans="1:15" ht="10.9" customHeight="1">
      <c r="A10" s="94" t="s">
        <v>53</v>
      </c>
      <c r="B10" s="518" t="s">
        <v>126</v>
      </c>
      <c r="C10" s="518"/>
      <c r="D10" s="93"/>
      <c r="E10" s="93"/>
      <c r="F10" s="93"/>
      <c r="G10" s="93"/>
      <c r="H10" s="451" t="s">
        <v>52</v>
      </c>
      <c r="I10" s="451"/>
      <c r="J10" s="451"/>
      <c r="K10" s="183"/>
      <c r="L10" s="183"/>
    </row>
    <row r="11" spans="1:15" ht="10.9" customHeight="1">
      <c r="A11" s="23" t="s">
        <v>54</v>
      </c>
      <c r="B11" s="518" t="s">
        <v>131</v>
      </c>
      <c r="C11" s="518"/>
      <c r="D11" s="518"/>
      <c r="E11" s="518"/>
      <c r="F11" s="518"/>
      <c r="G11" s="93"/>
      <c r="H11" s="186" t="s">
        <v>132</v>
      </c>
      <c r="I11" s="185"/>
      <c r="J11" s="185"/>
      <c r="K11" s="519" t="str">
        <f>'Hofm 4осі'!O5</f>
        <v>FC5468741</v>
      </c>
      <c r="L11" s="520"/>
    </row>
    <row r="12" spans="1:15" ht="10.9" customHeight="1">
      <c r="A12" s="23"/>
      <c r="B12" s="518" t="s">
        <v>137</v>
      </c>
      <c r="C12" s="518"/>
      <c r="D12" s="93"/>
      <c r="E12" s="93"/>
      <c r="F12" s="93"/>
      <c r="G12" s="93"/>
      <c r="H12" s="218"/>
      <c r="I12" s="218"/>
      <c r="J12" s="218"/>
      <c r="K12" s="217"/>
      <c r="L12" s="217"/>
      <c r="M12" s="164"/>
      <c r="N12" s="164"/>
    </row>
    <row r="13" spans="1:15" ht="10.9" customHeight="1">
      <c r="H13" s="94"/>
      <c r="I13" s="94"/>
      <c r="J13" s="94"/>
      <c r="K13" s="185"/>
      <c r="L13" s="185"/>
    </row>
    <row r="14" spans="1:15" ht="10.9" customHeight="1">
      <c r="H14" s="452" t="s">
        <v>133</v>
      </c>
      <c r="I14" s="452"/>
      <c r="J14" s="452"/>
      <c r="K14" s="94"/>
      <c r="L14" s="94"/>
    </row>
    <row r="15" spans="1:15" ht="10.9" customHeight="1">
      <c r="A15" s="23"/>
      <c r="B15" s="23"/>
      <c r="C15" s="23"/>
      <c r="D15" s="42"/>
      <c r="E15" s="42"/>
      <c r="F15" s="42"/>
      <c r="G15" s="42"/>
      <c r="H15" s="453" t="s">
        <v>121</v>
      </c>
      <c r="I15" s="453"/>
      <c r="J15" s="453"/>
      <c r="K15" s="94"/>
      <c r="L15" s="94"/>
    </row>
    <row r="16" spans="1:15" ht="10.9" customHeight="1">
      <c r="A16" s="23"/>
      <c r="B16" s="23"/>
      <c r="C16" s="23"/>
      <c r="D16" s="42"/>
      <c r="E16" s="42"/>
      <c r="F16" s="42"/>
      <c r="G16" s="42"/>
      <c r="H16" s="453"/>
      <c r="I16" s="453"/>
      <c r="J16" s="453"/>
      <c r="K16" s="94"/>
      <c r="L16" s="94"/>
    </row>
    <row r="17" spans="1:14" ht="10.9" customHeight="1">
      <c r="A17" s="539"/>
      <c r="B17" s="539"/>
      <c r="C17" s="539"/>
      <c r="D17" s="539"/>
      <c r="E17" s="539"/>
      <c r="F17" s="539"/>
      <c r="G17" s="539"/>
      <c r="H17" s="457"/>
      <c r="I17" s="457"/>
      <c r="J17" s="457"/>
      <c r="K17" s="95"/>
      <c r="L17" s="95"/>
    </row>
    <row r="18" spans="1:14" ht="10.9" customHeight="1">
      <c r="A18" s="453"/>
      <c r="B18" s="453"/>
      <c r="C18" s="94"/>
      <c r="D18" s="93"/>
      <c r="E18" s="93"/>
      <c r="F18" s="93"/>
      <c r="G18" s="93"/>
      <c r="H18" s="95"/>
      <c r="I18" s="95"/>
      <c r="J18" s="95"/>
      <c r="K18" s="95"/>
      <c r="L18" s="95"/>
    </row>
    <row r="19" spans="1:14" ht="10.9" customHeight="1">
      <c r="A19" s="123"/>
      <c r="B19" s="92"/>
      <c r="C19" s="94"/>
      <c r="D19" s="93"/>
      <c r="E19" s="93"/>
      <c r="F19" s="93"/>
      <c r="G19" s="93"/>
      <c r="H19" s="95"/>
      <c r="I19" s="95"/>
      <c r="J19" s="95"/>
      <c r="K19" s="95"/>
      <c r="L19" s="95"/>
    </row>
    <row r="20" spans="1:14" ht="10.9" customHeight="1">
      <c r="K20" s="95"/>
      <c r="L20" s="95"/>
    </row>
    <row r="21" spans="1:14" ht="13.9" customHeight="1">
      <c r="A21" s="97" t="s">
        <v>55</v>
      </c>
      <c r="B21" s="97"/>
    </row>
    <row r="22" spans="1:14" ht="13.9" customHeight="1">
      <c r="A22" s="98"/>
      <c r="B22" s="98"/>
    </row>
    <row r="23" spans="1:14" ht="10.9" customHeight="1">
      <c r="A23" s="540" t="s">
        <v>56</v>
      </c>
      <c r="B23" s="540"/>
      <c r="C23" s="99"/>
      <c r="D23" s="100" t="s">
        <v>57</v>
      </c>
      <c r="E23" s="100"/>
      <c r="F23" s="100" t="s">
        <v>58</v>
      </c>
      <c r="G23" s="100" t="s">
        <v>128</v>
      </c>
      <c r="H23" s="100">
        <v>4</v>
      </c>
      <c r="I23" s="100">
        <v>5</v>
      </c>
      <c r="J23" s="100">
        <v>6</v>
      </c>
      <c r="K23" s="100">
        <v>7</v>
      </c>
      <c r="L23" s="100">
        <v>8</v>
      </c>
      <c r="M23" s="100">
        <v>9</v>
      </c>
      <c r="N23" s="101" t="s">
        <v>29</v>
      </c>
    </row>
    <row r="24" spans="1:14" ht="10.9" customHeight="1">
      <c r="A24" s="516" t="s">
        <v>0</v>
      </c>
      <c r="B24" s="517"/>
      <c r="C24" s="102" t="s">
        <v>1</v>
      </c>
      <c r="D24" s="103">
        <f ca="1">'Hofm 4осі'!C1</f>
        <v>2172</v>
      </c>
      <c r="E24" s="482">
        <f ca="1">'Hofm 4осі'!D1</f>
        <v>1493</v>
      </c>
      <c r="F24" s="494"/>
      <c r="G24" s="103">
        <f ca="1">'Hofm 4осі'!E1</f>
        <v>3939</v>
      </c>
      <c r="H24" s="103">
        <f ca="1">'Hofm 4осі'!F1</f>
        <v>2383</v>
      </c>
      <c r="I24" s="104"/>
      <c r="J24" s="104"/>
      <c r="K24" s="104"/>
      <c r="L24" s="104"/>
      <c r="M24" s="104"/>
      <c r="N24" s="105"/>
    </row>
    <row r="25" spans="1:14" ht="10.9" customHeight="1">
      <c r="A25" s="516" t="s">
        <v>2</v>
      </c>
      <c r="B25" s="517"/>
      <c r="C25" s="102" t="s">
        <v>1</v>
      </c>
      <c r="D25" s="103">
        <f ca="1">'Hofm 4осі'!C2</f>
        <v>2531</v>
      </c>
      <c r="E25" s="482">
        <f ca="1">'Hofm 4осі'!D2</f>
        <v>1379</v>
      </c>
      <c r="F25" s="494"/>
      <c r="G25" s="103">
        <f ca="1">'Hofm 4осі'!E2</f>
        <v>3859</v>
      </c>
      <c r="H25" s="103">
        <f ca="1">'Hofm 4осі'!F2</f>
        <v>2189</v>
      </c>
      <c r="I25" s="104"/>
      <c r="J25" s="104"/>
      <c r="K25" s="104"/>
      <c r="L25" s="104"/>
      <c r="M25" s="104"/>
      <c r="N25" s="105"/>
    </row>
    <row r="26" spans="1:14" ht="10.9" customHeight="1">
      <c r="A26" s="516" t="s">
        <v>3</v>
      </c>
      <c r="B26" s="517"/>
      <c r="C26" s="102" t="s">
        <v>1</v>
      </c>
      <c r="D26" s="148">
        <f ca="1">'Hofm 4осі'!C3</f>
        <v>695</v>
      </c>
      <c r="E26" s="482">
        <f ca="1">'Hofm 4осі'!D3</f>
        <v>704</v>
      </c>
      <c r="F26" s="494"/>
      <c r="G26" s="103">
        <f ca="1">'Hofm 4осі'!E3</f>
        <v>798</v>
      </c>
      <c r="H26" s="103">
        <f ca="1">'Hofm 4осі'!F3</f>
        <v>599</v>
      </c>
      <c r="I26" s="104"/>
      <c r="J26" s="104"/>
      <c r="K26" s="104"/>
      <c r="L26" s="104"/>
      <c r="M26" s="104"/>
      <c r="N26" s="105"/>
    </row>
    <row r="27" spans="1:14" ht="10.9" customHeight="1">
      <c r="A27" s="516" t="s">
        <v>75</v>
      </c>
      <c r="B27" s="517"/>
      <c r="C27" s="102" t="s">
        <v>1</v>
      </c>
      <c r="D27" s="103">
        <f ca="1">'Hofm 4осі'!C4</f>
        <v>591</v>
      </c>
      <c r="E27" s="482">
        <f ca="1">'Hofm 4осі'!D4</f>
        <v>554</v>
      </c>
      <c r="F27" s="494"/>
      <c r="G27" s="103">
        <f ca="1">'Hofm 4осі'!E4</f>
        <v>852</v>
      </c>
      <c r="H27" s="103">
        <f ca="1">'Hofm 4осі'!F4</f>
        <v>804</v>
      </c>
      <c r="I27" s="104"/>
      <c r="J27" s="104"/>
      <c r="K27" s="104"/>
      <c r="L27" s="104"/>
      <c r="M27" s="104"/>
      <c r="N27" s="105"/>
    </row>
    <row r="28" spans="1:14" ht="10.9" customHeight="1">
      <c r="A28" s="516" t="s">
        <v>5</v>
      </c>
      <c r="B28" s="517"/>
      <c r="C28" s="102" t="s">
        <v>6</v>
      </c>
      <c r="D28" s="103"/>
      <c r="E28" s="482"/>
      <c r="F28" s="494"/>
      <c r="G28" s="103"/>
      <c r="H28" s="103"/>
      <c r="I28" s="104"/>
      <c r="J28" s="104"/>
      <c r="K28" s="104"/>
      <c r="L28" s="104"/>
      <c r="M28" s="104"/>
      <c r="N28" s="105"/>
    </row>
    <row r="29" spans="1:14" ht="10.9" customHeight="1">
      <c r="A29" s="516" t="s">
        <v>7</v>
      </c>
      <c r="B29" s="517"/>
      <c r="C29" s="106" t="s">
        <v>6</v>
      </c>
      <c r="D29" s="103" t="s">
        <v>134</v>
      </c>
      <c r="E29" s="482" t="s">
        <v>134</v>
      </c>
      <c r="F29" s="494"/>
      <c r="G29" s="103" t="s">
        <v>134</v>
      </c>
      <c r="H29" s="103" t="s">
        <v>134</v>
      </c>
      <c r="I29" s="104"/>
      <c r="J29" s="104"/>
      <c r="K29" s="104"/>
      <c r="L29" s="104"/>
      <c r="M29" s="104"/>
      <c r="N29" s="105"/>
    </row>
    <row r="30" spans="1:14" ht="10.9" customHeight="1">
      <c r="A30" s="516" t="s">
        <v>8</v>
      </c>
      <c r="B30" s="517"/>
      <c r="C30" s="106" t="s">
        <v>6</v>
      </c>
      <c r="D30" s="174" t="s">
        <v>134</v>
      </c>
      <c r="E30" s="445" t="s">
        <v>134</v>
      </c>
      <c r="F30" s="446"/>
      <c r="G30" s="174" t="s">
        <v>134</v>
      </c>
      <c r="H30" s="103" t="s">
        <v>134</v>
      </c>
      <c r="I30" s="104"/>
      <c r="J30" s="104"/>
      <c r="K30" s="104"/>
      <c r="L30" s="104"/>
      <c r="M30" s="104"/>
      <c r="N30" s="105"/>
    </row>
    <row r="31" spans="1:14" ht="10.9" customHeight="1">
      <c r="A31" s="516" t="s">
        <v>9</v>
      </c>
      <c r="B31" s="517"/>
      <c r="C31" s="102" t="s">
        <v>1</v>
      </c>
      <c r="D31" s="103">
        <f ca="1">'Hofm 4осі'!C8</f>
        <v>355</v>
      </c>
      <c r="E31" s="482">
        <f ca="1">'Hofm 4осі'!D8</f>
        <v>212</v>
      </c>
      <c r="F31" s="494"/>
      <c r="G31" s="103">
        <f ca="1">'Hofm 4осі'!E8</f>
        <v>131</v>
      </c>
      <c r="H31" s="103">
        <f ca="1">'Hofm 4осі'!F8</f>
        <v>124</v>
      </c>
      <c r="I31" s="104"/>
      <c r="J31" s="104"/>
      <c r="K31" s="104"/>
      <c r="L31" s="104"/>
      <c r="M31" s="104"/>
      <c r="N31" s="102" t="s">
        <v>59</v>
      </c>
    </row>
    <row r="32" spans="1:14" ht="10.9" customHeight="1">
      <c r="A32" s="516" t="s">
        <v>10</v>
      </c>
      <c r="B32" s="517"/>
      <c r="C32" s="106" t="s">
        <v>6</v>
      </c>
      <c r="D32" s="103">
        <f>Hofmann!C9</f>
        <v>6.5</v>
      </c>
      <c r="E32" s="482">
        <f>Hofmann!D9</f>
        <v>6.5</v>
      </c>
      <c r="F32" s="494"/>
      <c r="G32" s="103">
        <v>6.5</v>
      </c>
      <c r="H32" s="103">
        <v>6.5</v>
      </c>
      <c r="I32" s="104"/>
      <c r="J32" s="104"/>
      <c r="K32" s="104"/>
      <c r="L32" s="104"/>
      <c r="M32" s="104"/>
      <c r="N32" s="107"/>
    </row>
    <row r="33" spans="1:14" ht="10.9" customHeight="1">
      <c r="A33" s="516" t="s">
        <v>11</v>
      </c>
      <c r="B33" s="517"/>
      <c r="C33" s="106" t="s">
        <v>12</v>
      </c>
      <c r="D33" s="389">
        <f ca="1">'Hofm 4осі'!C11</f>
        <v>14</v>
      </c>
      <c r="E33" s="511">
        <f ca="1">'Hofm 4осі'!D11</f>
        <v>8</v>
      </c>
      <c r="F33" s="512"/>
      <c r="G33" s="389">
        <f ca="1">'Hofm 4осі'!E11</f>
        <v>2</v>
      </c>
      <c r="H33" s="389">
        <f ca="1">'Hofm 4осі'!F11</f>
        <v>8</v>
      </c>
      <c r="I33" s="104"/>
      <c r="J33" s="104"/>
      <c r="K33" s="104"/>
      <c r="L33" s="104"/>
      <c r="M33" s="104"/>
      <c r="N33" s="102" t="s">
        <v>33</v>
      </c>
    </row>
    <row r="34" spans="1:14" ht="10.9" customHeight="1">
      <c r="A34" s="516" t="s">
        <v>13</v>
      </c>
      <c r="B34" s="517"/>
      <c r="C34" s="106" t="s">
        <v>12</v>
      </c>
      <c r="D34" s="103">
        <f ca="1">ROUND(D33*RANDBETWEEN(12,14)/10,0)</f>
        <v>18</v>
      </c>
      <c r="E34" s="513">
        <f ca="1">ROUND(E33*RANDBETWEEN(12,14)/10,0)</f>
        <v>11</v>
      </c>
      <c r="F34" s="514"/>
      <c r="G34" s="103">
        <f ca="1">ROUND(G33*RANDBETWEEN(12,14)/10,0)</f>
        <v>3</v>
      </c>
      <c r="H34" s="103">
        <f ca="1">ROUND(H33*RANDBETWEEN(12,14)/10,0)</f>
        <v>11</v>
      </c>
      <c r="I34" s="104"/>
      <c r="J34" s="104"/>
      <c r="K34" s="104"/>
      <c r="L34" s="104"/>
      <c r="M34" s="104"/>
      <c r="N34" s="102" t="s">
        <v>60</v>
      </c>
    </row>
    <row r="35" spans="1:14" ht="10.9" customHeight="1">
      <c r="A35" s="516" t="s">
        <v>14</v>
      </c>
      <c r="B35" s="517"/>
      <c r="C35" s="106" t="s">
        <v>12</v>
      </c>
      <c r="D35" s="103"/>
      <c r="E35" s="526"/>
      <c r="F35" s="526"/>
      <c r="G35" s="190"/>
      <c r="H35" s="103"/>
      <c r="I35" s="104"/>
      <c r="J35" s="104"/>
      <c r="K35" s="104"/>
      <c r="L35" s="104"/>
      <c r="M35" s="104"/>
      <c r="N35" s="102" t="s">
        <v>60</v>
      </c>
    </row>
    <row r="36" spans="1:14" ht="10.9" customHeight="1">
      <c r="A36" s="516" t="s">
        <v>15</v>
      </c>
      <c r="B36" s="517"/>
      <c r="C36" s="106" t="s">
        <v>12</v>
      </c>
      <c r="D36" s="103"/>
      <c r="E36" s="482"/>
      <c r="F36" s="494"/>
      <c r="G36" s="103"/>
      <c r="H36" s="103"/>
      <c r="I36" s="104"/>
      <c r="J36" s="104"/>
      <c r="K36" s="104"/>
      <c r="L36" s="104"/>
      <c r="M36" s="104"/>
      <c r="N36" s="102" t="s">
        <v>60</v>
      </c>
    </row>
    <row r="37" spans="1:14" ht="10.9" customHeight="1">
      <c r="A37" s="516" t="s">
        <v>16</v>
      </c>
      <c r="B37" s="517"/>
      <c r="C37" s="106" t="s">
        <v>17</v>
      </c>
      <c r="D37" s="103">
        <f ca="1">'Hofm 4осі'!C14</f>
        <v>381</v>
      </c>
      <c r="E37" s="482">
        <f ca="1">'Hofm 4осі'!D14</f>
        <v>262</v>
      </c>
      <c r="F37" s="494"/>
      <c r="G37" s="215">
        <f ca="1">'Hofm 4осі'!E14</f>
        <v>691</v>
      </c>
      <c r="H37" s="215">
        <f ca="1">'Hofm 4осі'!F14</f>
        <v>418</v>
      </c>
      <c r="I37" s="104"/>
      <c r="J37" s="104"/>
      <c r="K37" s="104"/>
      <c r="L37" s="104"/>
      <c r="M37" s="104"/>
      <c r="N37" s="107"/>
    </row>
    <row r="38" spans="1:14" ht="10.9" customHeight="1">
      <c r="A38" s="516" t="s">
        <v>74</v>
      </c>
      <c r="B38" s="517"/>
      <c r="C38" s="106" t="s">
        <v>17</v>
      </c>
      <c r="D38" s="103">
        <f ca="1">'Hofm 4осі'!C15</f>
        <v>444</v>
      </c>
      <c r="E38" s="482">
        <f ca="1">'Hofm 4осі'!D15</f>
        <v>242</v>
      </c>
      <c r="F38" s="494"/>
      <c r="G38" s="215">
        <f ca="1">'Hofm 4осі'!E15</f>
        <v>677</v>
      </c>
      <c r="H38" s="215">
        <f ca="1">'Hofm 4осі'!F15</f>
        <v>384</v>
      </c>
      <c r="I38" s="104"/>
      <c r="J38" s="104"/>
      <c r="K38" s="104"/>
      <c r="L38" s="104"/>
      <c r="M38" s="104"/>
      <c r="N38" s="107"/>
    </row>
    <row r="39" spans="1:14" ht="10.9" customHeight="1">
      <c r="A39" s="516" t="s">
        <v>76</v>
      </c>
      <c r="B39" s="517"/>
      <c r="C39" s="106" t="s">
        <v>17</v>
      </c>
      <c r="D39" s="103">
        <f>'Hofm 4осі'!C16</f>
        <v>825</v>
      </c>
      <c r="E39" s="482">
        <f>'Hofm 4осі'!D16</f>
        <v>504</v>
      </c>
      <c r="F39" s="494"/>
      <c r="G39" s="215">
        <f>'Hofm 4осі'!E16</f>
        <v>1368</v>
      </c>
      <c r="H39" s="215">
        <f>'Hofm 4осі'!F16</f>
        <v>802</v>
      </c>
      <c r="I39" s="104"/>
      <c r="J39" s="104"/>
      <c r="K39" s="104"/>
      <c r="L39" s="104"/>
      <c r="M39" s="104"/>
      <c r="N39" s="107"/>
    </row>
    <row r="40" spans="1:14" ht="10.9" customHeight="1">
      <c r="A40" s="516" t="s">
        <v>20</v>
      </c>
      <c r="B40" s="517"/>
      <c r="C40" s="106" t="s">
        <v>21</v>
      </c>
      <c r="D40" s="108">
        <f ca="1">'Hofm 4осі'!C17</f>
        <v>0.191</v>
      </c>
      <c r="E40" s="524">
        <f ca="1">'Hofm 4осі'!D17</f>
        <v>0.126</v>
      </c>
      <c r="F40" s="525"/>
      <c r="G40" s="216">
        <f ca="1">'Hofm 4осі'!E17</f>
        <v>0.128</v>
      </c>
      <c r="H40" s="216">
        <f ca="1">'Hofm 4осі'!F17</f>
        <v>0.26800000000000002</v>
      </c>
      <c r="I40" s="104"/>
      <c r="J40" s="104"/>
      <c r="K40" s="104"/>
      <c r="L40" s="104"/>
      <c r="M40" s="104"/>
      <c r="N40" s="102" t="s">
        <v>140</v>
      </c>
    </row>
    <row r="41" spans="1:14" ht="10.9" customHeight="1">
      <c r="A41" s="516" t="s">
        <v>22</v>
      </c>
      <c r="B41" s="517"/>
      <c r="C41" s="106" t="s">
        <v>21</v>
      </c>
      <c r="D41" s="108">
        <f ca="1">'Hofm 4осі'!C18</f>
        <v>0.22600000000000001</v>
      </c>
      <c r="E41" s="524">
        <f ca="1">'Hofm 4осі'!D18</f>
        <v>0.27800000000000002</v>
      </c>
      <c r="F41" s="525"/>
      <c r="G41" s="216">
        <f ca="1">'Hofm 4осі'!E18</f>
        <v>0.126</v>
      </c>
      <c r="H41" s="216">
        <f ca="1">'Hofm 4осі'!F18</f>
        <v>0.13200000000000001</v>
      </c>
      <c r="I41" s="104"/>
      <c r="J41" s="104"/>
      <c r="K41" s="104"/>
      <c r="L41" s="104"/>
      <c r="M41" s="104"/>
      <c r="N41" s="102" t="s">
        <v>140</v>
      </c>
    </row>
    <row r="42" spans="1:14" ht="10.9" customHeight="1">
      <c r="A42" s="516" t="s">
        <v>23</v>
      </c>
      <c r="B42" s="517"/>
      <c r="C42" s="106" t="s">
        <v>21</v>
      </c>
      <c r="D42" s="108">
        <f ca="1">'Hofm 4осі'!C19</f>
        <v>0.05</v>
      </c>
      <c r="E42" s="524">
        <f ca="1">'Hofm 4осі'!D19</f>
        <v>0.1</v>
      </c>
      <c r="F42" s="525"/>
      <c r="G42" s="216">
        <f ca="1">'Hofm 4осі'!E19</f>
        <v>0.15000000000000002</v>
      </c>
      <c r="H42" s="216">
        <f ca="1">'Hofm 4осі'!F19</f>
        <v>0.1</v>
      </c>
      <c r="I42" s="104"/>
      <c r="J42" s="104"/>
      <c r="K42" s="104"/>
      <c r="L42" s="104"/>
      <c r="M42" s="104"/>
      <c r="N42" s="102" t="s">
        <v>136</v>
      </c>
    </row>
    <row r="43" spans="1:14" ht="10.9" customHeight="1">
      <c r="A43" s="96"/>
      <c r="B43" s="96"/>
      <c r="C43" s="96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</row>
    <row r="44" spans="1:14" ht="10.9" customHeight="1">
      <c r="A44" s="30"/>
      <c r="B44" s="30"/>
    </row>
    <row r="45" spans="1:14" ht="10.9" customHeight="1">
      <c r="A45" s="521" t="s">
        <v>24</v>
      </c>
      <c r="B45" s="521"/>
      <c r="C45" s="521"/>
      <c r="D45" s="555">
        <f ca="1">'Hofm 4осі'!V20</f>
        <v>19945</v>
      </c>
      <c r="E45" s="556"/>
      <c r="F45" s="556"/>
      <c r="G45" s="110"/>
      <c r="H45" s="110"/>
      <c r="I45" s="110"/>
      <c r="J45" s="110"/>
      <c r="K45" s="110"/>
      <c r="L45" s="110"/>
      <c r="M45" s="110"/>
      <c r="N45" s="111"/>
    </row>
    <row r="46" spans="1:14" ht="10.9" customHeight="1">
      <c r="A46" s="521" t="s">
        <v>68</v>
      </c>
      <c r="B46" s="521"/>
      <c r="C46" s="521"/>
      <c r="D46" s="112">
        <f ca="1">'Hofm 4осі'!W21/100</f>
        <v>0.58106014853814347</v>
      </c>
      <c r="E46" s="112"/>
      <c r="F46" s="110"/>
      <c r="G46" s="110"/>
      <c r="H46" s="110"/>
      <c r="I46" s="110"/>
      <c r="J46" s="110"/>
      <c r="K46" s="110"/>
      <c r="L46" s="110"/>
      <c r="M46" s="111"/>
      <c r="N46" s="46" t="s">
        <v>115</v>
      </c>
    </row>
    <row r="47" spans="1:14" ht="10.9" customHeight="1">
      <c r="A47" s="521" t="s">
        <v>69</v>
      </c>
      <c r="B47" s="521"/>
      <c r="C47" s="521"/>
      <c r="D47" s="110" t="str">
        <f>Hofmann!B23</f>
        <v>%</v>
      </c>
      <c r="E47" s="110"/>
      <c r="F47" s="110"/>
      <c r="G47" s="110"/>
      <c r="H47" s="110"/>
      <c r="I47" s="110"/>
      <c r="J47" s="110"/>
      <c r="K47" s="110"/>
      <c r="L47" s="110"/>
      <c r="M47" s="111"/>
      <c r="N47" s="51"/>
    </row>
    <row r="48" spans="1:14" ht="10.9" customHeight="1">
      <c r="A48" s="113"/>
      <c r="B48" s="113"/>
      <c r="C48" s="522"/>
      <c r="D48" s="522"/>
      <c r="E48" s="177"/>
      <c r="F48" s="33"/>
      <c r="G48" s="33"/>
      <c r="H48" s="33"/>
      <c r="I48" s="33"/>
      <c r="J48" s="33"/>
      <c r="K48" s="33"/>
      <c r="L48" s="33"/>
      <c r="M48" s="33"/>
      <c r="N48" s="52"/>
    </row>
    <row r="49" spans="1:14" ht="10.9" customHeight="1">
      <c r="A49" s="30"/>
      <c r="B49" s="30"/>
    </row>
    <row r="50" spans="1:14" ht="10.9" customHeight="1">
      <c r="A50" s="523" t="s">
        <v>28</v>
      </c>
      <c r="B50" s="523"/>
      <c r="C50" s="114"/>
      <c r="D50" s="115">
        <v>1</v>
      </c>
      <c r="E50" s="115"/>
      <c r="F50" s="115">
        <v>2</v>
      </c>
      <c r="G50" s="115">
        <v>3</v>
      </c>
      <c r="H50" s="115">
        <v>4</v>
      </c>
      <c r="I50" s="115">
        <v>5</v>
      </c>
      <c r="J50" s="115">
        <v>6</v>
      </c>
      <c r="K50" s="115">
        <v>7</v>
      </c>
      <c r="L50" s="115">
        <v>8</v>
      </c>
      <c r="M50" s="115">
        <v>9</v>
      </c>
      <c r="N50" s="101" t="s">
        <v>29</v>
      </c>
    </row>
    <row r="51" spans="1:14" ht="10.9" customHeight="1">
      <c r="A51" s="516" t="s">
        <v>30</v>
      </c>
      <c r="B51" s="517"/>
      <c r="C51" s="102" t="s">
        <v>1</v>
      </c>
      <c r="D51" s="103"/>
      <c r="E51" s="482">
        <f ca="1">'Hofm 4осі'!S26</f>
        <v>819</v>
      </c>
      <c r="F51" s="494"/>
      <c r="G51" s="103">
        <f ca="1">'Hofm 4осі'!T26</f>
        <v>2159</v>
      </c>
      <c r="H51" s="103">
        <f ca="1">'Hofm 4осі'!U26</f>
        <v>1306</v>
      </c>
      <c r="I51" s="116"/>
      <c r="J51" s="106"/>
      <c r="K51" s="106"/>
      <c r="L51" s="106"/>
      <c r="M51" s="106"/>
      <c r="N51" s="105"/>
    </row>
    <row r="52" spans="1:14" ht="10.9" customHeight="1">
      <c r="A52" s="516" t="s">
        <v>31</v>
      </c>
      <c r="B52" s="517"/>
      <c r="C52" s="102" t="s">
        <v>1</v>
      </c>
      <c r="D52" s="103"/>
      <c r="E52" s="482">
        <f ca="1">'Hofm 4осі'!S27</f>
        <v>756</v>
      </c>
      <c r="F52" s="494"/>
      <c r="G52" s="103">
        <f ca="1">'Hofm 4осі'!T27</f>
        <v>2116</v>
      </c>
      <c r="H52" s="214">
        <f ca="1">'Hofm 4осі'!U27</f>
        <v>1200</v>
      </c>
      <c r="I52" s="106"/>
      <c r="J52" s="106"/>
      <c r="K52" s="106"/>
      <c r="L52" s="106"/>
      <c r="M52" s="106"/>
      <c r="N52" s="105"/>
    </row>
    <row r="53" spans="1:14" ht="10.9" customHeight="1">
      <c r="A53" s="516" t="s">
        <v>32</v>
      </c>
      <c r="B53" s="517"/>
      <c r="C53" s="102" t="s">
        <v>12</v>
      </c>
      <c r="D53" s="106"/>
      <c r="E53" s="553"/>
      <c r="F53" s="554"/>
      <c r="G53" s="106"/>
      <c r="H53" s="106"/>
      <c r="I53" s="106"/>
      <c r="J53" s="106"/>
      <c r="K53" s="106"/>
      <c r="L53" s="106"/>
      <c r="M53" s="106"/>
      <c r="N53" s="106" t="s">
        <v>33</v>
      </c>
    </row>
    <row r="54" spans="1:14" ht="10.9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0.9" customHeight="1">
      <c r="A55" s="532" t="s">
        <v>25</v>
      </c>
      <c r="B55" s="532"/>
      <c r="C55" s="532"/>
      <c r="D55" s="536">
        <f ca="1">'Hofm 4осі'!W27/100</f>
        <v>0.24343638010452381</v>
      </c>
      <c r="E55" s="537"/>
      <c r="F55" s="537"/>
      <c r="G55" s="537"/>
      <c r="H55" s="537"/>
      <c r="I55" s="537"/>
      <c r="J55" s="537"/>
      <c r="K55" s="537"/>
      <c r="L55" s="537"/>
      <c r="M55" s="538"/>
      <c r="N55" s="102" t="s">
        <v>34</v>
      </c>
    </row>
    <row r="56" spans="1:14" ht="10.9" customHeight="1">
      <c r="A56" s="532" t="s">
        <v>27</v>
      </c>
      <c r="B56" s="532"/>
      <c r="C56" s="532"/>
      <c r="D56" s="516" t="str">
        <f>Hofmann!B32</f>
        <v>%</v>
      </c>
      <c r="E56" s="535"/>
      <c r="F56" s="535"/>
      <c r="G56" s="535"/>
      <c r="H56" s="535"/>
      <c r="I56" s="535"/>
      <c r="J56" s="535"/>
      <c r="K56" s="535"/>
      <c r="L56" s="535"/>
      <c r="M56" s="517"/>
      <c r="N56" s="51"/>
    </row>
    <row r="57" spans="1:14" ht="6.75" customHeight="1">
      <c r="A57" s="533"/>
      <c r="B57" s="533"/>
      <c r="C57" s="533"/>
      <c r="D57" s="533"/>
      <c r="E57" s="533"/>
      <c r="F57" s="533"/>
      <c r="G57" s="533"/>
      <c r="H57" s="533"/>
      <c r="I57" s="533"/>
      <c r="J57" s="533"/>
    </row>
    <row r="58" spans="1:14" ht="13.5" customHeight="1" thickBot="1">
      <c r="A58" s="534" t="s">
        <v>105</v>
      </c>
      <c r="B58" s="534"/>
      <c r="C58" s="534"/>
      <c r="D58" s="534"/>
      <c r="E58" s="534"/>
      <c r="F58" s="534"/>
      <c r="G58" s="534"/>
      <c r="H58" s="534"/>
      <c r="I58" s="534"/>
      <c r="J58" s="534"/>
      <c r="K58" s="534"/>
      <c r="L58" s="534"/>
      <c r="M58" s="534"/>
      <c r="N58" s="534"/>
    </row>
    <row r="59" spans="1:14" ht="13.5" thickTop="1">
      <c r="A59" s="117"/>
      <c r="B59" s="117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</row>
    <row r="60" spans="1:14" ht="21" customHeight="1">
      <c r="A60" s="139" t="s">
        <v>111</v>
      </c>
      <c r="H60" s="33"/>
      <c r="I60" s="124"/>
      <c r="M60" s="33"/>
      <c r="N60" s="33"/>
    </row>
    <row r="61" spans="1:14" ht="24" customHeight="1">
      <c r="A61" s="136"/>
      <c r="B61" s="136"/>
      <c r="C61" s="136"/>
      <c r="D61" s="136"/>
      <c r="E61" s="136"/>
      <c r="F61" s="136"/>
      <c r="G61" s="136"/>
      <c r="H61" s="52"/>
      <c r="I61" s="137"/>
      <c r="J61" s="138"/>
      <c r="K61" s="138"/>
      <c r="L61" s="138"/>
      <c r="M61" s="52"/>
      <c r="N61" s="52"/>
    </row>
    <row r="62" spans="1:14" ht="27.75" customHeight="1">
      <c r="A62" s="531" t="s">
        <v>61</v>
      </c>
      <c r="B62" s="531"/>
      <c r="C62" s="531"/>
      <c r="D62" s="531"/>
      <c r="E62" s="531"/>
      <c r="F62" s="531"/>
      <c r="G62" s="531"/>
      <c r="H62" s="52"/>
      <c r="I62" s="137"/>
      <c r="J62" s="529" t="s">
        <v>62</v>
      </c>
      <c r="K62" s="529"/>
      <c r="L62" s="529"/>
      <c r="M62" s="52"/>
      <c r="N62" s="52"/>
    </row>
    <row r="63" spans="1:14" ht="12.75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85" t="s">
        <v>65</v>
      </c>
      <c r="K63" s="485"/>
      <c r="L63" s="485"/>
      <c r="M63" s="486" t="s">
        <v>104</v>
      </c>
      <c r="N63" s="486"/>
    </row>
    <row r="64" spans="1:14" ht="15.75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13.5" customHeight="1">
      <c r="A65" s="142"/>
      <c r="B65" s="142"/>
      <c r="C65" s="530"/>
      <c r="D65" s="530"/>
      <c r="E65" s="142"/>
      <c r="F65" s="142"/>
      <c r="G65" s="530"/>
      <c r="H65" s="530"/>
      <c r="I65" s="530"/>
      <c r="J65" s="530"/>
      <c r="K65" s="149"/>
      <c r="L65" s="149"/>
      <c r="M65" s="149"/>
      <c r="N65" s="149"/>
    </row>
    <row r="66" spans="1:14" ht="12.75" customHeight="1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</row>
  </sheetData>
  <mergeCells count="94">
    <mergeCell ref="C64:D64"/>
    <mergeCell ref="J64:L64"/>
    <mergeCell ref="M64:N64"/>
    <mergeCell ref="C65:D65"/>
    <mergeCell ref="G65:H65"/>
    <mergeCell ref="I65:J65"/>
    <mergeCell ref="A57:J57"/>
    <mergeCell ref="A58:N58"/>
    <mergeCell ref="A62:G62"/>
    <mergeCell ref="J62:L62"/>
    <mergeCell ref="C63:D63"/>
    <mergeCell ref="J63:L63"/>
    <mergeCell ref="M63:N63"/>
    <mergeCell ref="A53:B53"/>
    <mergeCell ref="E53:F53"/>
    <mergeCell ref="A55:C55"/>
    <mergeCell ref="D55:M55"/>
    <mergeCell ref="A56:C56"/>
    <mergeCell ref="D56:M56"/>
    <mergeCell ref="C48:D48"/>
    <mergeCell ref="A50:B50"/>
    <mergeCell ref="A51:B51"/>
    <mergeCell ref="E51:F51"/>
    <mergeCell ref="A52:B52"/>
    <mergeCell ref="E52:F52"/>
    <mergeCell ref="A47:C47"/>
    <mergeCell ref="A39:B39"/>
    <mergeCell ref="E39:F39"/>
    <mergeCell ref="A40:B40"/>
    <mergeCell ref="E40:F40"/>
    <mergeCell ref="A41:B41"/>
    <mergeCell ref="E41:F41"/>
    <mergeCell ref="A42:B42"/>
    <mergeCell ref="E42:F42"/>
    <mergeCell ref="A45:C45"/>
    <mergeCell ref="D45:F45"/>
    <mergeCell ref="A46:C46"/>
    <mergeCell ref="A36:B36"/>
    <mergeCell ref="E36:F36"/>
    <mergeCell ref="A37:B37"/>
    <mergeCell ref="E37:F37"/>
    <mergeCell ref="A38:B38"/>
    <mergeCell ref="E38:F38"/>
    <mergeCell ref="A33:B33"/>
    <mergeCell ref="E33:F33"/>
    <mergeCell ref="A34:B34"/>
    <mergeCell ref="E34:F34"/>
    <mergeCell ref="A35:B35"/>
    <mergeCell ref="E35:F35"/>
    <mergeCell ref="A30:B30"/>
    <mergeCell ref="E30:F30"/>
    <mergeCell ref="A31:B31"/>
    <mergeCell ref="E31:F31"/>
    <mergeCell ref="A32:B32"/>
    <mergeCell ref="E32:F32"/>
    <mergeCell ref="A27:B27"/>
    <mergeCell ref="E27:F27"/>
    <mergeCell ref="A28:B28"/>
    <mergeCell ref="E28:F28"/>
    <mergeCell ref="A29:B29"/>
    <mergeCell ref="E29:F29"/>
    <mergeCell ref="A26:B26"/>
    <mergeCell ref="E26:F26"/>
    <mergeCell ref="H14:J14"/>
    <mergeCell ref="H15:J15"/>
    <mergeCell ref="H16:J16"/>
    <mergeCell ref="A17:G17"/>
    <mergeCell ref="H17:J17"/>
    <mergeCell ref="A18:B18"/>
    <mergeCell ref="A23:B23"/>
    <mergeCell ref="A24:B24"/>
    <mergeCell ref="E24:F24"/>
    <mergeCell ref="A25:B25"/>
    <mergeCell ref="E25:F25"/>
    <mergeCell ref="B12:C12"/>
    <mergeCell ref="F6:G6"/>
    <mergeCell ref="M6:N6"/>
    <mergeCell ref="A7:G7"/>
    <mergeCell ref="H7:J7"/>
    <mergeCell ref="B8:G8"/>
    <mergeCell ref="H8:K8"/>
    <mergeCell ref="B9:C9"/>
    <mergeCell ref="B10:C10"/>
    <mergeCell ref="H10:J10"/>
    <mergeCell ref="B11:F11"/>
    <mergeCell ref="K11:L11"/>
    <mergeCell ref="A2:M2"/>
    <mergeCell ref="D4:F4"/>
    <mergeCell ref="G4:H4"/>
    <mergeCell ref="L4:N4"/>
    <mergeCell ref="A5:B5"/>
    <mergeCell ref="C5:D5"/>
    <mergeCell ref="F5:G5"/>
    <mergeCell ref="K5:N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5"/>
  <sheetViews>
    <sheetView topLeftCell="D1" zoomScaleNormal="100" workbookViewId="0">
      <selection activeCell="P5" sqref="P5"/>
    </sheetView>
  </sheetViews>
  <sheetFormatPr defaultRowHeight="12.75"/>
  <cols>
    <col min="1" max="1" width="11" style="60" customWidth="1"/>
    <col min="2" max="2" width="14" style="60" customWidth="1"/>
    <col min="3" max="3" width="8.5703125" style="60" customWidth="1"/>
    <col min="4" max="4" width="11.85546875" style="60" customWidth="1"/>
    <col min="5" max="5" width="8.85546875" style="60" customWidth="1"/>
    <col min="6" max="6" width="6.5703125" style="60" customWidth="1"/>
    <col min="7" max="7" width="10" style="60" bestFit="1" customWidth="1"/>
    <col min="8" max="8" width="12" style="60" customWidth="1"/>
    <col min="9" max="9" width="10.5703125" style="60" customWidth="1"/>
    <col min="10" max="10" width="9.140625" style="60"/>
    <col min="11" max="11" width="18.85546875" style="60" customWidth="1"/>
    <col min="12" max="16384" width="9.140625" style="60"/>
  </cols>
  <sheetData>
    <row r="1" spans="1:17" s="61" customFormat="1" ht="13.5" thickBot="1">
      <c r="A1" s="61" t="s">
        <v>77</v>
      </c>
      <c r="B1" s="61" t="s">
        <v>78</v>
      </c>
      <c r="G1" s="62" t="s">
        <v>78</v>
      </c>
      <c r="H1" s="62" t="s">
        <v>79</v>
      </c>
      <c r="K1" s="63"/>
      <c r="L1" s="63"/>
      <c r="M1" s="62" t="s">
        <v>78</v>
      </c>
      <c r="N1" s="62" t="s">
        <v>79</v>
      </c>
    </row>
    <row r="2" spans="1:17" s="61" customFormat="1" ht="13.5" thickBot="1">
      <c r="A2" s="561" t="s">
        <v>80</v>
      </c>
      <c r="B2" s="64" t="s">
        <v>81</v>
      </c>
      <c r="C2" s="65" t="s">
        <v>82</v>
      </c>
      <c r="D2" s="65">
        <v>1</v>
      </c>
      <c r="E2" s="65">
        <v>0.5</v>
      </c>
      <c r="F2" s="65">
        <v>3.5</v>
      </c>
      <c r="G2" s="66">
        <f ca="1">0.04+RAND()*0.42</f>
        <v>0.21176851566602922</v>
      </c>
      <c r="H2" s="66" t="s">
        <v>37</v>
      </c>
      <c r="I2" s="65">
        <v>600</v>
      </c>
      <c r="J2" s="65">
        <v>100</v>
      </c>
      <c r="K2" s="65">
        <v>1200</v>
      </c>
      <c r="L2" s="65">
        <v>2500</v>
      </c>
      <c r="M2" s="67">
        <f ca="1">5+RAND()*80</f>
        <v>32.577115155684133</v>
      </c>
      <c r="N2" s="67" t="s">
        <v>37</v>
      </c>
      <c r="P2" s="61">
        <f ca="1">RANDBETWEEN(780,860)</f>
        <v>812</v>
      </c>
    </row>
    <row r="3" spans="1:17" s="61" customFormat="1" ht="13.5" thickBot="1">
      <c r="A3" s="562"/>
      <c r="B3" s="68" t="s">
        <v>83</v>
      </c>
      <c r="C3" s="69" t="s">
        <v>84</v>
      </c>
      <c r="D3" s="69">
        <v>0.6</v>
      </c>
      <c r="E3" s="69">
        <v>0.3</v>
      </c>
      <c r="F3" s="69">
        <v>2</v>
      </c>
      <c r="G3" s="66">
        <f ca="1">0.02+RAND()*0.22</f>
        <v>0.2113786374306352</v>
      </c>
      <c r="H3" s="66" t="s">
        <v>37</v>
      </c>
      <c r="I3" s="69">
        <v>300</v>
      </c>
      <c r="J3" s="69">
        <v>100</v>
      </c>
      <c r="K3" s="69">
        <v>600</v>
      </c>
      <c r="L3" s="69">
        <v>1000</v>
      </c>
      <c r="M3" s="67">
        <f ca="1">5+RAND()*80</f>
        <v>23.602379445808541</v>
      </c>
      <c r="N3" s="67" t="s">
        <v>37</v>
      </c>
      <c r="P3" s="61">
        <f ca="1">RANDBETWEEN(2000,2400)</f>
        <v>2371</v>
      </c>
    </row>
    <row r="4" spans="1:17" s="61" customFormat="1">
      <c r="A4" s="70"/>
      <c r="B4" s="71"/>
      <c r="C4" s="70"/>
      <c r="D4" s="70"/>
      <c r="E4" s="70"/>
      <c r="F4" s="70"/>
      <c r="G4" s="72"/>
      <c r="H4" s="72"/>
      <c r="I4" s="73"/>
      <c r="J4" s="73"/>
      <c r="K4" s="73"/>
      <c r="L4" s="73"/>
      <c r="M4" s="74"/>
      <c r="N4" s="74"/>
      <c r="O4" s="61" t="s">
        <v>97</v>
      </c>
      <c r="P4" s="61">
        <f ca="1">RANDBETWEEN(80,84)</f>
        <v>83</v>
      </c>
      <c r="Q4" s="61">
        <f ca="1">P4+2</f>
        <v>85</v>
      </c>
    </row>
    <row r="5" spans="1:17" s="61" customFormat="1" ht="13.5" thickBot="1">
      <c r="A5" s="61" t="s">
        <v>77</v>
      </c>
      <c r="B5" s="61" t="s">
        <v>85</v>
      </c>
      <c r="G5" s="62" t="s">
        <v>78</v>
      </c>
      <c r="H5" s="62" t="s">
        <v>79</v>
      </c>
      <c r="K5" s="63"/>
      <c r="L5" s="63"/>
      <c r="M5" s="62" t="s">
        <v>78</v>
      </c>
      <c r="N5" s="62" t="s">
        <v>79</v>
      </c>
      <c r="O5" s="61" t="s">
        <v>98</v>
      </c>
      <c r="P5" s="85">
        <f ca="1">RANDBETWEEN(146,155)/10</f>
        <v>15</v>
      </c>
    </row>
    <row r="6" spans="1:17" s="61" customFormat="1" ht="13.5" thickBot="1">
      <c r="A6" s="561" t="s">
        <v>80</v>
      </c>
      <c r="B6" s="64" t="s">
        <v>81</v>
      </c>
      <c r="C6" s="65" t="s">
        <v>82</v>
      </c>
      <c r="D6" s="65">
        <v>1</v>
      </c>
      <c r="E6" s="65">
        <v>0.5</v>
      </c>
      <c r="F6" s="65">
        <v>3.5</v>
      </c>
      <c r="G6" s="75">
        <f ca="1">0.04+RAND()*0.42</f>
        <v>0.11889798271264318</v>
      </c>
      <c r="H6" s="75">
        <f ca="1">G6*(0.8+RAND()*0.3)</f>
        <v>0.10123093638626429</v>
      </c>
      <c r="I6" s="65">
        <v>600</v>
      </c>
      <c r="J6" s="65">
        <v>100</v>
      </c>
      <c r="K6" s="65">
        <v>1200</v>
      </c>
      <c r="L6" s="65">
        <v>2500</v>
      </c>
      <c r="M6" s="76">
        <f ca="1">5+RAND()*80</f>
        <v>82.247314575849174</v>
      </c>
      <c r="N6" s="76">
        <f ca="1">M6*(0.8+RAND()*0.3)</f>
        <v>76.831267080793396</v>
      </c>
      <c r="O6" s="61" t="s">
        <v>96</v>
      </c>
      <c r="P6" s="85">
        <f ca="1">RANDBETWEEN(146,155)/9.98</f>
        <v>14.829659318637274</v>
      </c>
    </row>
    <row r="7" spans="1:17" s="61" customFormat="1" ht="13.5" thickBot="1">
      <c r="A7" s="562"/>
      <c r="B7" s="68" t="s">
        <v>83</v>
      </c>
      <c r="C7" s="69" t="s">
        <v>84</v>
      </c>
      <c r="D7" s="69">
        <v>0.6</v>
      </c>
      <c r="E7" s="69">
        <v>0.3</v>
      </c>
      <c r="F7" s="69">
        <v>2</v>
      </c>
      <c r="G7" s="75">
        <f ca="1">0.02+RAND()*0.22</f>
        <v>2.7609276344739708E-2</v>
      </c>
      <c r="H7" s="75">
        <f ca="1">G7*(0.8+RAND()*0.3)</f>
        <v>2.8326141024523643E-2</v>
      </c>
      <c r="I7" s="69">
        <v>300</v>
      </c>
      <c r="J7" s="69">
        <v>100</v>
      </c>
      <c r="K7" s="69">
        <v>600</v>
      </c>
      <c r="L7" s="69">
        <v>1000</v>
      </c>
      <c r="M7" s="76">
        <f ca="1">5+RAND()*80</f>
        <v>9.0162716672992893</v>
      </c>
      <c r="N7" s="76">
        <f ca="1">M7*(0.8+RAND()*0.3)</f>
        <v>8.0687261302132693</v>
      </c>
    </row>
    <row r="8" spans="1:17" s="61" customFormat="1">
      <c r="A8" s="63"/>
      <c r="B8" s="63"/>
      <c r="C8" s="63"/>
      <c r="D8" s="63"/>
      <c r="E8" s="63"/>
      <c r="F8" s="63"/>
      <c r="G8" s="63"/>
      <c r="H8" s="63"/>
      <c r="K8" s="63"/>
      <c r="L8" s="63"/>
      <c r="M8" s="63"/>
    </row>
    <row r="9" spans="1:17" s="61" customFormat="1">
      <c r="A9" s="61" t="s">
        <v>86</v>
      </c>
      <c r="B9" s="61" t="s">
        <v>78</v>
      </c>
      <c r="F9" s="63"/>
      <c r="G9" s="63"/>
      <c r="H9" s="63"/>
      <c r="K9" s="63"/>
      <c r="L9" s="63"/>
      <c r="M9" s="63"/>
    </row>
    <row r="10" spans="1:17" s="77" customFormat="1">
      <c r="A10" s="557" t="s">
        <v>87</v>
      </c>
      <c r="B10" s="558"/>
      <c r="C10" s="559" t="s">
        <v>88</v>
      </c>
      <c r="D10" s="559"/>
      <c r="E10" s="559" t="s">
        <v>89</v>
      </c>
      <c r="F10" s="559"/>
      <c r="G10" s="559" t="s">
        <v>90</v>
      </c>
      <c r="H10" s="559"/>
      <c r="I10" s="560" t="s">
        <v>91</v>
      </c>
      <c r="J10" s="560"/>
      <c r="K10" s="63"/>
      <c r="L10" s="63"/>
      <c r="M10" s="63"/>
    </row>
    <row r="11" spans="1:17" s="77" customFormat="1">
      <c r="A11" s="62" t="s">
        <v>78</v>
      </c>
      <c r="B11" s="62" t="s">
        <v>79</v>
      </c>
      <c r="C11" s="62" t="s">
        <v>78</v>
      </c>
      <c r="D11" s="62" t="s">
        <v>79</v>
      </c>
      <c r="E11" s="62" t="s">
        <v>78</v>
      </c>
      <c r="F11" s="62" t="s">
        <v>79</v>
      </c>
      <c r="G11" s="62" t="s">
        <v>78</v>
      </c>
      <c r="H11" s="62" t="s">
        <v>79</v>
      </c>
      <c r="I11" s="62" t="s">
        <v>78</v>
      </c>
      <c r="J11" s="62" t="s">
        <v>79</v>
      </c>
      <c r="K11" s="63"/>
      <c r="L11" s="78" t="s">
        <v>92</v>
      </c>
      <c r="M11" s="63"/>
    </row>
    <row r="12" spans="1:17" s="77" customFormat="1">
      <c r="A12" s="79">
        <f ca="1">L12-RAND()*L12*0.4</f>
        <v>1.7130853654542748</v>
      </c>
      <c r="B12" s="79" t="s">
        <v>37</v>
      </c>
      <c r="C12" s="79">
        <f ca="1">A12-A12*0.025+RAND()*0.05</f>
        <v>1.6919077366404436</v>
      </c>
      <c r="D12" s="79" t="s">
        <v>37</v>
      </c>
      <c r="E12" s="79">
        <f ca="1">A12-A12*0.025+RAND()*0.05</f>
        <v>1.7005124026404252</v>
      </c>
      <c r="F12" s="79" t="s">
        <v>37</v>
      </c>
      <c r="G12" s="79">
        <f ca="1">A12-A12*0.025+RAND()*0.05</f>
        <v>1.6864138964086501</v>
      </c>
      <c r="H12" s="79" t="s">
        <v>37</v>
      </c>
      <c r="I12" s="79">
        <f ca="1">(A12+C12+E12+G12)/4</f>
        <v>1.6979798502859484</v>
      </c>
      <c r="J12" s="79" t="s">
        <v>37</v>
      </c>
      <c r="K12" s="80"/>
      <c r="L12" s="81">
        <f>Hofmann!N4</f>
        <v>2.5</v>
      </c>
      <c r="M12" s="80"/>
    </row>
    <row r="13" spans="1:17" s="77" customFormat="1">
      <c r="A13" s="80"/>
      <c r="B13" s="80"/>
      <c r="C13" s="80"/>
      <c r="D13" s="80"/>
      <c r="E13" s="80"/>
      <c r="F13" s="80"/>
      <c r="G13" s="80"/>
      <c r="H13" s="80"/>
      <c r="K13" s="80"/>
      <c r="L13" s="80"/>
      <c r="M13" s="80"/>
    </row>
    <row r="14" spans="1:17" s="61" customFormat="1">
      <c r="A14" s="61" t="s">
        <v>86</v>
      </c>
      <c r="B14" s="61" t="s">
        <v>85</v>
      </c>
      <c r="F14" s="63"/>
      <c r="G14" s="63"/>
      <c r="H14" s="63"/>
      <c r="K14" s="63"/>
      <c r="L14" s="63"/>
      <c r="M14" s="63"/>
    </row>
    <row r="15" spans="1:17" s="77" customFormat="1">
      <c r="A15" s="557" t="s">
        <v>87</v>
      </c>
      <c r="B15" s="558"/>
      <c r="C15" s="559" t="s">
        <v>88</v>
      </c>
      <c r="D15" s="559"/>
      <c r="E15" s="559" t="s">
        <v>89</v>
      </c>
      <c r="F15" s="559"/>
      <c r="G15" s="559" t="s">
        <v>90</v>
      </c>
      <c r="H15" s="559"/>
      <c r="I15" s="560" t="s">
        <v>91</v>
      </c>
      <c r="J15" s="560"/>
      <c r="K15" s="63"/>
      <c r="L15" s="63"/>
      <c r="M15" s="63"/>
    </row>
    <row r="16" spans="1:17" s="77" customFormat="1">
      <c r="A16" s="62" t="s">
        <v>78</v>
      </c>
      <c r="B16" s="62" t="s">
        <v>79</v>
      </c>
      <c r="C16" s="62" t="s">
        <v>78</v>
      </c>
      <c r="D16" s="62" t="s">
        <v>79</v>
      </c>
      <c r="E16" s="62" t="s">
        <v>78</v>
      </c>
      <c r="F16" s="62" t="s">
        <v>79</v>
      </c>
      <c r="G16" s="62" t="s">
        <v>78</v>
      </c>
      <c r="H16" s="62" t="s">
        <v>79</v>
      </c>
      <c r="I16" s="62" t="s">
        <v>78</v>
      </c>
      <c r="J16" s="62" t="s">
        <v>79</v>
      </c>
      <c r="K16" s="63"/>
      <c r="L16" s="78" t="s">
        <v>92</v>
      </c>
      <c r="M16" s="63"/>
    </row>
    <row r="17" spans="1:13" s="77" customFormat="1">
      <c r="A17" s="82">
        <f ca="1">L17-RAND()*L17*0.4</f>
        <v>0.86691576489774391</v>
      </c>
      <c r="B17" s="82">
        <f ca="1">A17*(0.9+RAND()*0.2)</f>
        <v>0.78931711707015761</v>
      </c>
      <c r="C17" s="82">
        <f ca="1">A17-A17*0.025+RAND()*0.05</f>
        <v>0.86588295329621778</v>
      </c>
      <c r="D17" s="82">
        <f ca="1">C17*(0.9+RAND()*0.2)</f>
        <v>0.81616789044997651</v>
      </c>
      <c r="E17" s="82">
        <f ca="1">A17-A17*0.025+RAND()*0.05</f>
        <v>0.85312800385328624</v>
      </c>
      <c r="F17" s="82">
        <f ca="1">E17*(0.9+RAND()*0.2)</f>
        <v>0.79529674949557916</v>
      </c>
      <c r="G17" s="82">
        <f ca="1">A17-A17*0.025+RAND()*0.05</f>
        <v>0.85124466960301881</v>
      </c>
      <c r="H17" s="82">
        <f ca="1">G17*(0.9+RAND()*0.2)</f>
        <v>0.86325870125217097</v>
      </c>
      <c r="I17" s="82">
        <f ca="1">(A17+C17+E17+G17)/4</f>
        <v>0.85929284791256666</v>
      </c>
      <c r="J17" s="82">
        <f ca="1">(B17+D17+F17+H17)/4</f>
        <v>0.81601011456697115</v>
      </c>
      <c r="K17" s="80"/>
      <c r="L17" s="81">
        <v>1</v>
      </c>
      <c r="M17" s="80"/>
    </row>
    <row r="18" spans="1:13">
      <c r="A18" s="83"/>
      <c r="B18" s="83"/>
      <c r="C18" s="83"/>
      <c r="D18" s="83"/>
      <c r="E18" s="83"/>
      <c r="F18" s="83"/>
      <c r="G18" s="83"/>
      <c r="H18" s="83"/>
      <c r="K18" s="80"/>
      <c r="L18" s="80"/>
      <c r="M18" s="80"/>
    </row>
    <row r="19" spans="1:13">
      <c r="A19" s="83"/>
      <c r="B19" s="83"/>
      <c r="C19" s="83"/>
      <c r="D19" s="83"/>
      <c r="E19" s="83"/>
      <c r="F19" s="83"/>
      <c r="G19" s="83"/>
      <c r="H19" s="83"/>
      <c r="K19" s="80"/>
      <c r="L19" s="80"/>
      <c r="M19" s="80"/>
    </row>
    <row r="20" spans="1:13">
      <c r="A20" s="83"/>
      <c r="B20" s="83"/>
      <c r="C20" s="83"/>
      <c r="D20" s="83"/>
      <c r="E20" s="83"/>
      <c r="F20" s="83"/>
      <c r="G20" s="83"/>
      <c r="H20" s="83"/>
      <c r="K20" s="83"/>
      <c r="L20" s="83"/>
      <c r="M20" s="83"/>
    </row>
    <row r="21" spans="1:13">
      <c r="A21" s="83"/>
      <c r="B21" s="83"/>
      <c r="C21" s="83"/>
      <c r="D21" s="83"/>
      <c r="E21" s="83"/>
      <c r="F21" s="83"/>
      <c r="G21" s="83"/>
      <c r="H21" s="83"/>
      <c r="K21" s="83"/>
      <c r="L21" s="83"/>
      <c r="M21" s="83"/>
    </row>
    <row r="22" spans="1:13">
      <c r="A22" s="83"/>
      <c r="B22" s="83"/>
      <c r="C22" s="83"/>
      <c r="D22" s="83"/>
      <c r="E22" s="83"/>
      <c r="F22" s="83"/>
      <c r="G22" s="83"/>
      <c r="H22" s="83"/>
      <c r="K22" s="83"/>
      <c r="L22" s="83"/>
      <c r="M22" s="83"/>
    </row>
    <row r="23" spans="1:13">
      <c r="A23" s="83"/>
      <c r="B23" s="83"/>
      <c r="C23" s="83"/>
      <c r="D23" s="83"/>
      <c r="E23" s="83"/>
      <c r="F23" s="83"/>
      <c r="G23" s="83"/>
      <c r="H23" s="83"/>
      <c r="K23" s="83"/>
      <c r="L23" s="83"/>
      <c r="M23" s="83"/>
    </row>
    <row r="24" spans="1:13">
      <c r="A24" s="83"/>
      <c r="B24" s="83"/>
      <c r="C24" s="83"/>
      <c r="D24" s="83"/>
      <c r="E24" s="83"/>
      <c r="F24" s="83"/>
      <c r="G24" s="83"/>
      <c r="H24" s="83"/>
      <c r="K24" s="83"/>
      <c r="L24" s="83"/>
      <c r="M24" s="83"/>
    </row>
    <row r="25" spans="1:13">
      <c r="A25" s="83"/>
      <c r="B25" s="83"/>
      <c r="C25" s="83"/>
      <c r="D25" s="83"/>
      <c r="E25" s="83"/>
      <c r="F25" s="83"/>
      <c r="G25" s="83"/>
      <c r="H25" s="83"/>
      <c r="K25" s="83"/>
      <c r="L25" s="83"/>
      <c r="M25" s="83"/>
    </row>
    <row r="26" spans="1:13">
      <c r="A26" s="83"/>
      <c r="B26" s="83"/>
      <c r="C26" s="83"/>
      <c r="D26" s="83"/>
      <c r="E26" s="83"/>
      <c r="F26" s="83"/>
      <c r="G26" s="83"/>
      <c r="H26" s="83"/>
      <c r="K26" s="83"/>
      <c r="L26" s="83"/>
      <c r="M26" s="83"/>
    </row>
    <row r="27" spans="1:13">
      <c r="A27" s="83"/>
      <c r="B27" s="83"/>
      <c r="C27" s="83"/>
      <c r="D27" s="83"/>
      <c r="E27" s="83"/>
      <c r="F27" s="83"/>
      <c r="G27" s="83"/>
      <c r="H27" s="83"/>
      <c r="K27" s="83"/>
      <c r="L27" s="83"/>
      <c r="M27" s="83"/>
    </row>
    <row r="28" spans="1:13">
      <c r="A28" s="83"/>
      <c r="B28" s="83"/>
      <c r="C28" s="83"/>
      <c r="D28" s="83"/>
      <c r="E28" s="83"/>
      <c r="F28" s="83"/>
      <c r="G28" s="83"/>
      <c r="H28" s="83"/>
      <c r="K28" s="83"/>
      <c r="L28" s="83"/>
      <c r="M28" s="83"/>
    </row>
    <row r="29" spans="1:13">
      <c r="A29" s="83"/>
      <c r="B29" s="83"/>
      <c r="C29" s="83"/>
      <c r="D29" s="83"/>
      <c r="E29" s="83"/>
      <c r="F29" s="83"/>
      <c r="G29" s="83"/>
      <c r="H29" s="83"/>
      <c r="K29" s="83"/>
      <c r="L29" s="83"/>
      <c r="M29" s="83"/>
    </row>
    <row r="30" spans="1:13">
      <c r="A30" s="83"/>
      <c r="B30" s="83"/>
      <c r="C30" s="83"/>
      <c r="D30" s="83"/>
      <c r="E30" s="83"/>
      <c r="F30" s="83"/>
      <c r="G30" s="83"/>
      <c r="H30" s="83"/>
      <c r="K30" s="83"/>
      <c r="L30" s="83"/>
      <c r="M30" s="83"/>
    </row>
    <row r="31" spans="1:13">
      <c r="A31" s="83"/>
      <c r="B31" s="83"/>
      <c r="C31" s="83"/>
      <c r="D31" s="83"/>
      <c r="E31" s="83"/>
      <c r="F31" s="83"/>
      <c r="G31" s="83"/>
      <c r="H31" s="83"/>
      <c r="K31" s="83"/>
      <c r="L31" s="83"/>
      <c r="M31" s="83"/>
    </row>
    <row r="32" spans="1:13">
      <c r="A32" s="83"/>
      <c r="B32" s="83"/>
      <c r="C32" s="83"/>
      <c r="D32" s="83"/>
      <c r="E32" s="83"/>
      <c r="F32" s="83"/>
      <c r="G32" s="83"/>
      <c r="H32" s="83"/>
      <c r="K32" s="83"/>
      <c r="L32" s="83"/>
      <c r="M32" s="83"/>
    </row>
    <row r="33" spans="1:13">
      <c r="A33" s="83"/>
      <c r="B33" s="83"/>
      <c r="C33" s="83"/>
      <c r="D33" s="83"/>
      <c r="E33" s="83"/>
      <c r="F33" s="83"/>
      <c r="G33" s="83"/>
      <c r="H33" s="83"/>
      <c r="K33" s="83"/>
      <c r="L33" s="83"/>
      <c r="M33" s="83"/>
    </row>
    <row r="34" spans="1:13">
      <c r="A34" s="83"/>
      <c r="B34" s="83"/>
      <c r="C34" s="83"/>
      <c r="D34" s="83"/>
      <c r="E34" s="83"/>
      <c r="F34" s="83"/>
      <c r="G34" s="83"/>
      <c r="H34" s="83"/>
      <c r="K34" s="83"/>
      <c r="L34" s="83"/>
      <c r="M34" s="83"/>
    </row>
    <row r="35" spans="1:13">
      <c r="A35" s="83"/>
      <c r="B35" s="83"/>
      <c r="C35" s="83"/>
      <c r="D35" s="83"/>
      <c r="E35" s="83"/>
      <c r="F35" s="83"/>
      <c r="G35" s="83"/>
      <c r="H35" s="83"/>
      <c r="K35" s="83"/>
      <c r="L35" s="83"/>
      <c r="M35" s="83"/>
    </row>
    <row r="36" spans="1:13">
      <c r="A36" s="83"/>
      <c r="B36" s="83"/>
      <c r="C36" s="83"/>
      <c r="D36" s="83"/>
      <c r="E36" s="83"/>
      <c r="F36" s="83"/>
      <c r="G36" s="83"/>
      <c r="H36" s="83"/>
      <c r="K36" s="83"/>
      <c r="L36" s="83"/>
      <c r="M36" s="83"/>
    </row>
    <row r="37" spans="1:13">
      <c r="A37" s="83"/>
      <c r="B37" s="83"/>
      <c r="C37" s="83"/>
      <c r="D37" s="83"/>
      <c r="E37" s="83"/>
      <c r="F37" s="83"/>
      <c r="G37" s="83"/>
      <c r="H37" s="83"/>
      <c r="K37" s="83"/>
      <c r="L37" s="83"/>
      <c r="M37" s="83"/>
    </row>
    <row r="38" spans="1:13">
      <c r="A38" s="83"/>
      <c r="B38" s="83"/>
      <c r="C38" s="83"/>
      <c r="D38" s="83"/>
      <c r="E38" s="83"/>
      <c r="F38" s="83"/>
      <c r="G38" s="83"/>
      <c r="H38" s="83"/>
      <c r="K38" s="83"/>
      <c r="L38" s="83"/>
      <c r="M38" s="83"/>
    </row>
    <row r="39" spans="1:13">
      <c r="A39" s="83"/>
      <c r="B39" s="83"/>
      <c r="C39" s="83"/>
      <c r="D39" s="83"/>
      <c r="E39" s="83"/>
      <c r="F39" s="83"/>
      <c r="G39" s="83"/>
      <c r="H39" s="83"/>
      <c r="K39" s="83"/>
      <c r="L39" s="83"/>
      <c r="M39" s="83"/>
    </row>
    <row r="40" spans="1:13">
      <c r="A40" s="83"/>
      <c r="B40" s="83"/>
      <c r="C40" s="83"/>
      <c r="D40" s="83"/>
      <c r="E40" s="83"/>
      <c r="F40" s="83"/>
      <c r="G40" s="83"/>
      <c r="H40" s="83"/>
      <c r="K40" s="83"/>
      <c r="L40" s="83"/>
      <c r="M40" s="83"/>
    </row>
    <row r="41" spans="1:13">
      <c r="A41" s="83"/>
      <c r="B41" s="83"/>
      <c r="C41" s="83"/>
      <c r="D41" s="83"/>
      <c r="E41" s="83"/>
      <c r="F41" s="83"/>
      <c r="G41" s="83"/>
      <c r="H41" s="83"/>
      <c r="K41" s="83"/>
      <c r="L41" s="83"/>
      <c r="M41" s="83"/>
    </row>
    <row r="42" spans="1:13">
      <c r="A42" s="83"/>
      <c r="B42" s="83"/>
      <c r="C42" s="83"/>
      <c r="D42" s="83"/>
      <c r="E42" s="83"/>
      <c r="F42" s="83"/>
      <c r="G42" s="83"/>
      <c r="H42" s="83"/>
      <c r="K42" s="83"/>
      <c r="L42" s="83"/>
      <c r="M42" s="83"/>
    </row>
    <row r="43" spans="1:13">
      <c r="A43" s="83"/>
      <c r="B43" s="83"/>
      <c r="C43" s="83"/>
      <c r="D43" s="83"/>
      <c r="E43" s="83"/>
      <c r="F43" s="83"/>
      <c r="G43" s="83"/>
      <c r="H43" s="83"/>
      <c r="K43" s="83"/>
      <c r="L43" s="83"/>
      <c r="M43" s="83"/>
    </row>
    <row r="44" spans="1:13">
      <c r="A44" s="83"/>
      <c r="B44" s="83"/>
      <c r="C44" s="83"/>
      <c r="D44" s="83"/>
      <c r="E44" s="83"/>
      <c r="F44" s="83"/>
      <c r="G44" s="83"/>
      <c r="H44" s="83"/>
      <c r="K44" s="83"/>
      <c r="L44" s="83"/>
      <c r="M44" s="83"/>
    </row>
    <row r="45" spans="1:13">
      <c r="A45" s="83"/>
      <c r="B45" s="83"/>
      <c r="C45" s="83"/>
      <c r="D45" s="83"/>
      <c r="E45" s="83"/>
      <c r="F45" s="83"/>
      <c r="G45" s="83"/>
      <c r="H45" s="83"/>
      <c r="K45" s="83"/>
      <c r="L45" s="83"/>
      <c r="M45" s="83"/>
    </row>
    <row r="46" spans="1:13">
      <c r="A46" s="83"/>
      <c r="B46" s="83"/>
      <c r="C46" s="83"/>
      <c r="D46" s="83"/>
      <c r="E46" s="83"/>
      <c r="F46" s="83"/>
      <c r="G46" s="83"/>
      <c r="H46" s="83"/>
      <c r="K46" s="83"/>
      <c r="L46" s="83"/>
      <c r="M46" s="83"/>
    </row>
    <row r="47" spans="1:13">
      <c r="A47" s="83"/>
      <c r="B47" s="83"/>
      <c r="C47" s="83"/>
      <c r="D47" s="83"/>
      <c r="E47" s="83"/>
      <c r="F47" s="83"/>
      <c r="G47" s="83"/>
      <c r="H47" s="83"/>
      <c r="K47" s="83"/>
      <c r="L47" s="83"/>
      <c r="M47" s="83"/>
    </row>
    <row r="48" spans="1:13">
      <c r="A48" s="83"/>
      <c r="B48" s="83"/>
      <c r="C48" s="83"/>
      <c r="D48" s="83"/>
      <c r="E48" s="83"/>
      <c r="F48" s="83"/>
      <c r="G48" s="83"/>
      <c r="H48" s="83"/>
      <c r="K48" s="83"/>
      <c r="L48" s="83"/>
      <c r="M48" s="83"/>
    </row>
    <row r="49" spans="1:13">
      <c r="A49" s="83"/>
      <c r="B49" s="83"/>
      <c r="C49" s="83"/>
      <c r="D49" s="83"/>
      <c r="E49" s="83"/>
      <c r="F49" s="83"/>
      <c r="G49" s="83"/>
      <c r="H49" s="83"/>
      <c r="K49" s="83"/>
      <c r="L49" s="83"/>
      <c r="M49" s="83"/>
    </row>
    <row r="50" spans="1:13">
      <c r="A50" s="83"/>
      <c r="B50" s="83"/>
      <c r="C50" s="83"/>
      <c r="D50" s="83"/>
      <c r="E50" s="83"/>
      <c r="F50" s="83"/>
      <c r="G50" s="83"/>
      <c r="H50" s="83"/>
      <c r="K50" s="83"/>
      <c r="L50" s="83"/>
      <c r="M50" s="83"/>
    </row>
    <row r="51" spans="1:13">
      <c r="A51" s="83"/>
      <c r="B51" s="83"/>
      <c r="C51" s="83"/>
      <c r="D51" s="83"/>
      <c r="E51" s="83"/>
      <c r="F51" s="83"/>
      <c r="G51" s="83"/>
      <c r="H51" s="83"/>
      <c r="K51" s="83"/>
      <c r="L51" s="83"/>
      <c r="M51" s="83"/>
    </row>
    <row r="52" spans="1:13">
      <c r="A52" s="83"/>
      <c r="B52" s="83"/>
      <c r="C52" s="83"/>
      <c r="D52" s="83"/>
      <c r="E52" s="83"/>
      <c r="F52" s="83"/>
      <c r="G52" s="83"/>
      <c r="H52" s="83"/>
      <c r="K52" s="83"/>
      <c r="L52" s="83"/>
      <c r="M52" s="83"/>
    </row>
    <row r="53" spans="1:13">
      <c r="A53" s="83"/>
      <c r="B53" s="83"/>
      <c r="C53" s="83"/>
      <c r="D53" s="83"/>
      <c r="E53" s="83"/>
      <c r="F53" s="83"/>
      <c r="G53" s="83"/>
      <c r="H53" s="83"/>
      <c r="K53" s="83"/>
      <c r="L53" s="83"/>
      <c r="M53" s="83"/>
    </row>
    <row r="54" spans="1:13">
      <c r="A54" s="83"/>
      <c r="B54" s="83"/>
      <c r="C54" s="83"/>
      <c r="D54" s="83"/>
      <c r="E54" s="83"/>
      <c r="F54" s="83"/>
      <c r="G54" s="83"/>
      <c r="H54" s="83"/>
      <c r="K54" s="83"/>
      <c r="L54" s="83"/>
      <c r="M54" s="83"/>
    </row>
    <row r="55" spans="1:13">
      <c r="A55" s="83"/>
      <c r="B55" s="83"/>
      <c r="C55" s="83"/>
      <c r="D55" s="83"/>
      <c r="E55" s="83"/>
      <c r="F55" s="83"/>
      <c r="G55" s="83"/>
      <c r="H55" s="83"/>
      <c r="K55" s="83"/>
      <c r="L55" s="83"/>
      <c r="M55" s="83"/>
    </row>
    <row r="56" spans="1:13">
      <c r="A56" s="83"/>
      <c r="B56" s="83"/>
      <c r="C56" s="83"/>
      <c r="D56" s="83"/>
      <c r="E56" s="83"/>
      <c r="F56" s="83"/>
      <c r="G56" s="83"/>
      <c r="H56" s="83"/>
      <c r="K56" s="83"/>
      <c r="L56" s="83"/>
      <c r="M56" s="83"/>
    </row>
    <row r="57" spans="1:13">
      <c r="A57" s="83"/>
      <c r="B57" s="83"/>
      <c r="C57" s="83"/>
      <c r="D57" s="83"/>
      <c r="E57" s="83"/>
      <c r="F57" s="83"/>
      <c r="G57" s="83"/>
      <c r="H57" s="83"/>
      <c r="K57" s="83"/>
      <c r="L57" s="83"/>
      <c r="M57" s="83"/>
    </row>
    <row r="58" spans="1:13">
      <c r="A58" s="83"/>
      <c r="B58" s="83"/>
      <c r="C58" s="83"/>
      <c r="D58" s="83"/>
      <c r="E58" s="83"/>
      <c r="F58" s="83"/>
      <c r="G58" s="83"/>
      <c r="H58" s="83"/>
      <c r="K58" s="83"/>
      <c r="L58" s="83"/>
      <c r="M58" s="83"/>
    </row>
    <row r="59" spans="1:13">
      <c r="A59" s="83"/>
      <c r="B59" s="83"/>
      <c r="C59" s="83"/>
      <c r="D59" s="83"/>
      <c r="E59" s="83"/>
      <c r="F59" s="83"/>
      <c r="G59" s="83"/>
      <c r="H59" s="83"/>
      <c r="K59" s="83"/>
      <c r="L59" s="83"/>
      <c r="M59" s="83"/>
    </row>
    <row r="60" spans="1:13">
      <c r="A60" s="83"/>
      <c r="B60" s="83"/>
      <c r="C60" s="83"/>
      <c r="D60" s="83"/>
      <c r="E60" s="83"/>
      <c r="F60" s="83"/>
      <c r="G60" s="83"/>
      <c r="H60" s="83"/>
      <c r="K60" s="83"/>
      <c r="L60" s="83"/>
      <c r="M60" s="83"/>
    </row>
    <row r="61" spans="1:13">
      <c r="A61" s="83"/>
      <c r="B61" s="83"/>
      <c r="C61" s="83"/>
      <c r="D61" s="83"/>
      <c r="E61" s="83"/>
      <c r="F61" s="83"/>
      <c r="G61" s="83"/>
      <c r="H61" s="83"/>
      <c r="K61" s="83"/>
      <c r="L61" s="83"/>
      <c r="M61" s="83"/>
    </row>
    <row r="62" spans="1:13">
      <c r="A62" s="83"/>
      <c r="B62" s="83"/>
      <c r="C62" s="83"/>
      <c r="D62" s="83"/>
      <c r="E62" s="83"/>
      <c r="F62" s="83"/>
      <c r="G62" s="83"/>
      <c r="H62" s="83"/>
      <c r="K62" s="83"/>
      <c r="L62" s="83"/>
      <c r="M62" s="83"/>
    </row>
    <row r="63" spans="1:13">
      <c r="A63" s="83"/>
      <c r="B63" s="83"/>
      <c r="C63" s="83"/>
      <c r="D63" s="83"/>
      <c r="E63" s="83"/>
      <c r="F63" s="83"/>
      <c r="G63" s="83"/>
      <c r="H63" s="83"/>
      <c r="K63" s="83"/>
      <c r="L63" s="83"/>
      <c r="M63" s="83"/>
    </row>
    <row r="64" spans="1:13">
      <c r="A64" s="83"/>
      <c r="B64" s="83"/>
      <c r="C64" s="83"/>
      <c r="D64" s="83"/>
      <c r="E64" s="83"/>
      <c r="F64" s="83"/>
      <c r="G64" s="83"/>
      <c r="H64" s="83"/>
      <c r="K64" s="83"/>
      <c r="L64" s="83"/>
      <c r="M64" s="83"/>
    </row>
    <row r="65" spans="1:13">
      <c r="A65" s="83"/>
      <c r="B65" s="83"/>
      <c r="C65" s="83"/>
      <c r="D65" s="83"/>
      <c r="E65" s="83"/>
      <c r="F65" s="83"/>
      <c r="G65" s="83"/>
      <c r="H65" s="83"/>
      <c r="K65" s="83"/>
      <c r="L65" s="83"/>
      <c r="M65" s="83"/>
    </row>
    <row r="66" spans="1:13">
      <c r="A66" s="83"/>
      <c r="B66" s="83"/>
      <c r="C66" s="83"/>
      <c r="D66" s="83"/>
      <c r="E66" s="83"/>
      <c r="F66" s="83"/>
      <c r="G66" s="83"/>
      <c r="H66" s="83"/>
      <c r="K66" s="83"/>
      <c r="L66" s="83"/>
      <c r="M66" s="83"/>
    </row>
    <row r="67" spans="1:13">
      <c r="A67" s="83"/>
      <c r="B67" s="83"/>
      <c r="C67" s="83"/>
      <c r="D67" s="83"/>
      <c r="E67" s="83"/>
      <c r="F67" s="83"/>
      <c r="G67" s="83"/>
      <c r="H67" s="83"/>
      <c r="K67" s="83"/>
      <c r="L67" s="83"/>
      <c r="M67" s="83"/>
    </row>
    <row r="68" spans="1:13">
      <c r="A68" s="83"/>
      <c r="B68" s="83"/>
      <c r="C68" s="83"/>
      <c r="D68" s="83"/>
      <c r="E68" s="83"/>
      <c r="F68" s="83"/>
      <c r="G68" s="83"/>
      <c r="H68" s="83"/>
      <c r="K68" s="83"/>
      <c r="L68" s="83"/>
      <c r="M68" s="83"/>
    </row>
    <row r="69" spans="1:13">
      <c r="A69" s="83"/>
      <c r="B69" s="83"/>
      <c r="C69" s="83"/>
      <c r="D69" s="83"/>
      <c r="E69" s="83"/>
      <c r="F69" s="83"/>
      <c r="G69" s="83"/>
      <c r="H69" s="83"/>
      <c r="K69" s="83"/>
      <c r="L69" s="83"/>
      <c r="M69" s="83"/>
    </row>
    <row r="70" spans="1:13">
      <c r="A70" s="83"/>
      <c r="B70" s="83"/>
      <c r="C70" s="83"/>
      <c r="D70" s="83"/>
      <c r="E70" s="83"/>
      <c r="F70" s="83"/>
      <c r="G70" s="83"/>
      <c r="H70" s="83"/>
      <c r="K70" s="83"/>
      <c r="L70" s="83"/>
      <c r="M70" s="83"/>
    </row>
    <row r="71" spans="1:13">
      <c r="A71" s="83"/>
      <c r="B71" s="83"/>
      <c r="C71" s="83"/>
      <c r="D71" s="83"/>
      <c r="E71" s="83"/>
      <c r="F71" s="83"/>
      <c r="G71" s="83"/>
      <c r="H71" s="83"/>
      <c r="K71" s="83"/>
      <c r="L71" s="83"/>
      <c r="M71" s="83"/>
    </row>
    <row r="72" spans="1:13">
      <c r="A72" s="83"/>
      <c r="B72" s="83"/>
      <c r="C72" s="83"/>
      <c r="D72" s="83"/>
      <c r="E72" s="83"/>
      <c r="F72" s="83"/>
      <c r="G72" s="83"/>
      <c r="H72" s="83"/>
      <c r="K72" s="83"/>
      <c r="L72" s="83"/>
      <c r="M72" s="83"/>
    </row>
    <row r="73" spans="1:13">
      <c r="A73" s="83"/>
      <c r="B73" s="83"/>
      <c r="C73" s="83"/>
      <c r="D73" s="83"/>
      <c r="E73" s="83"/>
      <c r="F73" s="83"/>
      <c r="G73" s="83"/>
      <c r="H73" s="83"/>
      <c r="K73" s="83"/>
      <c r="L73" s="83"/>
      <c r="M73" s="83"/>
    </row>
    <row r="74" spans="1:13">
      <c r="A74" s="83"/>
      <c r="B74" s="83"/>
      <c r="C74" s="83"/>
      <c r="D74" s="83"/>
      <c r="E74" s="83"/>
      <c r="F74" s="83"/>
      <c r="G74" s="83"/>
      <c r="H74" s="83"/>
      <c r="K74" s="83"/>
      <c r="L74" s="83"/>
      <c r="M74" s="83"/>
    </row>
    <row r="75" spans="1:13">
      <c r="A75" s="83"/>
      <c r="B75" s="83"/>
      <c r="C75" s="83"/>
      <c r="D75" s="83"/>
      <c r="E75" s="83"/>
      <c r="F75" s="83"/>
      <c r="G75" s="83"/>
      <c r="H75" s="83"/>
      <c r="K75" s="83"/>
      <c r="L75" s="83"/>
      <c r="M75" s="83"/>
    </row>
    <row r="76" spans="1:13">
      <c r="A76" s="83"/>
      <c r="B76" s="83"/>
      <c r="C76" s="83"/>
      <c r="D76" s="83"/>
      <c r="E76" s="83"/>
      <c r="F76" s="83"/>
      <c r="G76" s="83"/>
      <c r="H76" s="83"/>
      <c r="K76" s="83"/>
      <c r="L76" s="83"/>
      <c r="M76" s="83"/>
    </row>
    <row r="77" spans="1:13">
      <c r="A77" s="83"/>
      <c r="B77" s="83"/>
      <c r="C77" s="83"/>
      <c r="D77" s="83"/>
      <c r="E77" s="83"/>
      <c r="F77" s="83"/>
      <c r="G77" s="83"/>
      <c r="H77" s="83"/>
      <c r="K77" s="83"/>
      <c r="L77" s="83"/>
      <c r="M77" s="83"/>
    </row>
    <row r="78" spans="1:13">
      <c r="A78" s="83"/>
      <c r="B78" s="83"/>
      <c r="C78" s="83"/>
      <c r="D78" s="83"/>
      <c r="E78" s="83"/>
      <c r="F78" s="83"/>
      <c r="G78" s="83"/>
      <c r="H78" s="83"/>
      <c r="K78" s="83"/>
      <c r="L78" s="83"/>
      <c r="M78" s="83"/>
    </row>
    <row r="79" spans="1:13">
      <c r="A79" s="83"/>
      <c r="B79" s="83"/>
      <c r="C79" s="83"/>
      <c r="D79" s="83"/>
      <c r="E79" s="83"/>
      <c r="F79" s="83"/>
      <c r="G79" s="83"/>
      <c r="H79" s="83"/>
      <c r="K79" s="83"/>
      <c r="L79" s="83"/>
      <c r="M79" s="83"/>
    </row>
    <row r="80" spans="1:13">
      <c r="A80" s="83"/>
      <c r="B80" s="83"/>
      <c r="C80" s="83"/>
      <c r="D80" s="83"/>
      <c r="E80" s="83"/>
      <c r="F80" s="83"/>
      <c r="G80" s="83"/>
      <c r="H80" s="83"/>
      <c r="K80" s="83"/>
      <c r="L80" s="83"/>
      <c r="M80" s="83"/>
    </row>
    <row r="81" spans="1:13">
      <c r="A81" s="83"/>
      <c r="B81" s="83"/>
      <c r="C81" s="83"/>
      <c r="D81" s="83"/>
      <c r="E81" s="83"/>
      <c r="F81" s="83"/>
      <c r="G81" s="83"/>
      <c r="H81" s="83"/>
      <c r="K81" s="83"/>
      <c r="L81" s="83"/>
      <c r="M81" s="83"/>
    </row>
    <row r="82" spans="1:13">
      <c r="A82" s="83"/>
      <c r="B82" s="83"/>
      <c r="C82" s="83"/>
      <c r="D82" s="83"/>
      <c r="E82" s="83"/>
      <c r="F82" s="83"/>
      <c r="G82" s="83"/>
      <c r="H82" s="83"/>
      <c r="K82" s="83"/>
      <c r="L82" s="83"/>
      <c r="M82" s="83"/>
    </row>
    <row r="83" spans="1:13">
      <c r="A83" s="83"/>
      <c r="B83" s="83"/>
      <c r="C83" s="83"/>
      <c r="D83" s="83"/>
      <c r="E83" s="83"/>
      <c r="F83" s="83"/>
      <c r="G83" s="83"/>
      <c r="H83" s="83"/>
      <c r="K83" s="83"/>
      <c r="L83" s="83"/>
      <c r="M83" s="83"/>
    </row>
    <row r="84" spans="1:13">
      <c r="A84" s="83"/>
      <c r="B84" s="83"/>
      <c r="C84" s="83"/>
      <c r="D84" s="83"/>
      <c r="E84" s="83"/>
      <c r="F84" s="83"/>
      <c r="G84" s="83"/>
      <c r="H84" s="83"/>
      <c r="K84" s="83"/>
      <c r="L84" s="83"/>
      <c r="M84" s="83"/>
    </row>
    <row r="85" spans="1:13">
      <c r="A85" s="83"/>
      <c r="B85" s="83"/>
      <c r="C85" s="83"/>
      <c r="D85" s="83"/>
      <c r="E85" s="83"/>
      <c r="F85" s="83"/>
      <c r="G85" s="83"/>
      <c r="H85" s="83"/>
      <c r="K85" s="83"/>
      <c r="L85" s="83"/>
      <c r="M85" s="83"/>
    </row>
    <row r="86" spans="1:13">
      <c r="A86" s="83"/>
      <c r="B86" s="83"/>
      <c r="C86" s="83"/>
      <c r="D86" s="83"/>
      <c r="E86" s="83"/>
      <c r="F86" s="83"/>
      <c r="G86" s="83"/>
      <c r="H86" s="83"/>
      <c r="K86" s="83"/>
      <c r="L86" s="83"/>
      <c r="M86" s="83"/>
    </row>
    <row r="87" spans="1:13">
      <c r="A87" s="83"/>
      <c r="B87" s="83"/>
      <c r="C87" s="83"/>
      <c r="D87" s="83"/>
      <c r="E87" s="83"/>
      <c r="F87" s="83"/>
      <c r="G87" s="83"/>
      <c r="H87" s="83"/>
      <c r="K87" s="83"/>
      <c r="L87" s="83"/>
      <c r="M87" s="83"/>
    </row>
    <row r="88" spans="1:13">
      <c r="A88" s="83"/>
      <c r="B88" s="83"/>
      <c r="C88" s="83"/>
      <c r="D88" s="83"/>
      <c r="E88" s="83"/>
      <c r="F88" s="83"/>
      <c r="G88" s="83"/>
      <c r="H88" s="83"/>
      <c r="K88" s="83"/>
      <c r="L88" s="83"/>
      <c r="M88" s="83"/>
    </row>
    <row r="89" spans="1:13">
      <c r="A89" s="83"/>
      <c r="B89" s="83"/>
      <c r="C89" s="83"/>
      <c r="D89" s="83"/>
      <c r="E89" s="83"/>
      <c r="F89" s="83"/>
      <c r="G89" s="83"/>
      <c r="H89" s="83"/>
      <c r="K89" s="83"/>
      <c r="L89" s="83"/>
      <c r="M89" s="83"/>
    </row>
    <row r="90" spans="1:13">
      <c r="A90" s="83"/>
      <c r="B90" s="83"/>
      <c r="C90" s="83"/>
      <c r="D90" s="83"/>
      <c r="E90" s="83"/>
      <c r="F90" s="83"/>
      <c r="G90" s="83"/>
      <c r="H90" s="83"/>
      <c r="K90" s="83"/>
      <c r="L90" s="83"/>
      <c r="M90" s="83"/>
    </row>
    <row r="91" spans="1:13">
      <c r="A91" s="83"/>
      <c r="B91" s="83"/>
      <c r="C91" s="83"/>
      <c r="D91" s="83"/>
      <c r="E91" s="83"/>
      <c r="F91" s="83"/>
      <c r="G91" s="83"/>
      <c r="H91" s="83"/>
      <c r="K91" s="83"/>
      <c r="L91" s="83"/>
      <c r="M91" s="83"/>
    </row>
    <row r="92" spans="1:13">
      <c r="A92" s="83"/>
      <c r="B92" s="83"/>
      <c r="C92" s="83"/>
      <c r="D92" s="83"/>
      <c r="E92" s="83"/>
      <c r="F92" s="83"/>
      <c r="G92" s="83"/>
      <c r="H92" s="83"/>
      <c r="K92" s="83"/>
      <c r="L92" s="83"/>
      <c r="M92" s="83"/>
    </row>
    <row r="93" spans="1:13">
      <c r="A93" s="83"/>
      <c r="B93" s="83"/>
      <c r="C93" s="83"/>
      <c r="D93" s="83"/>
      <c r="E93" s="83"/>
      <c r="F93" s="83"/>
      <c r="G93" s="83"/>
      <c r="H93" s="83"/>
      <c r="K93" s="83"/>
      <c r="L93" s="83"/>
      <c r="M93" s="83"/>
    </row>
    <row r="94" spans="1:13">
      <c r="K94" s="83"/>
      <c r="L94" s="83"/>
      <c r="M94" s="83"/>
    </row>
    <row r="95" spans="1:13">
      <c r="K95" s="83"/>
      <c r="L95" s="83"/>
      <c r="M95" s="83"/>
    </row>
    <row r="96" spans="1:13">
      <c r="K96" s="83"/>
      <c r="L96" s="83"/>
      <c r="M96" s="83"/>
    </row>
    <row r="97" spans="11:13">
      <c r="K97" s="83"/>
      <c r="L97" s="83"/>
      <c r="M97" s="83"/>
    </row>
    <row r="98" spans="11:13">
      <c r="K98" s="83"/>
      <c r="L98" s="83"/>
      <c r="M98" s="83"/>
    </row>
    <row r="99" spans="11:13">
      <c r="K99" s="83"/>
      <c r="L99" s="83"/>
      <c r="M99" s="83"/>
    </row>
    <row r="100" spans="11:13">
      <c r="K100" s="83"/>
      <c r="L100" s="83"/>
      <c r="M100" s="83"/>
    </row>
    <row r="101" spans="11:13">
      <c r="K101" s="83"/>
      <c r="L101" s="83"/>
      <c r="M101" s="83"/>
    </row>
    <row r="102" spans="11:13">
      <c r="K102" s="83"/>
      <c r="L102" s="83"/>
      <c r="M102" s="83"/>
    </row>
    <row r="103" spans="11:13">
      <c r="K103" s="83"/>
      <c r="L103" s="83"/>
      <c r="M103" s="83"/>
    </row>
    <row r="104" spans="11:13">
      <c r="K104" s="83"/>
      <c r="L104" s="83"/>
      <c r="M104" s="83"/>
    </row>
    <row r="105" spans="11:13">
      <c r="K105" s="83"/>
      <c r="L105" s="83"/>
      <c r="M105" s="83"/>
    </row>
    <row r="106" spans="11:13">
      <c r="K106" s="83"/>
      <c r="L106" s="83"/>
      <c r="M106" s="83"/>
    </row>
    <row r="107" spans="11:13">
      <c r="K107" s="83"/>
      <c r="L107" s="83"/>
      <c r="M107" s="83"/>
    </row>
    <row r="108" spans="11:13">
      <c r="K108" s="83"/>
      <c r="L108" s="83"/>
      <c r="M108" s="83"/>
    </row>
    <row r="109" spans="11:13">
      <c r="K109" s="83"/>
      <c r="L109" s="83"/>
      <c r="M109" s="83"/>
    </row>
    <row r="110" spans="11:13">
      <c r="K110" s="83"/>
      <c r="L110" s="83"/>
      <c r="M110" s="83"/>
    </row>
    <row r="111" spans="11:13">
      <c r="K111" s="83"/>
      <c r="L111" s="83"/>
      <c r="M111" s="83"/>
    </row>
    <row r="112" spans="11:13">
      <c r="K112" s="83"/>
      <c r="L112" s="83"/>
      <c r="M112" s="83"/>
    </row>
    <row r="113" spans="11:13">
      <c r="K113" s="83"/>
      <c r="L113" s="83"/>
      <c r="M113" s="83"/>
    </row>
    <row r="114" spans="11:13">
      <c r="K114" s="83"/>
      <c r="L114" s="83"/>
      <c r="M114" s="83"/>
    </row>
    <row r="115" spans="11:13">
      <c r="K115" s="83"/>
      <c r="L115" s="83"/>
      <c r="M115" s="83"/>
    </row>
    <row r="116" spans="11:13">
      <c r="K116" s="83"/>
      <c r="L116" s="83"/>
      <c r="M116" s="83"/>
    </row>
    <row r="117" spans="11:13">
      <c r="K117" s="83"/>
      <c r="L117" s="83"/>
      <c r="M117" s="83"/>
    </row>
    <row r="118" spans="11:13">
      <c r="K118" s="83"/>
      <c r="L118" s="83"/>
      <c r="M118" s="83"/>
    </row>
    <row r="119" spans="11:13">
      <c r="K119" s="83"/>
      <c r="L119" s="83"/>
      <c r="M119" s="83"/>
    </row>
    <row r="120" spans="11:13">
      <c r="K120" s="83"/>
      <c r="L120" s="83"/>
      <c r="M120" s="83"/>
    </row>
    <row r="121" spans="11:13">
      <c r="K121" s="83"/>
      <c r="L121" s="83"/>
      <c r="M121" s="83"/>
    </row>
    <row r="122" spans="11:13">
      <c r="K122" s="83"/>
      <c r="L122" s="83"/>
      <c r="M122" s="83"/>
    </row>
    <row r="123" spans="11:13">
      <c r="K123" s="83"/>
      <c r="L123" s="83"/>
      <c r="M123" s="83"/>
    </row>
    <row r="124" spans="11:13">
      <c r="K124" s="83"/>
      <c r="L124" s="83"/>
      <c r="M124" s="83"/>
    </row>
    <row r="125" spans="11:13">
      <c r="K125" s="83"/>
      <c r="L125" s="83"/>
      <c r="M125" s="83"/>
    </row>
    <row r="126" spans="11:13">
      <c r="K126" s="83"/>
      <c r="L126" s="83"/>
      <c r="M126" s="83"/>
    </row>
    <row r="127" spans="11:13">
      <c r="K127" s="83"/>
      <c r="L127" s="83"/>
      <c r="M127" s="83"/>
    </row>
    <row r="128" spans="11:13">
      <c r="K128" s="83"/>
      <c r="L128" s="83"/>
      <c r="M128" s="83"/>
    </row>
    <row r="129" spans="11:13">
      <c r="K129" s="83"/>
      <c r="L129" s="83"/>
      <c r="M129" s="83"/>
    </row>
    <row r="130" spans="11:13">
      <c r="K130" s="83"/>
      <c r="L130" s="83"/>
      <c r="M130" s="83"/>
    </row>
    <row r="131" spans="11:13">
      <c r="K131" s="83"/>
      <c r="L131" s="83"/>
      <c r="M131" s="83"/>
    </row>
    <row r="132" spans="11:13">
      <c r="K132" s="83"/>
      <c r="L132" s="83"/>
      <c r="M132" s="83"/>
    </row>
    <row r="133" spans="11:13">
      <c r="K133" s="83"/>
      <c r="L133" s="83"/>
      <c r="M133" s="83"/>
    </row>
    <row r="134" spans="11:13">
      <c r="K134" s="83"/>
      <c r="L134" s="83"/>
      <c r="M134" s="83"/>
    </row>
    <row r="135" spans="11:13">
      <c r="K135" s="83"/>
      <c r="L135" s="83"/>
      <c r="M135" s="83"/>
    </row>
    <row r="136" spans="11:13">
      <c r="K136" s="83"/>
      <c r="L136" s="83"/>
      <c r="M136" s="83"/>
    </row>
    <row r="137" spans="11:13">
      <c r="K137" s="83"/>
      <c r="L137" s="83"/>
      <c r="M137" s="83"/>
    </row>
    <row r="138" spans="11:13">
      <c r="K138" s="83"/>
      <c r="L138" s="83"/>
      <c r="M138" s="83"/>
    </row>
    <row r="139" spans="11:13">
      <c r="K139" s="83"/>
      <c r="L139" s="83"/>
      <c r="M139" s="83"/>
    </row>
    <row r="140" spans="11:13">
      <c r="K140" s="83"/>
      <c r="L140" s="83"/>
      <c r="M140" s="83"/>
    </row>
    <row r="141" spans="11:13">
      <c r="K141" s="83"/>
      <c r="L141" s="83"/>
      <c r="M141" s="83"/>
    </row>
    <row r="142" spans="11:13">
      <c r="K142" s="83"/>
      <c r="L142" s="83"/>
      <c r="M142" s="83"/>
    </row>
    <row r="143" spans="11:13">
      <c r="K143" s="83"/>
      <c r="L143" s="83"/>
      <c r="M143" s="83"/>
    </row>
    <row r="144" spans="11:13">
      <c r="K144" s="83"/>
      <c r="L144" s="83"/>
      <c r="M144" s="83"/>
    </row>
    <row r="145" spans="11:13">
      <c r="K145" s="83"/>
      <c r="L145" s="83"/>
      <c r="M145" s="83"/>
    </row>
    <row r="146" spans="11:13">
      <c r="K146" s="83"/>
      <c r="L146" s="83"/>
      <c r="M146" s="83"/>
    </row>
    <row r="147" spans="11:13">
      <c r="K147" s="83"/>
      <c r="L147" s="83"/>
      <c r="M147" s="83"/>
    </row>
    <row r="148" spans="11:13">
      <c r="K148" s="83"/>
      <c r="L148" s="83"/>
      <c r="M148" s="83"/>
    </row>
    <row r="149" spans="11:13">
      <c r="K149" s="83"/>
      <c r="L149" s="83"/>
      <c r="M149" s="83"/>
    </row>
    <row r="150" spans="11:13">
      <c r="K150" s="83"/>
      <c r="L150" s="83"/>
      <c r="M150" s="83"/>
    </row>
    <row r="151" spans="11:13">
      <c r="K151" s="83"/>
      <c r="L151" s="83"/>
      <c r="M151" s="83"/>
    </row>
    <row r="152" spans="11:13">
      <c r="K152" s="83"/>
      <c r="L152" s="83"/>
      <c r="M152" s="83"/>
    </row>
    <row r="153" spans="11:13">
      <c r="K153" s="83"/>
      <c r="L153" s="83"/>
      <c r="M153" s="83"/>
    </row>
    <row r="154" spans="11:13">
      <c r="K154" s="83"/>
      <c r="L154" s="83"/>
      <c r="M154" s="83"/>
    </row>
    <row r="155" spans="11:13">
      <c r="K155" s="83"/>
      <c r="L155" s="83"/>
      <c r="M155" s="83"/>
    </row>
    <row r="156" spans="11:13">
      <c r="K156" s="83"/>
      <c r="L156" s="83"/>
      <c r="M156" s="83"/>
    </row>
    <row r="157" spans="11:13">
      <c r="K157" s="83"/>
      <c r="L157" s="83"/>
      <c r="M157" s="83"/>
    </row>
    <row r="158" spans="11:13">
      <c r="K158" s="83"/>
      <c r="L158" s="83"/>
      <c r="M158" s="83"/>
    </row>
    <row r="159" spans="11:13">
      <c r="K159" s="83"/>
      <c r="L159" s="83"/>
      <c r="M159" s="83"/>
    </row>
    <row r="160" spans="11:13">
      <c r="K160" s="83"/>
      <c r="L160" s="83"/>
      <c r="M160" s="83"/>
    </row>
    <row r="161" spans="11:13">
      <c r="K161" s="83"/>
      <c r="L161" s="83"/>
      <c r="M161" s="83"/>
    </row>
    <row r="162" spans="11:13">
      <c r="K162" s="83"/>
      <c r="L162" s="83"/>
      <c r="M162" s="83"/>
    </row>
    <row r="163" spans="11:13">
      <c r="K163" s="83"/>
      <c r="L163" s="83"/>
      <c r="M163" s="83"/>
    </row>
    <row r="164" spans="11:13">
      <c r="K164" s="83"/>
      <c r="L164" s="83"/>
      <c r="M164" s="83"/>
    </row>
    <row r="165" spans="11:13">
      <c r="K165" s="83"/>
      <c r="L165" s="83"/>
      <c r="M165" s="83"/>
    </row>
    <row r="166" spans="11:13">
      <c r="K166" s="83"/>
      <c r="L166" s="83"/>
      <c r="M166" s="83"/>
    </row>
    <row r="167" spans="11:13">
      <c r="K167" s="83"/>
      <c r="L167" s="83"/>
      <c r="M167" s="83"/>
    </row>
    <row r="168" spans="11:13">
      <c r="K168" s="83"/>
      <c r="L168" s="83"/>
      <c r="M168" s="83"/>
    </row>
    <row r="169" spans="11:13">
      <c r="K169" s="83"/>
      <c r="L169" s="83"/>
      <c r="M169" s="83"/>
    </row>
    <row r="170" spans="11:13">
      <c r="K170" s="83"/>
      <c r="L170" s="83"/>
      <c r="M170" s="83"/>
    </row>
    <row r="171" spans="11:13">
      <c r="K171" s="83"/>
      <c r="L171" s="83"/>
      <c r="M171" s="83"/>
    </row>
    <row r="172" spans="11:13">
      <c r="K172" s="83"/>
      <c r="L172" s="83"/>
      <c r="M172" s="83"/>
    </row>
    <row r="173" spans="11:13">
      <c r="K173" s="83"/>
      <c r="L173" s="83"/>
      <c r="M173" s="83"/>
    </row>
    <row r="174" spans="11:13">
      <c r="K174" s="83"/>
      <c r="L174" s="83"/>
      <c r="M174" s="83"/>
    </row>
    <row r="175" spans="11:13">
      <c r="K175" s="83"/>
      <c r="L175" s="83"/>
      <c r="M175" s="83"/>
    </row>
    <row r="176" spans="11:13">
      <c r="K176" s="83"/>
      <c r="L176" s="83"/>
      <c r="M176" s="83"/>
    </row>
    <row r="177" spans="11:13">
      <c r="K177" s="83"/>
      <c r="L177" s="83"/>
      <c r="M177" s="83"/>
    </row>
    <row r="178" spans="11:13">
      <c r="K178" s="83"/>
      <c r="L178" s="83"/>
      <c r="M178" s="83"/>
    </row>
    <row r="179" spans="11:13">
      <c r="K179" s="83"/>
      <c r="L179" s="83"/>
      <c r="M179" s="83"/>
    </row>
    <row r="180" spans="11:13">
      <c r="K180" s="83"/>
      <c r="L180" s="83"/>
      <c r="M180" s="83"/>
    </row>
    <row r="181" spans="11:13">
      <c r="K181" s="83"/>
      <c r="L181" s="83"/>
      <c r="M181" s="83"/>
    </row>
    <row r="182" spans="11:13">
      <c r="K182" s="83"/>
      <c r="L182" s="83"/>
      <c r="M182" s="83"/>
    </row>
    <row r="183" spans="11:13">
      <c r="K183" s="83"/>
      <c r="L183" s="83"/>
      <c r="M183" s="83"/>
    </row>
    <row r="184" spans="11:13">
      <c r="K184" s="83"/>
      <c r="L184" s="83"/>
      <c r="M184" s="83"/>
    </row>
    <row r="185" spans="11:13">
      <c r="K185" s="83"/>
      <c r="L185" s="83"/>
      <c r="M185" s="83"/>
    </row>
    <row r="186" spans="11:13">
      <c r="K186" s="83"/>
      <c r="L186" s="83"/>
      <c r="M186" s="83"/>
    </row>
    <row r="187" spans="11:13">
      <c r="K187" s="83"/>
      <c r="L187" s="83"/>
      <c r="M187" s="83"/>
    </row>
    <row r="188" spans="11:13">
      <c r="K188" s="83"/>
      <c r="L188" s="83"/>
      <c r="M188" s="83"/>
    </row>
    <row r="189" spans="11:13">
      <c r="K189" s="83"/>
      <c r="L189" s="83"/>
      <c r="M189" s="83"/>
    </row>
    <row r="190" spans="11:13">
      <c r="K190" s="83"/>
      <c r="L190" s="83"/>
      <c r="M190" s="83"/>
    </row>
    <row r="191" spans="11:13">
      <c r="K191" s="83"/>
      <c r="L191" s="83"/>
      <c r="M191" s="83"/>
    </row>
    <row r="192" spans="11:13">
      <c r="K192" s="83"/>
      <c r="L192" s="83"/>
      <c r="M192" s="83"/>
    </row>
    <row r="193" spans="11:13">
      <c r="K193" s="83"/>
      <c r="L193" s="83"/>
      <c r="M193" s="83"/>
    </row>
    <row r="194" spans="11:13">
      <c r="K194" s="83"/>
      <c r="L194" s="83"/>
      <c r="M194" s="83"/>
    </row>
    <row r="195" spans="11:13">
      <c r="K195" s="83"/>
      <c r="L195" s="83"/>
      <c r="M195" s="83"/>
    </row>
    <row r="196" spans="11:13">
      <c r="K196" s="83"/>
      <c r="L196" s="83"/>
      <c r="M196" s="83"/>
    </row>
    <row r="197" spans="11:13">
      <c r="K197" s="83"/>
      <c r="L197" s="83"/>
      <c r="M197" s="83"/>
    </row>
    <row r="198" spans="11:13">
      <c r="K198" s="83"/>
      <c r="L198" s="83"/>
      <c r="M198" s="83"/>
    </row>
    <row r="199" spans="11:13">
      <c r="K199" s="83"/>
      <c r="L199" s="83"/>
      <c r="M199" s="83"/>
    </row>
    <row r="200" spans="11:13">
      <c r="K200" s="83"/>
      <c r="L200" s="83"/>
      <c r="M200" s="83"/>
    </row>
    <row r="201" spans="11:13">
      <c r="K201" s="83"/>
      <c r="L201" s="83"/>
      <c r="M201" s="83"/>
    </row>
    <row r="202" spans="11:13">
      <c r="K202" s="83"/>
      <c r="L202" s="83"/>
      <c r="M202" s="83"/>
    </row>
    <row r="203" spans="11:13">
      <c r="K203" s="83"/>
      <c r="L203" s="83"/>
      <c r="M203" s="83"/>
    </row>
    <row r="204" spans="11:13">
      <c r="K204" s="83"/>
      <c r="L204" s="83"/>
      <c r="M204" s="83"/>
    </row>
    <row r="205" spans="11:13">
      <c r="K205" s="83"/>
      <c r="L205" s="83"/>
      <c r="M205" s="83"/>
    </row>
    <row r="206" spans="11:13">
      <c r="K206" s="83"/>
      <c r="L206" s="83"/>
      <c r="M206" s="83"/>
    </row>
    <row r="207" spans="11:13">
      <c r="K207" s="83"/>
      <c r="L207" s="83"/>
      <c r="M207" s="83"/>
    </row>
    <row r="208" spans="11:13">
      <c r="K208" s="83"/>
      <c r="L208" s="83"/>
      <c r="M208" s="83"/>
    </row>
    <row r="209" spans="11:13">
      <c r="K209" s="83"/>
      <c r="L209" s="83"/>
      <c r="M209" s="83"/>
    </row>
    <row r="210" spans="11:13">
      <c r="K210" s="83"/>
      <c r="L210" s="83"/>
      <c r="M210" s="83"/>
    </row>
    <row r="211" spans="11:13">
      <c r="K211" s="83"/>
      <c r="L211" s="83"/>
      <c r="M211" s="83"/>
    </row>
    <row r="212" spans="11:13">
      <c r="K212" s="83"/>
      <c r="L212" s="83"/>
      <c r="M212" s="83"/>
    </row>
    <row r="213" spans="11:13">
      <c r="K213" s="83"/>
      <c r="L213" s="83"/>
      <c r="M213" s="83"/>
    </row>
    <row r="214" spans="11:13">
      <c r="K214" s="83"/>
      <c r="L214" s="83"/>
      <c r="M214" s="83"/>
    </row>
    <row r="215" spans="11:13">
      <c r="K215" s="83"/>
      <c r="L215" s="83"/>
      <c r="M215" s="83"/>
    </row>
    <row r="216" spans="11:13">
      <c r="K216" s="83"/>
      <c r="L216" s="83"/>
      <c r="M216" s="83"/>
    </row>
    <row r="217" spans="11:13">
      <c r="K217" s="83"/>
      <c r="L217" s="83"/>
      <c r="M217" s="83"/>
    </row>
    <row r="218" spans="11:13">
      <c r="K218" s="83"/>
      <c r="L218" s="83"/>
      <c r="M218" s="83"/>
    </row>
    <row r="219" spans="11:13">
      <c r="K219" s="83"/>
      <c r="L219" s="83"/>
      <c r="M219" s="83"/>
    </row>
    <row r="220" spans="11:13">
      <c r="K220" s="83"/>
      <c r="L220" s="83"/>
      <c r="M220" s="83"/>
    </row>
    <row r="221" spans="11:13">
      <c r="K221" s="83"/>
      <c r="L221" s="83"/>
      <c r="M221" s="83"/>
    </row>
    <row r="222" spans="11:13">
      <c r="K222" s="83"/>
      <c r="L222" s="83"/>
      <c r="M222" s="83"/>
    </row>
    <row r="223" spans="11:13">
      <c r="K223" s="83"/>
      <c r="L223" s="83"/>
      <c r="M223" s="83"/>
    </row>
    <row r="224" spans="11:13">
      <c r="K224" s="83"/>
      <c r="L224" s="83"/>
      <c r="M224" s="83"/>
    </row>
    <row r="225" spans="11:13">
      <c r="K225" s="83"/>
      <c r="L225" s="83"/>
      <c r="M225" s="83"/>
    </row>
    <row r="226" spans="11:13">
      <c r="K226" s="83"/>
      <c r="L226" s="83"/>
      <c r="M226" s="83"/>
    </row>
    <row r="227" spans="11:13">
      <c r="K227" s="83"/>
      <c r="L227" s="83"/>
      <c r="M227" s="83"/>
    </row>
    <row r="228" spans="11:13">
      <c r="K228" s="83"/>
      <c r="L228" s="83"/>
      <c r="M228" s="83"/>
    </row>
    <row r="229" spans="11:13">
      <c r="K229" s="83"/>
      <c r="L229" s="83"/>
      <c r="M229" s="83"/>
    </row>
    <row r="230" spans="11:13">
      <c r="K230" s="83"/>
      <c r="L230" s="83"/>
      <c r="M230" s="83"/>
    </row>
    <row r="231" spans="11:13">
      <c r="K231" s="83"/>
      <c r="L231" s="83"/>
      <c r="M231" s="83"/>
    </row>
    <row r="232" spans="11:13">
      <c r="K232" s="83"/>
      <c r="L232" s="83"/>
      <c r="M232" s="83"/>
    </row>
    <row r="233" spans="11:13">
      <c r="K233" s="83"/>
      <c r="L233" s="83"/>
      <c r="M233" s="83"/>
    </row>
    <row r="234" spans="11:13">
      <c r="K234" s="83"/>
      <c r="L234" s="83"/>
      <c r="M234" s="83"/>
    </row>
    <row r="235" spans="11:13">
      <c r="K235" s="83"/>
      <c r="L235" s="83"/>
      <c r="M235" s="83"/>
    </row>
    <row r="236" spans="11:13">
      <c r="K236" s="83"/>
      <c r="L236" s="83"/>
      <c r="M236" s="83"/>
    </row>
    <row r="237" spans="11:13">
      <c r="K237" s="83"/>
      <c r="L237" s="83"/>
      <c r="M237" s="83"/>
    </row>
    <row r="238" spans="11:13">
      <c r="K238" s="83"/>
      <c r="L238" s="83"/>
      <c r="M238" s="83"/>
    </row>
    <row r="239" spans="11:13">
      <c r="K239" s="83"/>
      <c r="L239" s="83"/>
      <c r="M239" s="83"/>
    </row>
    <row r="240" spans="11:13">
      <c r="K240" s="83"/>
      <c r="L240" s="83"/>
      <c r="M240" s="83"/>
    </row>
    <row r="241" spans="11:13">
      <c r="K241" s="83"/>
      <c r="L241" s="83"/>
      <c r="M241" s="83"/>
    </row>
    <row r="242" spans="11:13">
      <c r="K242" s="83"/>
      <c r="L242" s="83"/>
      <c r="M242" s="83"/>
    </row>
    <row r="243" spans="11:13">
      <c r="K243" s="83"/>
      <c r="L243" s="83"/>
      <c r="M243" s="83"/>
    </row>
    <row r="244" spans="11:13">
      <c r="K244" s="83"/>
      <c r="L244" s="83"/>
      <c r="M244" s="83"/>
    </row>
    <row r="245" spans="11:13">
      <c r="K245" s="83"/>
      <c r="L245" s="83"/>
      <c r="M245" s="83"/>
    </row>
    <row r="246" spans="11:13">
      <c r="K246" s="83"/>
      <c r="L246" s="83"/>
      <c r="M246" s="83"/>
    </row>
    <row r="247" spans="11:13">
      <c r="K247" s="83"/>
      <c r="L247" s="83"/>
      <c r="M247" s="83"/>
    </row>
    <row r="248" spans="11:13">
      <c r="K248" s="83"/>
      <c r="L248" s="83"/>
      <c r="M248" s="83"/>
    </row>
    <row r="249" spans="11:13">
      <c r="K249" s="83"/>
      <c r="L249" s="83"/>
      <c r="M249" s="83"/>
    </row>
    <row r="250" spans="11:13">
      <c r="K250" s="83"/>
      <c r="L250" s="83"/>
      <c r="M250" s="83"/>
    </row>
    <row r="251" spans="11:13">
      <c r="K251" s="83"/>
      <c r="L251" s="83"/>
      <c r="M251" s="83"/>
    </row>
    <row r="252" spans="11:13">
      <c r="K252" s="83"/>
      <c r="L252" s="83"/>
      <c r="M252" s="83"/>
    </row>
    <row r="253" spans="11:13">
      <c r="K253" s="83"/>
      <c r="L253" s="83"/>
      <c r="M253" s="83"/>
    </row>
    <row r="254" spans="11:13">
      <c r="K254" s="83"/>
      <c r="L254" s="83"/>
      <c r="M254" s="83"/>
    </row>
    <row r="255" spans="11:13">
      <c r="K255" s="83"/>
      <c r="L255" s="83"/>
      <c r="M255" s="83"/>
    </row>
    <row r="256" spans="11:13">
      <c r="K256" s="83"/>
      <c r="L256" s="83"/>
      <c r="M256" s="83"/>
    </row>
    <row r="257" spans="11:13">
      <c r="K257" s="83"/>
      <c r="L257" s="83"/>
      <c r="M257" s="83"/>
    </row>
    <row r="258" spans="11:13">
      <c r="K258" s="83"/>
      <c r="L258" s="83"/>
      <c r="M258" s="83"/>
    </row>
    <row r="259" spans="11:13">
      <c r="K259" s="83"/>
      <c r="L259" s="83"/>
      <c r="M259" s="83"/>
    </row>
    <row r="260" spans="11:13">
      <c r="K260" s="83"/>
      <c r="L260" s="83"/>
      <c r="M260" s="83"/>
    </row>
    <row r="261" spans="11:13">
      <c r="K261" s="83"/>
      <c r="L261" s="83"/>
      <c r="M261" s="83"/>
    </row>
    <row r="262" spans="11:13">
      <c r="K262" s="83"/>
      <c r="L262" s="83"/>
      <c r="M262" s="83"/>
    </row>
    <row r="263" spans="11:13">
      <c r="K263" s="83"/>
      <c r="L263" s="83"/>
      <c r="M263" s="83"/>
    </row>
    <row r="264" spans="11:13">
      <c r="K264" s="83"/>
      <c r="L264" s="83"/>
      <c r="M264" s="83"/>
    </row>
    <row r="265" spans="11:13">
      <c r="K265" s="83"/>
      <c r="L265" s="83"/>
      <c r="M265" s="83"/>
    </row>
    <row r="266" spans="11:13">
      <c r="K266" s="83"/>
      <c r="L266" s="83"/>
      <c r="M266" s="83"/>
    </row>
    <row r="267" spans="11:13">
      <c r="K267" s="83"/>
      <c r="L267" s="83"/>
      <c r="M267" s="83"/>
    </row>
    <row r="268" spans="11:13">
      <c r="K268" s="83"/>
      <c r="L268" s="83"/>
      <c r="M268" s="83"/>
    </row>
    <row r="269" spans="11:13">
      <c r="K269" s="83"/>
      <c r="L269" s="83"/>
      <c r="M269" s="83"/>
    </row>
    <row r="270" spans="11:13">
      <c r="K270" s="83"/>
      <c r="L270" s="83"/>
      <c r="M270" s="83"/>
    </row>
    <row r="271" spans="11:13">
      <c r="K271" s="83"/>
      <c r="L271" s="83"/>
      <c r="M271" s="83"/>
    </row>
    <row r="272" spans="11:13">
      <c r="K272" s="83"/>
      <c r="L272" s="83"/>
      <c r="M272" s="83"/>
    </row>
    <row r="273" spans="11:13">
      <c r="K273" s="83"/>
      <c r="L273" s="83"/>
      <c r="M273" s="83"/>
    </row>
    <row r="274" spans="11:13">
      <c r="K274" s="83"/>
      <c r="L274" s="83"/>
      <c r="M274" s="83"/>
    </row>
    <row r="275" spans="11:13">
      <c r="K275" s="83"/>
      <c r="L275" s="83"/>
      <c r="M275" s="83"/>
    </row>
    <row r="276" spans="11:13">
      <c r="K276" s="83"/>
      <c r="L276" s="83"/>
      <c r="M276" s="83"/>
    </row>
    <row r="277" spans="11:13">
      <c r="K277" s="83"/>
      <c r="L277" s="83"/>
      <c r="M277" s="83"/>
    </row>
    <row r="278" spans="11:13">
      <c r="K278" s="83"/>
      <c r="L278" s="83"/>
      <c r="M278" s="83"/>
    </row>
    <row r="279" spans="11:13">
      <c r="K279" s="83"/>
      <c r="L279" s="83"/>
      <c r="M279" s="83"/>
    </row>
    <row r="280" spans="11:13">
      <c r="K280" s="83"/>
      <c r="L280" s="83"/>
      <c r="M280" s="83"/>
    </row>
    <row r="281" spans="11:13">
      <c r="K281" s="83"/>
      <c r="L281" s="83"/>
      <c r="M281" s="83"/>
    </row>
    <row r="282" spans="11:13">
      <c r="K282" s="83"/>
      <c r="L282" s="83"/>
      <c r="M282" s="83"/>
    </row>
    <row r="283" spans="11:13">
      <c r="K283" s="83"/>
      <c r="L283" s="83"/>
      <c r="M283" s="83"/>
    </row>
    <row r="284" spans="11:13">
      <c r="K284" s="83"/>
      <c r="L284" s="83"/>
      <c r="M284" s="83"/>
    </row>
    <row r="285" spans="11:13">
      <c r="K285" s="83"/>
      <c r="L285" s="83"/>
      <c r="M285" s="83"/>
    </row>
    <row r="286" spans="11:13">
      <c r="K286" s="83"/>
      <c r="L286" s="83"/>
      <c r="M286" s="83"/>
    </row>
    <row r="287" spans="11:13">
      <c r="K287" s="83"/>
      <c r="L287" s="83"/>
      <c r="M287" s="83"/>
    </row>
    <row r="288" spans="11:13">
      <c r="K288" s="83"/>
      <c r="L288" s="83"/>
      <c r="M288" s="83"/>
    </row>
    <row r="289" spans="11:13">
      <c r="K289" s="83"/>
      <c r="L289" s="83"/>
      <c r="M289" s="83"/>
    </row>
    <row r="290" spans="11:13">
      <c r="K290" s="83"/>
      <c r="L290" s="83"/>
      <c r="M290" s="83"/>
    </row>
    <row r="291" spans="11:13">
      <c r="K291" s="83"/>
      <c r="L291" s="83"/>
      <c r="M291" s="83"/>
    </row>
    <row r="292" spans="11:13">
      <c r="K292" s="83"/>
      <c r="L292" s="83"/>
      <c r="M292" s="83"/>
    </row>
    <row r="293" spans="11:13">
      <c r="K293" s="83"/>
      <c r="L293" s="83"/>
      <c r="M293" s="83"/>
    </row>
    <row r="294" spans="11:13">
      <c r="K294" s="83"/>
      <c r="L294" s="83"/>
      <c r="M294" s="83"/>
    </row>
    <row r="295" spans="11:13">
      <c r="K295" s="83"/>
      <c r="L295" s="83"/>
      <c r="M295" s="83"/>
    </row>
    <row r="296" spans="11:13">
      <c r="K296" s="83"/>
      <c r="L296" s="83"/>
      <c r="M296" s="83"/>
    </row>
    <row r="297" spans="11:13">
      <c r="K297" s="83"/>
      <c r="L297" s="83"/>
      <c r="M297" s="83"/>
    </row>
    <row r="298" spans="11:13">
      <c r="K298" s="83"/>
      <c r="L298" s="83"/>
      <c r="M298" s="83"/>
    </row>
    <row r="299" spans="11:13">
      <c r="K299" s="83"/>
      <c r="L299" s="83"/>
      <c r="M299" s="83"/>
    </row>
    <row r="300" spans="11:13">
      <c r="K300" s="83"/>
      <c r="L300" s="83"/>
      <c r="M300" s="83"/>
    </row>
    <row r="301" spans="11:13">
      <c r="K301" s="83"/>
      <c r="L301" s="83"/>
      <c r="M301" s="83"/>
    </row>
    <row r="302" spans="11:13">
      <c r="K302" s="83"/>
      <c r="L302" s="83"/>
      <c r="M302" s="83"/>
    </row>
    <row r="303" spans="11:13">
      <c r="K303" s="83"/>
      <c r="L303" s="83"/>
      <c r="M303" s="83"/>
    </row>
    <row r="304" spans="11:13">
      <c r="K304" s="83"/>
      <c r="L304" s="83"/>
      <c r="M304" s="83"/>
    </row>
    <row r="305" spans="11:13">
      <c r="K305" s="83"/>
      <c r="L305" s="83"/>
      <c r="M305" s="83"/>
    </row>
    <row r="306" spans="11:13">
      <c r="K306" s="83"/>
      <c r="L306" s="83"/>
      <c r="M306" s="83"/>
    </row>
    <row r="307" spans="11:13">
      <c r="K307" s="83"/>
      <c r="L307" s="83"/>
      <c r="M307" s="83"/>
    </row>
    <row r="308" spans="11:13">
      <c r="K308" s="83"/>
      <c r="L308" s="83"/>
      <c r="M308" s="83"/>
    </row>
    <row r="309" spans="11:13">
      <c r="K309" s="83"/>
      <c r="L309" s="83"/>
      <c r="M309" s="83"/>
    </row>
    <row r="310" spans="11:13">
      <c r="K310" s="83"/>
      <c r="L310" s="83"/>
      <c r="M310" s="83"/>
    </row>
    <row r="311" spans="11:13">
      <c r="K311" s="83"/>
      <c r="L311" s="83"/>
      <c r="M311" s="83"/>
    </row>
    <row r="312" spans="11:13">
      <c r="K312" s="83"/>
      <c r="L312" s="83"/>
      <c r="M312" s="83"/>
    </row>
    <row r="313" spans="11:13">
      <c r="K313" s="83"/>
      <c r="L313" s="83"/>
      <c r="M313" s="83"/>
    </row>
    <row r="314" spans="11:13">
      <c r="K314" s="83"/>
      <c r="L314" s="83"/>
      <c r="M314" s="83"/>
    </row>
    <row r="315" spans="11:13">
      <c r="K315" s="83"/>
      <c r="L315" s="83"/>
      <c r="M315" s="83"/>
    </row>
    <row r="316" spans="11:13">
      <c r="K316" s="83"/>
      <c r="L316" s="83"/>
      <c r="M316" s="83"/>
    </row>
    <row r="317" spans="11:13">
      <c r="K317" s="83"/>
      <c r="L317" s="83"/>
      <c r="M317" s="83"/>
    </row>
    <row r="318" spans="11:13">
      <c r="K318" s="83"/>
      <c r="L318" s="83"/>
      <c r="M318" s="83"/>
    </row>
    <row r="319" spans="11:13">
      <c r="K319" s="83"/>
      <c r="L319" s="83"/>
      <c r="M319" s="83"/>
    </row>
    <row r="320" spans="11:13">
      <c r="K320" s="83"/>
      <c r="L320" s="83"/>
      <c r="M320" s="83"/>
    </row>
    <row r="321" spans="11:13">
      <c r="K321" s="83"/>
      <c r="L321" s="83"/>
      <c r="M321" s="83"/>
    </row>
    <row r="322" spans="11:13">
      <c r="K322" s="83"/>
      <c r="L322" s="83"/>
      <c r="M322" s="83"/>
    </row>
    <row r="323" spans="11:13">
      <c r="K323" s="83"/>
      <c r="L323" s="83"/>
      <c r="M323" s="83"/>
    </row>
    <row r="324" spans="11:13">
      <c r="K324" s="83"/>
      <c r="L324" s="83"/>
      <c r="M324" s="83"/>
    </row>
    <row r="325" spans="11:13">
      <c r="K325" s="83"/>
      <c r="L325" s="83"/>
      <c r="M325" s="83"/>
    </row>
    <row r="326" spans="11:13">
      <c r="K326" s="83"/>
      <c r="L326" s="83"/>
      <c r="M326" s="83"/>
    </row>
    <row r="327" spans="11:13">
      <c r="K327" s="83"/>
      <c r="L327" s="83"/>
      <c r="M327" s="83"/>
    </row>
    <row r="328" spans="11:13">
      <c r="K328" s="83"/>
      <c r="L328" s="83"/>
      <c r="M328" s="83"/>
    </row>
    <row r="329" spans="11:13">
      <c r="K329" s="83"/>
      <c r="L329" s="83"/>
      <c r="M329" s="83"/>
    </row>
    <row r="330" spans="11:13">
      <c r="K330" s="83"/>
      <c r="L330" s="83"/>
      <c r="M330" s="83"/>
    </row>
    <row r="331" spans="11:13">
      <c r="K331" s="83"/>
      <c r="L331" s="83"/>
      <c r="M331" s="83"/>
    </row>
    <row r="332" spans="11:13">
      <c r="K332" s="83"/>
      <c r="L332" s="83"/>
      <c r="M332" s="83"/>
    </row>
    <row r="333" spans="11:13">
      <c r="K333" s="83"/>
      <c r="L333" s="83"/>
      <c r="M333" s="83"/>
    </row>
    <row r="334" spans="11:13">
      <c r="K334" s="83"/>
      <c r="L334" s="83"/>
      <c r="M334" s="83"/>
    </row>
    <row r="335" spans="11:13">
      <c r="K335" s="83"/>
      <c r="L335" s="83"/>
      <c r="M335" s="83"/>
    </row>
    <row r="336" spans="11:13">
      <c r="K336" s="83"/>
      <c r="L336" s="83"/>
      <c r="M336" s="83"/>
    </row>
    <row r="337" spans="11:13">
      <c r="K337" s="83"/>
      <c r="L337" s="83"/>
      <c r="M337" s="83"/>
    </row>
    <row r="338" spans="11:13">
      <c r="K338" s="83"/>
      <c r="L338" s="83"/>
      <c r="M338" s="83"/>
    </row>
    <row r="339" spans="11:13">
      <c r="K339" s="83"/>
      <c r="L339" s="83"/>
      <c r="M339" s="83"/>
    </row>
    <row r="340" spans="11:13">
      <c r="K340" s="83"/>
      <c r="L340" s="83"/>
      <c r="M340" s="83"/>
    </row>
    <row r="341" spans="11:13">
      <c r="K341" s="83"/>
      <c r="L341" s="83"/>
      <c r="M341" s="83"/>
    </row>
    <row r="342" spans="11:13">
      <c r="K342" s="83"/>
      <c r="L342" s="83"/>
      <c r="M342" s="83"/>
    </row>
    <row r="343" spans="11:13">
      <c r="K343" s="83"/>
      <c r="L343" s="83"/>
      <c r="M343" s="83"/>
    </row>
    <row r="344" spans="11:13">
      <c r="K344" s="83"/>
      <c r="L344" s="83"/>
      <c r="M344" s="83"/>
    </row>
    <row r="345" spans="11:13">
      <c r="K345" s="83"/>
      <c r="L345" s="83"/>
      <c r="M345" s="83"/>
    </row>
    <row r="346" spans="11:13">
      <c r="K346" s="83"/>
      <c r="L346" s="83"/>
      <c r="M346" s="83"/>
    </row>
    <row r="347" spans="11:13">
      <c r="K347" s="83"/>
      <c r="L347" s="83"/>
      <c r="M347" s="83"/>
    </row>
    <row r="348" spans="11:13">
      <c r="K348" s="83"/>
      <c r="L348" s="83"/>
      <c r="M348" s="83"/>
    </row>
    <row r="349" spans="11:13">
      <c r="K349" s="83"/>
      <c r="L349" s="83"/>
      <c r="M349" s="83"/>
    </row>
    <row r="350" spans="11:13">
      <c r="K350" s="83"/>
      <c r="L350" s="83"/>
      <c r="M350" s="83"/>
    </row>
    <row r="351" spans="11:13">
      <c r="K351" s="83"/>
      <c r="L351" s="83"/>
      <c r="M351" s="83"/>
    </row>
    <row r="352" spans="11:13">
      <c r="K352" s="83"/>
      <c r="L352" s="83"/>
      <c r="M352" s="83"/>
    </row>
    <row r="353" spans="11:13">
      <c r="K353" s="83"/>
      <c r="L353" s="83"/>
      <c r="M353" s="83"/>
    </row>
    <row r="354" spans="11:13">
      <c r="K354" s="83"/>
      <c r="L354" s="83"/>
      <c r="M354" s="83"/>
    </row>
    <row r="355" spans="11:13">
      <c r="K355" s="83"/>
      <c r="L355" s="83"/>
      <c r="M355" s="83"/>
    </row>
    <row r="356" spans="11:13">
      <c r="K356" s="83"/>
      <c r="L356" s="83"/>
      <c r="M356" s="83"/>
    </row>
    <row r="357" spans="11:13">
      <c r="K357" s="83"/>
      <c r="L357" s="83"/>
      <c r="M357" s="83"/>
    </row>
    <row r="358" spans="11:13">
      <c r="K358" s="83"/>
      <c r="L358" s="83"/>
      <c r="M358" s="83"/>
    </row>
    <row r="359" spans="11:13">
      <c r="K359" s="83"/>
      <c r="L359" s="83"/>
      <c r="M359" s="83"/>
    </row>
    <row r="360" spans="11:13">
      <c r="K360" s="83"/>
      <c r="L360" s="83"/>
      <c r="M360" s="83"/>
    </row>
    <row r="361" spans="11:13">
      <c r="K361" s="83"/>
      <c r="L361" s="83"/>
      <c r="M361" s="83"/>
    </row>
    <row r="362" spans="11:13">
      <c r="K362" s="83"/>
      <c r="L362" s="83"/>
      <c r="M362" s="83"/>
    </row>
    <row r="363" spans="11:13">
      <c r="K363" s="83"/>
      <c r="L363" s="83"/>
      <c r="M363" s="83"/>
    </row>
    <row r="364" spans="11:13">
      <c r="K364" s="83"/>
      <c r="L364" s="83"/>
      <c r="M364" s="83"/>
    </row>
    <row r="365" spans="11:13">
      <c r="K365" s="83"/>
      <c r="L365" s="83"/>
      <c r="M365" s="83"/>
    </row>
    <row r="366" spans="11:13">
      <c r="K366" s="83"/>
      <c r="L366" s="83"/>
      <c r="M366" s="83"/>
    </row>
    <row r="367" spans="11:13">
      <c r="K367" s="83"/>
      <c r="L367" s="83"/>
      <c r="M367" s="83"/>
    </row>
    <row r="368" spans="11:13">
      <c r="K368" s="83"/>
      <c r="L368" s="83"/>
      <c r="M368" s="83"/>
    </row>
    <row r="369" spans="11:13">
      <c r="K369" s="83"/>
      <c r="L369" s="83"/>
      <c r="M369" s="83"/>
    </row>
    <row r="370" spans="11:13">
      <c r="K370" s="83"/>
      <c r="L370" s="83"/>
      <c r="M370" s="83"/>
    </row>
    <row r="371" spans="11:13">
      <c r="K371" s="83"/>
      <c r="L371" s="83"/>
      <c r="M371" s="83"/>
    </row>
    <row r="372" spans="11:13">
      <c r="K372" s="83"/>
      <c r="L372" s="83"/>
      <c r="M372" s="83"/>
    </row>
    <row r="373" spans="11:13">
      <c r="K373" s="83"/>
      <c r="L373" s="83"/>
      <c r="M373" s="83"/>
    </row>
    <row r="374" spans="11:13">
      <c r="K374" s="83"/>
      <c r="L374" s="83"/>
      <c r="M374" s="83"/>
    </row>
    <row r="375" spans="11:13">
      <c r="K375" s="83"/>
      <c r="L375" s="83"/>
      <c r="M375" s="83"/>
    </row>
    <row r="376" spans="11:13">
      <c r="K376" s="83"/>
      <c r="L376" s="83"/>
      <c r="M376" s="83"/>
    </row>
    <row r="377" spans="11:13">
      <c r="K377" s="83"/>
      <c r="L377" s="83"/>
      <c r="M377" s="83"/>
    </row>
    <row r="378" spans="11:13">
      <c r="K378" s="83"/>
      <c r="L378" s="83"/>
      <c r="M378" s="83"/>
    </row>
    <row r="379" spans="11:13">
      <c r="K379" s="83"/>
      <c r="L379" s="83"/>
      <c r="M379" s="83"/>
    </row>
    <row r="380" spans="11:13">
      <c r="K380" s="83"/>
      <c r="L380" s="83"/>
      <c r="M380" s="83"/>
    </row>
    <row r="381" spans="11:13">
      <c r="K381" s="83"/>
      <c r="L381" s="83"/>
      <c r="M381" s="83"/>
    </row>
    <row r="382" spans="11:13">
      <c r="K382" s="83"/>
      <c r="L382" s="83"/>
      <c r="M382" s="83"/>
    </row>
    <row r="383" spans="11:13">
      <c r="K383" s="83"/>
      <c r="L383" s="83"/>
      <c r="M383" s="83"/>
    </row>
    <row r="384" spans="11:13">
      <c r="K384" s="83"/>
      <c r="L384" s="83"/>
      <c r="M384" s="83"/>
    </row>
    <row r="385" spans="11:13">
      <c r="K385" s="83"/>
      <c r="L385" s="83"/>
      <c r="M385" s="83"/>
    </row>
    <row r="386" spans="11:13">
      <c r="K386" s="83"/>
      <c r="L386" s="83"/>
      <c r="M386" s="83"/>
    </row>
    <row r="387" spans="11:13">
      <c r="K387" s="83"/>
      <c r="L387" s="83"/>
      <c r="M387" s="83"/>
    </row>
    <row r="388" spans="11:13">
      <c r="K388" s="83"/>
      <c r="L388" s="83"/>
      <c r="M388" s="83"/>
    </row>
    <row r="389" spans="11:13">
      <c r="K389" s="83"/>
      <c r="L389" s="83"/>
      <c r="M389" s="83"/>
    </row>
    <row r="390" spans="11:13">
      <c r="K390" s="83"/>
      <c r="L390" s="83"/>
      <c r="M390" s="83"/>
    </row>
    <row r="391" spans="11:13">
      <c r="K391" s="83"/>
      <c r="L391" s="83"/>
      <c r="M391" s="83"/>
    </row>
    <row r="392" spans="11:13">
      <c r="K392" s="83"/>
      <c r="L392" s="83"/>
      <c r="M392" s="83"/>
    </row>
    <row r="393" spans="11:13">
      <c r="K393" s="83"/>
      <c r="L393" s="83"/>
      <c r="M393" s="83"/>
    </row>
    <row r="394" spans="11:13">
      <c r="K394" s="83"/>
      <c r="L394" s="83"/>
      <c r="M394" s="83"/>
    </row>
    <row r="395" spans="11:13">
      <c r="K395" s="83"/>
      <c r="L395" s="83"/>
      <c r="M395" s="83"/>
    </row>
    <row r="396" spans="11:13">
      <c r="K396" s="83"/>
      <c r="L396" s="83"/>
      <c r="M396" s="83"/>
    </row>
    <row r="397" spans="11:13">
      <c r="K397" s="83"/>
      <c r="L397" s="83"/>
      <c r="M397" s="83"/>
    </row>
    <row r="398" spans="11:13">
      <c r="K398" s="83"/>
      <c r="L398" s="83"/>
      <c r="M398" s="83"/>
    </row>
    <row r="399" spans="11:13">
      <c r="K399" s="83"/>
      <c r="L399" s="83"/>
      <c r="M399" s="83"/>
    </row>
    <row r="400" spans="11:13">
      <c r="K400" s="83"/>
      <c r="L400" s="83"/>
      <c r="M400" s="83"/>
    </row>
    <row r="401" spans="11:13">
      <c r="K401" s="83"/>
      <c r="L401" s="83"/>
      <c r="M401" s="83"/>
    </row>
    <row r="402" spans="11:13">
      <c r="K402" s="83"/>
      <c r="L402" s="83"/>
      <c r="M402" s="83"/>
    </row>
    <row r="403" spans="11:13">
      <c r="K403" s="83"/>
      <c r="L403" s="83"/>
      <c r="M403" s="83"/>
    </row>
    <row r="404" spans="11:13">
      <c r="K404" s="83"/>
      <c r="L404" s="83"/>
      <c r="M404" s="83"/>
    </row>
    <row r="405" spans="11:13">
      <c r="K405" s="83"/>
      <c r="L405" s="83"/>
      <c r="M405" s="83"/>
    </row>
    <row r="406" spans="11:13">
      <c r="K406" s="83"/>
      <c r="L406" s="83"/>
      <c r="M406" s="83"/>
    </row>
    <row r="407" spans="11:13">
      <c r="K407" s="83"/>
      <c r="L407" s="83"/>
      <c r="M407" s="83"/>
    </row>
    <row r="408" spans="11:13">
      <c r="K408" s="83"/>
      <c r="L408" s="83"/>
      <c r="M408" s="83"/>
    </row>
    <row r="409" spans="11:13">
      <c r="K409" s="83"/>
      <c r="L409" s="83"/>
      <c r="M409" s="83"/>
    </row>
    <row r="410" spans="11:13">
      <c r="K410" s="83"/>
      <c r="L410" s="83"/>
      <c r="M410" s="83"/>
    </row>
    <row r="411" spans="11:13">
      <c r="K411" s="83"/>
      <c r="L411" s="83"/>
      <c r="M411" s="83"/>
    </row>
    <row r="412" spans="11:13">
      <c r="K412" s="83"/>
      <c r="L412" s="83"/>
      <c r="M412" s="83"/>
    </row>
    <row r="413" spans="11:13">
      <c r="K413" s="83"/>
      <c r="L413" s="83"/>
      <c r="M413" s="83"/>
    </row>
    <row r="414" spans="11:13">
      <c r="K414" s="83"/>
      <c r="L414" s="83"/>
      <c r="M414" s="83"/>
    </row>
    <row r="415" spans="11:13">
      <c r="K415" s="83"/>
      <c r="L415" s="83"/>
      <c r="M415" s="83"/>
    </row>
    <row r="416" spans="11:13">
      <c r="K416" s="83"/>
      <c r="L416" s="83"/>
      <c r="M416" s="83"/>
    </row>
    <row r="417" spans="11:13">
      <c r="K417" s="83"/>
      <c r="L417" s="83"/>
      <c r="M417" s="83"/>
    </row>
    <row r="418" spans="11:13">
      <c r="K418" s="83"/>
      <c r="L418" s="83"/>
      <c r="M418" s="83"/>
    </row>
    <row r="419" spans="11:13">
      <c r="K419" s="83"/>
      <c r="L419" s="83"/>
      <c r="M419" s="83"/>
    </row>
    <row r="420" spans="11:13">
      <c r="K420" s="83"/>
      <c r="L420" s="83"/>
      <c r="M420" s="83"/>
    </row>
    <row r="421" spans="11:13">
      <c r="K421" s="83"/>
      <c r="L421" s="83"/>
      <c r="M421" s="83"/>
    </row>
    <row r="422" spans="11:13">
      <c r="K422" s="83"/>
      <c r="L422" s="83"/>
      <c r="M422" s="83"/>
    </row>
    <row r="423" spans="11:13">
      <c r="K423" s="83"/>
      <c r="L423" s="83"/>
      <c r="M423" s="83"/>
    </row>
    <row r="424" spans="11:13">
      <c r="K424" s="83"/>
      <c r="L424" s="83"/>
      <c r="M424" s="83"/>
    </row>
    <row r="425" spans="11:13">
      <c r="K425" s="83"/>
      <c r="L425" s="83"/>
      <c r="M425" s="83"/>
    </row>
    <row r="426" spans="11:13">
      <c r="K426" s="83"/>
      <c r="L426" s="83"/>
      <c r="M426" s="83"/>
    </row>
    <row r="427" spans="11:13">
      <c r="K427" s="83"/>
      <c r="L427" s="83"/>
      <c r="M427" s="83"/>
    </row>
    <row r="428" spans="11:13">
      <c r="K428" s="83"/>
      <c r="L428" s="83"/>
      <c r="M428" s="83"/>
    </row>
    <row r="429" spans="11:13">
      <c r="K429" s="83"/>
      <c r="L429" s="83"/>
      <c r="M429" s="83"/>
    </row>
    <row r="430" spans="11:13">
      <c r="K430" s="83"/>
      <c r="L430" s="83"/>
      <c r="M430" s="83"/>
    </row>
    <row r="431" spans="11:13">
      <c r="K431" s="83"/>
      <c r="L431" s="83"/>
      <c r="M431" s="83"/>
    </row>
    <row r="432" spans="11:13">
      <c r="K432" s="83"/>
      <c r="L432" s="83"/>
      <c r="M432" s="83"/>
    </row>
    <row r="433" spans="11:13">
      <c r="K433" s="83"/>
      <c r="L433" s="83"/>
      <c r="M433" s="83"/>
    </row>
    <row r="434" spans="11:13">
      <c r="K434" s="83"/>
      <c r="L434" s="83"/>
      <c r="M434" s="83"/>
    </row>
    <row r="435" spans="11:13">
      <c r="K435" s="83"/>
      <c r="L435" s="83"/>
      <c r="M435" s="83"/>
    </row>
    <row r="436" spans="11:13">
      <c r="K436" s="83"/>
      <c r="L436" s="83"/>
      <c r="M436" s="83"/>
    </row>
    <row r="437" spans="11:13">
      <c r="K437" s="83"/>
      <c r="L437" s="83"/>
      <c r="M437" s="83"/>
    </row>
    <row r="438" spans="11:13">
      <c r="K438" s="83"/>
      <c r="L438" s="83"/>
      <c r="M438" s="83"/>
    </row>
    <row r="439" spans="11:13">
      <c r="K439" s="83"/>
      <c r="L439" s="83"/>
      <c r="M439" s="83"/>
    </row>
    <row r="440" spans="11:13">
      <c r="K440" s="83"/>
      <c r="L440" s="83"/>
      <c r="M440" s="83"/>
    </row>
    <row r="441" spans="11:13">
      <c r="K441" s="83"/>
      <c r="L441" s="83"/>
      <c r="M441" s="83"/>
    </row>
    <row r="442" spans="11:13">
      <c r="K442" s="83"/>
      <c r="L442" s="83"/>
      <c r="M442" s="83"/>
    </row>
    <row r="443" spans="11:13">
      <c r="K443" s="83"/>
      <c r="L443" s="83"/>
      <c r="M443" s="83"/>
    </row>
    <row r="444" spans="11:13">
      <c r="K444" s="83"/>
      <c r="L444" s="83"/>
      <c r="M444" s="83"/>
    </row>
    <row r="445" spans="11:13">
      <c r="K445" s="83"/>
      <c r="L445" s="83"/>
      <c r="M445" s="83"/>
    </row>
    <row r="446" spans="11:13">
      <c r="K446" s="83"/>
      <c r="L446" s="83"/>
      <c r="M446" s="83"/>
    </row>
    <row r="447" spans="11:13">
      <c r="K447" s="83"/>
      <c r="L447" s="83"/>
      <c r="M447" s="83"/>
    </row>
    <row r="448" spans="11:13">
      <c r="K448" s="83"/>
      <c r="L448" s="83"/>
      <c r="M448" s="83"/>
    </row>
    <row r="449" spans="11:13">
      <c r="K449" s="83"/>
      <c r="L449" s="83"/>
      <c r="M449" s="83"/>
    </row>
    <row r="450" spans="11:13">
      <c r="K450" s="83"/>
      <c r="L450" s="83"/>
      <c r="M450" s="83"/>
    </row>
    <row r="451" spans="11:13">
      <c r="K451" s="83"/>
      <c r="L451" s="83"/>
      <c r="M451" s="83"/>
    </row>
    <row r="452" spans="11:13">
      <c r="K452" s="83"/>
      <c r="L452" s="83"/>
      <c r="M452" s="83"/>
    </row>
    <row r="453" spans="11:13">
      <c r="K453" s="83"/>
      <c r="L453" s="83"/>
      <c r="M453" s="83"/>
    </row>
    <row r="454" spans="11:13">
      <c r="K454" s="83"/>
      <c r="L454" s="83"/>
      <c r="M454" s="83"/>
    </row>
    <row r="455" spans="11:13">
      <c r="K455" s="83"/>
      <c r="L455" s="83"/>
      <c r="M455" s="83"/>
    </row>
    <row r="456" spans="11:13">
      <c r="K456" s="83"/>
      <c r="L456" s="83"/>
      <c r="M456" s="83"/>
    </row>
    <row r="457" spans="11:13">
      <c r="K457" s="83"/>
      <c r="L457" s="83"/>
      <c r="M457" s="83"/>
    </row>
    <row r="458" spans="11:13">
      <c r="K458" s="83"/>
      <c r="L458" s="83"/>
      <c r="M458" s="83"/>
    </row>
    <row r="459" spans="11:13">
      <c r="K459" s="83"/>
      <c r="L459" s="83"/>
      <c r="M459" s="83"/>
    </row>
    <row r="460" spans="11:13">
      <c r="K460" s="83"/>
      <c r="L460" s="83"/>
      <c r="M460" s="83"/>
    </row>
    <row r="461" spans="11:13">
      <c r="K461" s="83"/>
      <c r="L461" s="83"/>
      <c r="M461" s="83"/>
    </row>
    <row r="462" spans="11:13">
      <c r="K462" s="83"/>
      <c r="L462" s="83"/>
      <c r="M462" s="83"/>
    </row>
    <row r="463" spans="11:13">
      <c r="K463" s="83"/>
      <c r="L463" s="83"/>
      <c r="M463" s="83"/>
    </row>
    <row r="464" spans="11:13">
      <c r="K464" s="83"/>
      <c r="L464" s="83"/>
      <c r="M464" s="83"/>
    </row>
    <row r="465" spans="11:13">
      <c r="K465" s="83"/>
      <c r="L465" s="83"/>
      <c r="M465" s="83"/>
    </row>
    <row r="466" spans="11:13">
      <c r="K466" s="83"/>
      <c r="L466" s="83"/>
      <c r="M466" s="83"/>
    </row>
    <row r="467" spans="11:13">
      <c r="K467" s="83"/>
      <c r="L467" s="83"/>
      <c r="M467" s="83"/>
    </row>
    <row r="468" spans="11:13">
      <c r="K468" s="83"/>
      <c r="L468" s="83"/>
      <c r="M468" s="83"/>
    </row>
    <row r="469" spans="11:13">
      <c r="K469" s="83"/>
      <c r="L469" s="83"/>
      <c r="M469" s="83"/>
    </row>
    <row r="470" spans="11:13">
      <c r="K470" s="83"/>
      <c r="L470" s="83"/>
      <c r="M470" s="83"/>
    </row>
    <row r="471" spans="11:13">
      <c r="K471" s="83"/>
      <c r="L471" s="83"/>
      <c r="M471" s="83"/>
    </row>
    <row r="472" spans="11:13">
      <c r="K472" s="83"/>
      <c r="L472" s="83"/>
      <c r="M472" s="83"/>
    </row>
    <row r="473" spans="11:13">
      <c r="K473" s="83"/>
      <c r="L473" s="83"/>
      <c r="M473" s="83"/>
    </row>
    <row r="474" spans="11:13">
      <c r="K474" s="83"/>
      <c r="L474" s="83"/>
      <c r="M474" s="83"/>
    </row>
    <row r="475" spans="11:13">
      <c r="K475" s="83"/>
      <c r="L475" s="83"/>
      <c r="M475" s="83"/>
    </row>
    <row r="476" spans="11:13">
      <c r="K476" s="83"/>
      <c r="L476" s="83"/>
      <c r="M476" s="83"/>
    </row>
    <row r="477" spans="11:13">
      <c r="K477" s="83"/>
      <c r="L477" s="83"/>
      <c r="M477" s="83"/>
    </row>
    <row r="478" spans="11:13">
      <c r="K478" s="83"/>
      <c r="L478" s="83"/>
      <c r="M478" s="83"/>
    </row>
    <row r="479" spans="11:13">
      <c r="K479" s="83"/>
      <c r="L479" s="83"/>
      <c r="M479" s="83"/>
    </row>
    <row r="480" spans="11:13">
      <c r="K480" s="83"/>
      <c r="L480" s="83"/>
      <c r="M480" s="83"/>
    </row>
    <row r="481" spans="11:13">
      <c r="K481" s="83"/>
      <c r="L481" s="83"/>
      <c r="M481" s="83"/>
    </row>
    <row r="482" spans="11:13">
      <c r="K482" s="83"/>
      <c r="L482" s="83"/>
      <c r="M482" s="83"/>
    </row>
    <row r="483" spans="11:13">
      <c r="K483" s="83"/>
      <c r="L483" s="83"/>
      <c r="M483" s="83"/>
    </row>
    <row r="484" spans="11:13">
      <c r="K484" s="83"/>
      <c r="L484" s="83"/>
      <c r="M484" s="83"/>
    </row>
    <row r="485" spans="11:13">
      <c r="K485" s="83"/>
      <c r="L485" s="83"/>
      <c r="M485" s="83"/>
    </row>
    <row r="486" spans="11:13">
      <c r="K486" s="83"/>
      <c r="L486" s="83"/>
      <c r="M486" s="83"/>
    </row>
    <row r="487" spans="11:13">
      <c r="K487" s="83"/>
      <c r="L487" s="83"/>
      <c r="M487" s="83"/>
    </row>
    <row r="488" spans="11:13">
      <c r="K488" s="83"/>
      <c r="L488" s="83"/>
      <c r="M488" s="83"/>
    </row>
    <row r="489" spans="11:13">
      <c r="K489" s="83"/>
      <c r="L489" s="83"/>
      <c r="M489" s="83"/>
    </row>
    <row r="490" spans="11:13">
      <c r="K490" s="83"/>
      <c r="L490" s="83"/>
      <c r="M490" s="83"/>
    </row>
    <row r="491" spans="11:13">
      <c r="K491" s="83"/>
      <c r="L491" s="83"/>
      <c r="M491" s="83"/>
    </row>
    <row r="492" spans="11:13">
      <c r="K492" s="83"/>
      <c r="L492" s="83"/>
      <c r="M492" s="83"/>
    </row>
    <row r="493" spans="11:13">
      <c r="K493" s="83"/>
      <c r="L493" s="83"/>
      <c r="M493" s="83"/>
    </row>
    <row r="494" spans="11:13">
      <c r="K494" s="83"/>
      <c r="L494" s="83"/>
      <c r="M494" s="83"/>
    </row>
    <row r="495" spans="11:13">
      <c r="K495" s="83"/>
      <c r="L495" s="83"/>
      <c r="M495" s="83"/>
    </row>
    <row r="496" spans="11:13">
      <c r="K496" s="83"/>
      <c r="L496" s="83"/>
      <c r="M496" s="83"/>
    </row>
    <row r="497" spans="11:13">
      <c r="K497" s="83"/>
      <c r="L497" s="83"/>
      <c r="M497" s="83"/>
    </row>
    <row r="498" spans="11:13">
      <c r="K498" s="83"/>
      <c r="L498" s="83"/>
      <c r="M498" s="83"/>
    </row>
    <row r="499" spans="11:13">
      <c r="K499" s="83"/>
      <c r="L499" s="83"/>
      <c r="M499" s="83"/>
    </row>
    <row r="500" spans="11:13">
      <c r="K500" s="83"/>
      <c r="L500" s="83"/>
      <c r="M500" s="83"/>
    </row>
    <row r="501" spans="11:13">
      <c r="K501" s="83"/>
      <c r="L501" s="83"/>
      <c r="M501" s="83"/>
    </row>
    <row r="502" spans="11:13">
      <c r="K502" s="83"/>
      <c r="L502" s="83"/>
      <c r="M502" s="83"/>
    </row>
    <row r="503" spans="11:13">
      <c r="K503" s="83"/>
      <c r="L503" s="83"/>
      <c r="M503" s="83"/>
    </row>
    <row r="504" spans="11:13">
      <c r="K504" s="83"/>
      <c r="L504" s="83"/>
      <c r="M504" s="83"/>
    </row>
    <row r="505" spans="11:13">
      <c r="K505" s="83"/>
      <c r="L505" s="83"/>
      <c r="M505" s="83"/>
    </row>
    <row r="506" spans="11:13">
      <c r="K506" s="83"/>
      <c r="L506" s="83"/>
      <c r="M506" s="83"/>
    </row>
    <row r="507" spans="11:13">
      <c r="K507" s="83"/>
      <c r="L507" s="83"/>
      <c r="M507" s="83"/>
    </row>
    <row r="508" spans="11:13">
      <c r="K508" s="83"/>
      <c r="L508" s="83"/>
      <c r="M508" s="83"/>
    </row>
    <row r="509" spans="11:13">
      <c r="K509" s="83"/>
      <c r="L509" s="83"/>
      <c r="M509" s="83"/>
    </row>
    <row r="510" spans="11:13">
      <c r="K510" s="83"/>
      <c r="L510" s="83"/>
      <c r="M510" s="83"/>
    </row>
    <row r="511" spans="11:13">
      <c r="K511" s="83"/>
      <c r="L511" s="83"/>
      <c r="M511" s="83"/>
    </row>
    <row r="512" spans="11:13">
      <c r="K512" s="83"/>
      <c r="L512" s="83"/>
      <c r="M512" s="83"/>
    </row>
    <row r="513" spans="11:13">
      <c r="K513" s="83"/>
      <c r="L513" s="83"/>
      <c r="M513" s="83"/>
    </row>
    <row r="514" spans="11:13">
      <c r="K514" s="83"/>
      <c r="L514" s="83"/>
      <c r="M514" s="83"/>
    </row>
    <row r="515" spans="11:13">
      <c r="K515" s="83"/>
      <c r="L515" s="83"/>
      <c r="M515" s="83"/>
    </row>
    <row r="516" spans="11:13">
      <c r="K516" s="83"/>
      <c r="L516" s="83"/>
      <c r="M516" s="83"/>
    </row>
    <row r="517" spans="11:13">
      <c r="K517" s="83"/>
      <c r="L517" s="83"/>
      <c r="M517" s="83"/>
    </row>
    <row r="518" spans="11:13">
      <c r="K518" s="83"/>
      <c r="L518" s="83"/>
      <c r="M518" s="83"/>
    </row>
    <row r="519" spans="11:13">
      <c r="K519" s="83"/>
      <c r="L519" s="83"/>
      <c r="M519" s="83"/>
    </row>
    <row r="520" spans="11:13">
      <c r="K520" s="83"/>
      <c r="L520" s="83"/>
      <c r="M520" s="83"/>
    </row>
    <row r="521" spans="11:13">
      <c r="K521" s="83"/>
      <c r="L521" s="83"/>
      <c r="M521" s="83"/>
    </row>
    <row r="522" spans="11:13">
      <c r="K522" s="83"/>
      <c r="L522" s="83"/>
      <c r="M522" s="83"/>
    </row>
    <row r="523" spans="11:13">
      <c r="K523" s="83"/>
      <c r="L523" s="83"/>
      <c r="M523" s="83"/>
    </row>
    <row r="524" spans="11:13">
      <c r="K524" s="83"/>
      <c r="L524" s="83"/>
      <c r="M524" s="83"/>
    </row>
    <row r="525" spans="11:13">
      <c r="K525" s="83"/>
      <c r="L525" s="83"/>
      <c r="M525" s="83"/>
    </row>
    <row r="526" spans="11:13">
      <c r="K526" s="83"/>
      <c r="L526" s="83"/>
      <c r="M526" s="83"/>
    </row>
    <row r="527" spans="11:13">
      <c r="K527" s="83"/>
      <c r="L527" s="83"/>
      <c r="M527" s="83"/>
    </row>
    <row r="528" spans="11:13">
      <c r="K528" s="83"/>
      <c r="L528" s="83"/>
      <c r="M528" s="83"/>
    </row>
    <row r="529" spans="11:13">
      <c r="K529" s="83"/>
      <c r="L529" s="83"/>
      <c r="M529" s="83"/>
    </row>
    <row r="530" spans="11:13">
      <c r="K530" s="83"/>
      <c r="L530" s="83"/>
      <c r="M530" s="83"/>
    </row>
    <row r="531" spans="11:13">
      <c r="K531" s="83"/>
      <c r="L531" s="83"/>
      <c r="M531" s="83"/>
    </row>
    <row r="532" spans="11:13">
      <c r="K532" s="83"/>
      <c r="L532" s="83"/>
      <c r="M532" s="83"/>
    </row>
    <row r="533" spans="11:13">
      <c r="K533" s="83"/>
      <c r="L533" s="83"/>
      <c r="M533" s="83"/>
    </row>
    <row r="534" spans="11:13">
      <c r="K534" s="83"/>
      <c r="L534" s="83"/>
      <c r="M534" s="83"/>
    </row>
    <row r="535" spans="11:13">
      <c r="K535" s="83"/>
      <c r="L535" s="83"/>
      <c r="M535" s="83"/>
    </row>
    <row r="536" spans="11:13">
      <c r="K536" s="83"/>
      <c r="L536" s="83"/>
      <c r="M536" s="83"/>
    </row>
    <row r="537" spans="11:13">
      <c r="K537" s="83"/>
      <c r="L537" s="83"/>
      <c r="M537" s="83"/>
    </row>
    <row r="538" spans="11:13">
      <c r="K538" s="83"/>
      <c r="L538" s="83"/>
      <c r="M538" s="83"/>
    </row>
    <row r="539" spans="11:13">
      <c r="K539" s="83"/>
      <c r="L539" s="83"/>
      <c r="M539" s="83"/>
    </row>
    <row r="540" spans="11:13">
      <c r="K540" s="83"/>
      <c r="L540" s="83"/>
      <c r="M540" s="83"/>
    </row>
    <row r="541" spans="11:13">
      <c r="K541" s="83"/>
      <c r="L541" s="83"/>
      <c r="M541" s="83"/>
    </row>
    <row r="542" spans="11:13">
      <c r="K542" s="83"/>
      <c r="L542" s="83"/>
      <c r="M542" s="83"/>
    </row>
    <row r="543" spans="11:13">
      <c r="K543" s="83"/>
      <c r="L543" s="83"/>
      <c r="M543" s="83"/>
    </row>
    <row r="544" spans="11:13">
      <c r="K544" s="83"/>
      <c r="L544" s="83"/>
      <c r="M544" s="83"/>
    </row>
    <row r="545" spans="11:13">
      <c r="K545" s="83"/>
      <c r="L545" s="83"/>
      <c r="M545" s="83"/>
    </row>
    <row r="546" spans="11:13">
      <c r="K546" s="83"/>
      <c r="L546" s="83"/>
      <c r="M546" s="83"/>
    </row>
    <row r="547" spans="11:13">
      <c r="K547" s="83"/>
      <c r="L547" s="83"/>
      <c r="M547" s="83"/>
    </row>
    <row r="548" spans="11:13">
      <c r="K548" s="83"/>
      <c r="L548" s="83"/>
      <c r="M548" s="83"/>
    </row>
    <row r="549" spans="11:13">
      <c r="K549" s="83"/>
      <c r="L549" s="83"/>
      <c r="M549" s="83"/>
    </row>
    <row r="550" spans="11:13">
      <c r="K550" s="83"/>
      <c r="L550" s="83"/>
      <c r="M550" s="83"/>
    </row>
    <row r="551" spans="11:13">
      <c r="K551" s="83"/>
      <c r="L551" s="83"/>
      <c r="M551" s="83"/>
    </row>
    <row r="552" spans="11:13">
      <c r="K552" s="83"/>
      <c r="L552" s="83"/>
      <c r="M552" s="83"/>
    </row>
    <row r="553" spans="11:13">
      <c r="K553" s="83"/>
      <c r="L553" s="83"/>
      <c r="M553" s="83"/>
    </row>
    <row r="554" spans="11:13">
      <c r="K554" s="83"/>
      <c r="L554" s="83"/>
      <c r="M554" s="83"/>
    </row>
    <row r="555" spans="11:13">
      <c r="K555" s="83"/>
      <c r="L555" s="83"/>
      <c r="M555" s="83"/>
    </row>
    <row r="556" spans="11:13">
      <c r="K556" s="83"/>
      <c r="L556" s="83"/>
      <c r="M556" s="83"/>
    </row>
    <row r="557" spans="11:13">
      <c r="K557" s="83"/>
      <c r="L557" s="83"/>
      <c r="M557" s="83"/>
    </row>
    <row r="558" spans="11:13">
      <c r="K558" s="83"/>
      <c r="L558" s="83"/>
      <c r="M558" s="83"/>
    </row>
    <row r="559" spans="11:13">
      <c r="K559" s="83"/>
      <c r="L559" s="83"/>
      <c r="M559" s="83"/>
    </row>
    <row r="560" spans="11:13">
      <c r="K560" s="83"/>
      <c r="L560" s="83"/>
      <c r="M560" s="83"/>
    </row>
    <row r="561" spans="11:13">
      <c r="K561" s="83"/>
      <c r="L561" s="83"/>
      <c r="M561" s="83"/>
    </row>
    <row r="562" spans="11:13">
      <c r="K562" s="83"/>
      <c r="L562" s="83"/>
      <c r="M562" s="83"/>
    </row>
    <row r="563" spans="11:13">
      <c r="K563" s="83"/>
      <c r="L563" s="83"/>
      <c r="M563" s="83"/>
    </row>
    <row r="564" spans="11:13">
      <c r="K564" s="83"/>
      <c r="L564" s="83"/>
      <c r="M564" s="83"/>
    </row>
    <row r="565" spans="11:13">
      <c r="K565" s="83"/>
      <c r="L565" s="83"/>
      <c r="M565" s="83"/>
    </row>
  </sheetData>
  <mergeCells count="12">
    <mergeCell ref="A2:A3"/>
    <mergeCell ref="A6:A7"/>
    <mergeCell ref="A10:B10"/>
    <mergeCell ref="C10:D10"/>
    <mergeCell ref="I10:J10"/>
    <mergeCell ref="E10:F10"/>
    <mergeCell ref="G10:H10"/>
    <mergeCell ref="A15:B15"/>
    <mergeCell ref="C15:D15"/>
    <mergeCell ref="E15:F15"/>
    <mergeCell ref="G15:H15"/>
    <mergeCell ref="I15:J15"/>
  </mergeCells>
  <phoneticPr fontId="3" type="noConversion"/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U69"/>
  <sheetViews>
    <sheetView zoomScale="85" zoomScaleNormal="85" zoomScaleSheetLayoutView="130" workbookViewId="0">
      <selection activeCell="C15" sqref="C15"/>
    </sheetView>
  </sheetViews>
  <sheetFormatPr defaultRowHeight="12.75"/>
  <cols>
    <col min="1" max="1" width="9.140625" style="263"/>
    <col min="2" max="2" width="56.42578125" style="263" customWidth="1"/>
    <col min="3" max="3" width="30.5703125" style="263" customWidth="1"/>
    <col min="4" max="4" width="11.28515625" style="263" customWidth="1"/>
    <col min="5" max="5" width="9.140625" style="263"/>
    <col min="6" max="6" width="10" style="263" bestFit="1" customWidth="1"/>
    <col min="7" max="9" width="9.140625" style="263"/>
    <col min="10" max="10" width="6.140625" style="263" customWidth="1"/>
    <col min="11" max="11" width="9.7109375" style="263" customWidth="1"/>
    <col min="12" max="12" width="9" style="263" customWidth="1"/>
    <col min="13" max="13" width="12.28515625" style="263" customWidth="1"/>
    <col min="14" max="14" width="15.28515625" style="263" customWidth="1"/>
    <col min="15" max="15" width="12.140625" style="263" customWidth="1"/>
    <col min="16" max="16" width="9.42578125" style="263" customWidth="1"/>
    <col min="17" max="16384" width="9.140625" style="263"/>
  </cols>
  <sheetData>
    <row r="2" spans="1:21" ht="15.75">
      <c r="F2" s="321"/>
      <c r="G2" s="321"/>
      <c r="L2" s="310"/>
      <c r="M2" s="310"/>
      <c r="N2" s="311"/>
      <c r="O2" s="311"/>
    </row>
    <row r="3" spans="1:21" ht="15.75">
      <c r="C3" s="274" t="str">
        <f ca="1">CONCATENATE("Дата испытания ", "",TEXT(C5, "DD.MM.YYYY"))</f>
        <v>Дата испытания 30.09.2022</v>
      </c>
      <c r="D3" s="282"/>
      <c r="L3" s="338" t="s">
        <v>220</v>
      </c>
      <c r="M3" s="339"/>
      <c r="N3" s="340"/>
      <c r="O3" s="270" t="s">
        <v>218</v>
      </c>
    </row>
    <row r="4" spans="1:21" ht="15.75">
      <c r="C4" s="274" t="str">
        <f>CONCATENATE("Время проверки", " ",TEXT(C6, "hh:mm"))</f>
        <v>Время проверки 15:12</v>
      </c>
      <c r="J4" s="311"/>
      <c r="L4" s="427" t="s">
        <v>221</v>
      </c>
      <c r="M4" s="428"/>
      <c r="N4" s="429"/>
      <c r="O4" s="358">
        <v>2.5</v>
      </c>
    </row>
    <row r="5" spans="1:21" ht="15.75">
      <c r="B5" s="272" t="s">
        <v>183</v>
      </c>
      <c r="C5" s="275">
        <f ca="1">IF(ISBLANK(D5),NOW(),D5)</f>
        <v>44834.790105208333</v>
      </c>
      <c r="D5" s="394"/>
      <c r="E5" s="278"/>
      <c r="F5" s="330" t="s">
        <v>227</v>
      </c>
      <c r="G5" s="331"/>
      <c r="H5" s="331"/>
      <c r="I5" s="331"/>
      <c r="J5" s="279" t="s">
        <v>228</v>
      </c>
      <c r="K5" s="279" t="s">
        <v>229</v>
      </c>
      <c r="L5" s="359" t="s">
        <v>222</v>
      </c>
      <c r="M5" s="360"/>
      <c r="N5" s="361"/>
      <c r="O5" s="358">
        <v>3</v>
      </c>
      <c r="P5" s="309"/>
      <c r="Q5" s="309"/>
      <c r="R5" s="309"/>
      <c r="S5" s="309"/>
      <c r="T5" s="309"/>
      <c r="U5" s="309"/>
    </row>
    <row r="6" spans="1:21" ht="12" customHeight="1">
      <c r="B6" s="272" t="s">
        <v>219</v>
      </c>
      <c r="C6" s="297">
        <v>0.6333333333333333</v>
      </c>
      <c r="E6" s="278"/>
      <c r="F6" s="334"/>
      <c r="G6" s="335"/>
      <c r="H6" s="335"/>
      <c r="I6" s="335"/>
      <c r="J6" s="280">
        <f>IF(C13&gt;0.2, IF(C14-(C13-0.2-C14)&gt;0, C14-(C13-0.2-C14),0),0)</f>
        <v>4.0000000000000008E-2</v>
      </c>
      <c r="K6" s="280">
        <f>IF(C13&gt;0.2,C14+(C13-0.2-C14),C14+(C13-C14))</f>
        <v>0.06</v>
      </c>
      <c r="L6" s="359" t="s">
        <v>230</v>
      </c>
      <c r="M6" s="359"/>
      <c r="N6" s="362"/>
      <c r="O6" s="358">
        <v>1.5</v>
      </c>
      <c r="P6" s="309"/>
      <c r="Q6" s="309"/>
      <c r="R6" s="309"/>
      <c r="S6" s="309"/>
      <c r="T6" s="309"/>
      <c r="U6" s="309"/>
    </row>
    <row r="7" spans="1:21" ht="15.75">
      <c r="B7" s="272" t="s">
        <v>184</v>
      </c>
      <c r="C7" s="298" t="s">
        <v>262</v>
      </c>
      <c r="F7" s="375" t="str">
        <f>IF(C12="Turbo Diesel",C7,IF(C12="Diesel",C7, C7))</f>
        <v>5583</v>
      </c>
      <c r="P7" s="311"/>
      <c r="Q7" s="311"/>
      <c r="R7" s="309"/>
      <c r="S7" s="308"/>
      <c r="T7" s="309"/>
      <c r="U7" s="309"/>
    </row>
    <row r="8" spans="1:21" ht="15.75">
      <c r="B8" s="272" t="s">
        <v>73</v>
      </c>
      <c r="C8" s="276" t="str">
        <f>C7</f>
        <v>5583</v>
      </c>
      <c r="F8" s="375" t="str">
        <f>F7</f>
        <v>5583</v>
      </c>
      <c r="P8" s="312"/>
      <c r="Q8" s="312"/>
      <c r="R8" s="309"/>
      <c r="S8" s="309"/>
      <c r="T8" s="309"/>
      <c r="U8" s="309"/>
    </row>
    <row r="9" spans="1:21" ht="17.45" customHeight="1">
      <c r="B9" s="272" t="s">
        <v>185</v>
      </c>
      <c r="C9" s="296" t="s">
        <v>37</v>
      </c>
      <c r="F9" s="377" t="str">
        <f>IF(C12="Turbo Diesel",C9,IF(C12="Diesel",C9, C9))</f>
        <v>-</v>
      </c>
      <c r="P9" s="307"/>
      <c r="Q9" s="307"/>
      <c r="R9" s="309"/>
      <c r="S9" s="309"/>
      <c r="T9" s="309"/>
      <c r="U9" s="309"/>
    </row>
    <row r="10" spans="1:21" ht="15.75">
      <c r="B10" s="272" t="s">
        <v>186</v>
      </c>
      <c r="C10" s="296" t="s">
        <v>37</v>
      </c>
      <c r="F10" s="377" t="str">
        <f>IF(C12="Turbo Diesel",C10,IF(C12="Diesel",C10, C10))</f>
        <v>-</v>
      </c>
      <c r="P10" s="307"/>
      <c r="Q10" s="307"/>
      <c r="R10" s="309"/>
      <c r="S10" s="309"/>
      <c r="T10" s="309"/>
      <c r="U10" s="309"/>
    </row>
    <row r="11" spans="1:21" ht="15.75">
      <c r="B11" s="272" t="s">
        <v>187</v>
      </c>
      <c r="C11" s="363">
        <v>41219</v>
      </c>
      <c r="F11" s="376" t="str">
        <f>IF(C12="Turbo Diesel",TEXT(C11, "DD.MM.YYYY"),IF(C12="Diesel",TEXT(C11, "DD.MM.YYYY"), C11))</f>
        <v>06.11.2012</v>
      </c>
      <c r="G11" s="378"/>
      <c r="P11" s="306"/>
      <c r="Q11" s="306"/>
      <c r="R11" s="309"/>
      <c r="S11" s="309"/>
      <c r="T11" s="309"/>
      <c r="U11" s="309"/>
    </row>
    <row r="12" spans="1:21" ht="15.75" customHeight="1" thickBot="1">
      <c r="B12" s="324" t="s">
        <v>189</v>
      </c>
      <c r="C12" s="364" t="s">
        <v>222</v>
      </c>
      <c r="F12" s="376" t="str">
        <f>IF(C12="Turbo Diesel",C12,IF(C12="Diesel",C12, C12))</f>
        <v>Turbo Diesel</v>
      </c>
      <c r="P12" s="309"/>
      <c r="Q12" s="309"/>
      <c r="R12" s="309"/>
      <c r="S12" s="309"/>
      <c r="T12" s="309"/>
      <c r="U12" s="309"/>
    </row>
    <row r="13" spans="1:21" ht="15.75" customHeight="1" thickTop="1" thickBot="1">
      <c r="B13" s="325" t="s">
        <v>223</v>
      </c>
      <c r="C13" s="370">
        <f>IF(AND(C12="Diesel",ISBLANK(D13)),O4,IF(AND(C12="Turbo Diesel",ISBLANK(D13)),O5, IF(AND(C12="Euro 4 vechicle or later",ISBLANK(D13)),O6,D13)))</f>
        <v>0.26</v>
      </c>
      <c r="D13" s="371">
        <v>0.26</v>
      </c>
      <c r="E13" s="369" t="s">
        <v>242</v>
      </c>
      <c r="P13" s="309"/>
      <c r="Q13" s="309"/>
      <c r="R13" s="309"/>
      <c r="S13" s="309"/>
      <c r="T13" s="309"/>
      <c r="U13" s="309"/>
    </row>
    <row r="14" spans="1:21" ht="15.75" customHeight="1" thickTop="1">
      <c r="B14" s="323" t="s">
        <v>224</v>
      </c>
      <c r="C14" s="373">
        <v>0.05</v>
      </c>
      <c r="D14" s="368">
        <f>IF(C13&gt;0.2,(C13-0.2)-(C13-0.2)*0.14, C13)</f>
        <v>5.1599999999999993E-2</v>
      </c>
      <c r="E14" s="367" t="s">
        <v>244</v>
      </c>
      <c r="F14" s="343"/>
      <c r="G14" s="343"/>
      <c r="H14" s="343"/>
      <c r="I14" s="343"/>
      <c r="J14" s="343"/>
      <c r="K14" s="344"/>
      <c r="L14" s="345"/>
      <c r="N14" s="307"/>
      <c r="P14" s="356" t="s">
        <v>238</v>
      </c>
      <c r="Q14" s="327"/>
      <c r="R14" s="327"/>
      <c r="S14" s="309"/>
      <c r="T14" s="309"/>
      <c r="U14" s="309"/>
    </row>
    <row r="15" spans="1:21" ht="12" customHeight="1" thickBot="1">
      <c r="B15" s="272" t="s">
        <v>214</v>
      </c>
      <c r="C15" s="326">
        <f ca="1">RANDBETWEEN(81,95)</f>
        <v>83</v>
      </c>
      <c r="P15" s="337">
        <v>1</v>
      </c>
      <c r="Q15" s="329">
        <f ca="1">ROUND(RANDBETWEEN((C14-M19)*1000,(C14+M19)*1000)/1000,2)</f>
        <v>0.05</v>
      </c>
      <c r="S15" s="309"/>
      <c r="T15" s="309"/>
      <c r="U15" s="309"/>
    </row>
    <row r="16" spans="1:21" ht="15.75" customHeight="1" thickTop="1" thickBot="1">
      <c r="A16" s="320"/>
      <c r="B16" s="292" t="s">
        <v>226</v>
      </c>
      <c r="C16" s="328">
        <f ca="1">RANDBETWEEN(70,90)*10</f>
        <v>750</v>
      </c>
      <c r="D16" s="320"/>
      <c r="E16" s="320"/>
      <c r="J16" s="287" t="s">
        <v>243</v>
      </c>
      <c r="K16" s="287"/>
      <c r="L16" s="287"/>
      <c r="M16" s="287"/>
      <c r="N16" s="287"/>
      <c r="O16" s="287"/>
      <c r="P16" s="372">
        <v>2</v>
      </c>
      <c r="Q16" s="329">
        <f ca="1">ROUND((3*C14-Q15)*RANDBETWEEN(45,60)/100,2)</f>
        <v>0.06</v>
      </c>
      <c r="S16" s="311"/>
      <c r="T16" s="311"/>
      <c r="U16" s="311"/>
    </row>
    <row r="17" spans="1:21" ht="22.5" customHeight="1" thickTop="1">
      <c r="A17" s="320"/>
      <c r="B17" s="272" t="s">
        <v>225</v>
      </c>
      <c r="C17" s="393">
        <f ca="1">IF(ISBLANK(D17),RANDBETWEEN(371,410)*10,D17)</f>
        <v>3400</v>
      </c>
      <c r="D17" s="386">
        <v>3400</v>
      </c>
      <c r="E17" s="320"/>
      <c r="J17" s="332"/>
      <c r="K17" s="305"/>
      <c r="L17" s="305" t="s">
        <v>232</v>
      </c>
      <c r="M17" s="342">
        <f>C14</f>
        <v>0.05</v>
      </c>
      <c r="P17" s="281">
        <v>3</v>
      </c>
      <c r="Q17" s="329">
        <f ca="1">ROUND(3*C14-Q15-Q16,2)</f>
        <v>0.04</v>
      </c>
      <c r="S17" s="311"/>
      <c r="T17" s="311"/>
      <c r="U17" s="311"/>
    </row>
    <row r="18" spans="1:21" ht="13.5" customHeight="1">
      <c r="A18" s="320"/>
      <c r="B18" s="323" t="s">
        <v>240</v>
      </c>
      <c r="C18" s="365">
        <v>10</v>
      </c>
      <c r="D18" s="320"/>
      <c r="J18" s="332"/>
      <c r="K18" s="305"/>
      <c r="L18" s="305" t="s">
        <v>233</v>
      </c>
      <c r="M18" s="333">
        <f>D14-C14</f>
        <v>1.5999999999999903E-3</v>
      </c>
      <c r="O18" s="311"/>
      <c r="P18" s="312"/>
      <c r="Q18" s="312"/>
      <c r="R18" s="312"/>
      <c r="S18" s="312"/>
      <c r="T18" s="312"/>
      <c r="U18" s="312"/>
    </row>
    <row r="19" spans="1:21" ht="12" customHeight="1">
      <c r="A19" s="320"/>
      <c r="B19" s="323" t="s">
        <v>239</v>
      </c>
      <c r="C19" s="365">
        <v>20</v>
      </c>
      <c r="D19" s="320"/>
      <c r="J19" s="334" t="s">
        <v>234</v>
      </c>
      <c r="K19" s="335"/>
      <c r="L19" s="335"/>
      <c r="M19" s="336">
        <f>IF(MIN(M17,M18)&gt;0.12, 0.12, MIN(M17,M18))</f>
        <v>1.5999999999999903E-3</v>
      </c>
      <c r="O19" s="263" t="s">
        <v>217</v>
      </c>
      <c r="P19" s="307"/>
      <c r="Q19" s="307"/>
      <c r="R19" s="307"/>
      <c r="S19" s="307"/>
      <c r="T19" s="307"/>
      <c r="U19" s="307"/>
    </row>
    <row r="20" spans="1:21" ht="17.25" customHeight="1">
      <c r="A20" s="320"/>
      <c r="B20" s="322"/>
      <c r="C20" s="320"/>
      <c r="D20" s="320"/>
      <c r="O20" s="307"/>
      <c r="P20" s="307"/>
      <c r="Q20" s="307"/>
      <c r="R20" s="307"/>
      <c r="S20" s="307"/>
      <c r="T20" s="307"/>
      <c r="U20" s="307"/>
    </row>
    <row r="21" spans="1:21" ht="12" customHeight="1">
      <c r="A21" s="346" t="s">
        <v>231</v>
      </c>
      <c r="B21" s="347"/>
      <c r="C21" s="347"/>
      <c r="D21" s="347"/>
      <c r="E21" s="340"/>
      <c r="O21" s="307"/>
      <c r="P21" s="307"/>
      <c r="Q21" s="307"/>
      <c r="R21" s="307"/>
      <c r="S21" s="307"/>
      <c r="T21" s="307"/>
      <c r="U21" s="307"/>
    </row>
    <row r="22" spans="1:21" ht="12" customHeight="1">
      <c r="A22" s="332"/>
      <c r="B22" s="354" t="s">
        <v>235</v>
      </c>
      <c r="C22" s="354" t="s">
        <v>236</v>
      </c>
      <c r="D22" s="354" t="s">
        <v>237</v>
      </c>
      <c r="E22" s="341"/>
      <c r="N22" s="311"/>
      <c r="O22" s="307"/>
      <c r="P22" s="306"/>
      <c r="Q22" s="306"/>
      <c r="R22" s="307"/>
      <c r="S22" s="307"/>
      <c r="T22" s="307"/>
      <c r="U22" s="307"/>
    </row>
    <row r="23" spans="1:21" ht="12" customHeight="1">
      <c r="A23" s="355">
        <v>1</v>
      </c>
      <c r="B23" s="350">
        <f ca="1">Q15</f>
        <v>0.05</v>
      </c>
      <c r="C23" s="353">
        <f ca="1">RANDBETWEEN((C16-C18)/10, (C16+C18)/10)*10</f>
        <v>740</v>
      </c>
      <c r="D23" s="274">
        <f ca="1">RANDBETWEEN((C17-C19)/10, (C17+C19)/10)*10</f>
        <v>3390</v>
      </c>
      <c r="E23" s="341"/>
      <c r="O23" s="307"/>
      <c r="P23" s="306"/>
      <c r="Q23" s="306"/>
      <c r="R23" s="307"/>
      <c r="S23" s="307"/>
      <c r="T23" s="307"/>
      <c r="U23" s="307"/>
    </row>
    <row r="24" spans="1:21" ht="18" customHeight="1">
      <c r="A24" s="355">
        <v>2</v>
      </c>
      <c r="B24" s="351">
        <f ca="1">IF(AND(Q15&gt;Q17,Q16&gt;Q17),Q17,IF(AND(Q15=0,Q16=0,Q17=0),Q16,IF(Q16=Q17,Q16,Q16)))</f>
        <v>0.04</v>
      </c>
      <c r="C24" s="353">
        <f ca="1">RANDBETWEEN((C16-C18)/10, (C16+C18)/10)*10</f>
        <v>740</v>
      </c>
      <c r="D24" s="274">
        <f ca="1">RANDBETWEEN((C17-C19)/10, (C17+C19)/10)*10</f>
        <v>3420</v>
      </c>
      <c r="E24" s="341"/>
      <c r="G24" s="263">
        <f ca="1">IF(AND(Q15&gt;Q17,Q16&gt;Q17),Q17,IF(AND(Q15=0,Q16=0,Q17=0),Q16,IF(Q16=Q17,Q17,Q16)))</f>
        <v>0.04</v>
      </c>
      <c r="J24" s="263">
        <f ca="1">IF(AND(Q15&gt;Q17,Q16&gt;Q17),Q17,IF(AND(Q15=0,Q16=0,Q17=0),Q16,IF(Q16=Q17,"НАТИСНИ - F9 - ",Q16)))</f>
        <v>0.04</v>
      </c>
      <c r="O24" s="309"/>
      <c r="P24" s="309"/>
      <c r="Q24" s="309"/>
      <c r="R24" s="309"/>
      <c r="S24" s="309"/>
      <c r="T24" s="309"/>
      <c r="U24" s="309"/>
    </row>
    <row r="25" spans="1:21" ht="18" customHeight="1">
      <c r="A25" s="355">
        <v>3</v>
      </c>
      <c r="B25" s="351">
        <f ca="1">IF(AND(Q15&gt;Q17,Q16&gt;Q17),Q16,Q17)</f>
        <v>0.06</v>
      </c>
      <c r="C25" s="353">
        <f ca="1">RANDBETWEEN((C16-C18)/10, (C16+C18)/10)*10</f>
        <v>740</v>
      </c>
      <c r="D25" s="274">
        <f ca="1">RANDBETWEEN((C17-C19)/10, (C17+C19)/10)*10</f>
        <v>3380</v>
      </c>
      <c r="E25" s="341"/>
      <c r="O25" s="309"/>
      <c r="P25" s="309"/>
      <c r="Q25" s="309"/>
      <c r="R25" s="309"/>
      <c r="S25" s="309"/>
      <c r="T25" s="309"/>
      <c r="U25" s="309"/>
    </row>
    <row r="26" spans="1:21" ht="18" customHeight="1">
      <c r="A26" s="349" t="s">
        <v>241</v>
      </c>
      <c r="B26" s="352">
        <f ca="1">MAX(Q15,Q16,Q17)-MIN(Q15,Q16,Q17)</f>
        <v>1.9999999999999997E-2</v>
      </c>
      <c r="C26" s="366" t="str">
        <f>IF(OR(C14&gt;C13,C14&gt;D14),"!!! ЗМЕНШІТЬ ПОТРІБНЕ СЕРЕДНЄ ЗНАЧЕННЯ ДИМНОСТІ до"&amp;D14, "")</f>
        <v/>
      </c>
      <c r="D26" s="396" t="b">
        <f ca="1">IF(B26&gt;0.25, N27)</f>
        <v>0</v>
      </c>
      <c r="E26" s="348"/>
      <c r="F26" s="357"/>
      <c r="L26" s="313"/>
      <c r="M26" s="309"/>
      <c r="N26" s="309"/>
      <c r="O26" s="309"/>
      <c r="P26" s="309"/>
      <c r="Q26" s="308"/>
      <c r="R26" s="309"/>
      <c r="S26" s="309"/>
      <c r="T26" s="309"/>
      <c r="U26" s="309"/>
    </row>
    <row r="27" spans="1:21" ht="18" customHeight="1">
      <c r="A27" s="320"/>
      <c r="B27" s="320"/>
      <c r="C27" s="320"/>
      <c r="D27" s="320"/>
      <c r="E27" s="320"/>
      <c r="L27" s="314"/>
      <c r="M27" s="311"/>
      <c r="N27" s="395" t="s">
        <v>258</v>
      </c>
      <c r="O27" s="309"/>
      <c r="P27" s="315"/>
      <c r="Q27" s="308"/>
      <c r="R27" s="309"/>
      <c r="S27" s="309"/>
      <c r="T27" s="309"/>
      <c r="U27" s="309"/>
    </row>
    <row r="28" spans="1:21" ht="18.600000000000001" customHeight="1">
      <c r="A28" s="320"/>
      <c r="B28" s="320"/>
      <c r="C28" s="320"/>
      <c r="D28" s="320"/>
      <c r="E28" s="320"/>
      <c r="L28" s="314"/>
      <c r="M28" s="311"/>
      <c r="N28" s="309"/>
      <c r="O28" s="309"/>
      <c r="P28" s="315"/>
      <c r="Q28" s="309"/>
      <c r="R28" s="309"/>
      <c r="S28" s="309"/>
      <c r="T28" s="309"/>
      <c r="U28" s="309"/>
    </row>
    <row r="29" spans="1:21" ht="16.899999999999999" customHeight="1">
      <c r="A29" s="320"/>
      <c r="B29" s="320"/>
      <c r="C29" s="320"/>
      <c r="D29" s="320"/>
      <c r="E29" s="320"/>
      <c r="L29" s="311"/>
      <c r="M29" s="311"/>
      <c r="N29" s="309"/>
      <c r="O29" s="309"/>
      <c r="P29" s="309"/>
      <c r="Q29" s="309"/>
      <c r="R29" s="309"/>
      <c r="S29" s="309"/>
      <c r="T29" s="309"/>
      <c r="U29" s="309"/>
    </row>
    <row r="30" spans="1:21" ht="16.899999999999999" customHeight="1">
      <c r="A30" s="320"/>
      <c r="B30" s="320"/>
      <c r="C30" s="320"/>
      <c r="D30" s="320"/>
      <c r="E30" s="320"/>
      <c r="L30" s="313"/>
      <c r="M30" s="309"/>
      <c r="N30" s="309"/>
      <c r="O30" s="309"/>
      <c r="P30" s="309"/>
      <c r="Q30" s="309"/>
      <c r="R30" s="309"/>
      <c r="S30" s="309"/>
      <c r="T30" s="309"/>
      <c r="U30" s="309"/>
    </row>
    <row r="31" spans="1:21" ht="12" customHeight="1">
      <c r="A31" s="320"/>
      <c r="B31" s="320"/>
      <c r="C31" s="320"/>
      <c r="D31" s="320"/>
      <c r="E31" s="320"/>
      <c r="L31" s="310"/>
      <c r="M31" s="310"/>
      <c r="N31" s="316"/>
      <c r="O31" s="316"/>
      <c r="P31" s="310"/>
      <c r="Q31" s="310"/>
      <c r="R31" s="309"/>
      <c r="S31" s="309"/>
      <c r="T31" s="309"/>
      <c r="U31" s="309"/>
    </row>
    <row r="32" spans="1:21" ht="18" customHeight="1">
      <c r="A32" s="320"/>
      <c r="B32" s="320"/>
      <c r="C32" s="320"/>
      <c r="D32" s="320"/>
      <c r="E32" s="320"/>
      <c r="L32" s="310"/>
      <c r="M32" s="310"/>
      <c r="N32" s="312"/>
      <c r="O32" s="312"/>
      <c r="P32" s="310"/>
      <c r="Q32" s="310"/>
      <c r="R32" s="309"/>
      <c r="S32" s="309"/>
      <c r="T32" s="309"/>
      <c r="U32" s="309"/>
    </row>
    <row r="33" spans="12:21" ht="17.45" customHeight="1">
      <c r="L33" s="314"/>
      <c r="M33" s="317"/>
      <c r="N33" s="306"/>
      <c r="O33" s="306"/>
      <c r="P33" s="312"/>
      <c r="Q33" s="312"/>
      <c r="R33" s="309"/>
      <c r="S33" s="309"/>
      <c r="T33" s="309"/>
      <c r="U33" s="309"/>
    </row>
    <row r="34" spans="12:21">
      <c r="L34" s="314"/>
      <c r="M34" s="318"/>
      <c r="N34" s="307"/>
      <c r="O34" s="307"/>
      <c r="P34" s="319"/>
      <c r="Q34" s="319"/>
      <c r="R34" s="309"/>
      <c r="S34" s="309"/>
      <c r="T34" s="309"/>
      <c r="U34" s="309"/>
    </row>
    <row r="35" spans="12:21">
      <c r="L35" s="314"/>
      <c r="M35" s="318"/>
      <c r="N35" s="307"/>
      <c r="O35" s="307"/>
      <c r="P35" s="319"/>
      <c r="Q35" s="319"/>
      <c r="R35" s="309"/>
      <c r="S35" s="309"/>
      <c r="T35" s="309"/>
      <c r="U35" s="309"/>
    </row>
    <row r="43" spans="12:21" ht="12" customHeight="1"/>
    <row r="50" ht="24" customHeight="1"/>
    <row r="51" ht="12" customHeight="1"/>
    <row r="52" ht="24" customHeight="1"/>
    <row r="53" ht="12" customHeight="1"/>
    <row r="54" ht="24" customHeight="1"/>
    <row r="55" ht="12" customHeight="1"/>
    <row r="56" ht="24" customHeight="1"/>
    <row r="57" ht="12" customHeight="1"/>
    <row r="69" ht="17.45" customHeight="1"/>
  </sheetData>
  <sheetProtection sheet="1"/>
  <mergeCells count="1">
    <mergeCell ref="L4:N4"/>
  </mergeCells>
  <dataValidations count="1">
    <dataValidation type="list" allowBlank="1" showInputMessage="1" showErrorMessage="1" sqref="C12">
      <formula1>$L$4:$L$6</formula1>
    </dataValidation>
  </dataValidations>
  <pageMargins left="0" right="0" top="0.15748031496062992" bottom="0" header="0.31496062992125984" footer="0.31496062992125984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2"/>
  <sheetViews>
    <sheetView topLeftCell="G1" zoomScaleNormal="100" workbookViewId="0">
      <selection activeCell="N9" sqref="N9"/>
    </sheetView>
  </sheetViews>
  <sheetFormatPr defaultRowHeight="12.75"/>
  <cols>
    <col min="1" max="1" width="20.85546875" style="5" customWidth="1"/>
    <col min="2" max="2" width="9.140625" style="5"/>
    <col min="3" max="3" width="10.5703125" style="5" bestFit="1" customWidth="1"/>
    <col min="4" max="5" width="9.140625" style="5"/>
    <col min="6" max="6" width="17.42578125" style="5" customWidth="1"/>
    <col min="7" max="13" width="9.140625" style="5"/>
    <col min="14" max="14" width="12.7109375" style="5" bestFit="1" customWidth="1"/>
    <col min="15" max="15" width="9.85546875" style="5" bestFit="1" customWidth="1"/>
    <col min="16" max="16" width="9.140625" style="5"/>
    <col min="17" max="17" width="9.140625" style="5" customWidth="1"/>
    <col min="18" max="18" width="13.28515625" style="5" customWidth="1"/>
    <col min="19" max="19" width="14.7109375" style="5" customWidth="1"/>
    <col min="20" max="16384" width="9.140625" style="5"/>
  </cols>
  <sheetData>
    <row r="1" spans="1:23" ht="40.5" customHeight="1" thickBot="1">
      <c r="A1" s="1" t="s">
        <v>0</v>
      </c>
      <c r="B1" s="2" t="s">
        <v>1</v>
      </c>
      <c r="C1" s="18">
        <f ca="1">R11</f>
        <v>1844</v>
      </c>
      <c r="D1" s="18">
        <f ca="1">S11</f>
        <v>2078</v>
      </c>
      <c r="E1" s="3"/>
      <c r="F1" s="4">
        <f ca="1">ROUND(B21*0.55+RAND()*0.14,0)</f>
        <v>4183</v>
      </c>
      <c r="H1" s="6" t="s">
        <v>38</v>
      </c>
      <c r="I1" s="7" t="s">
        <v>39</v>
      </c>
      <c r="J1" s="7" t="s">
        <v>40</v>
      </c>
      <c r="K1" s="7" t="s">
        <v>41</v>
      </c>
      <c r="M1" s="86" t="s">
        <v>93</v>
      </c>
      <c r="N1" s="125"/>
      <c r="Q1" s="160" t="s">
        <v>38</v>
      </c>
      <c r="R1" s="160" t="s">
        <v>39</v>
      </c>
      <c r="S1" s="160" t="s">
        <v>40</v>
      </c>
    </row>
    <row r="2" spans="1:23" ht="13.5" thickBot="1">
      <c r="A2" s="8" t="s">
        <v>72</v>
      </c>
      <c r="B2" s="9" t="s">
        <v>1</v>
      </c>
      <c r="C2" s="19">
        <f ca="1">R12</f>
        <v>1680</v>
      </c>
      <c r="D2" s="19">
        <f ca="1">S12</f>
        <v>2003</v>
      </c>
      <c r="E2" s="10"/>
      <c r="F2" s="4">
        <f ca="1">B21-F1</f>
        <v>3422</v>
      </c>
      <c r="G2" s="11">
        <f ca="1">ROUND(H2*(0.95+RAND()*0.1),0)</f>
        <v>18279</v>
      </c>
      <c r="H2" s="162">
        <v>19000</v>
      </c>
      <c r="I2" s="163">
        <v>7100</v>
      </c>
      <c r="J2" s="163">
        <v>10000</v>
      </c>
      <c r="K2" s="58" t="s">
        <v>37</v>
      </c>
      <c r="M2" s="87" t="s">
        <v>94</v>
      </c>
      <c r="N2" s="125"/>
      <c r="Q2" s="161"/>
      <c r="R2" s="383">
        <v>665</v>
      </c>
      <c r="S2" s="383">
        <v>770</v>
      </c>
      <c r="T2" s="224" t="s">
        <v>157</v>
      </c>
      <c r="U2" s="5">
        <f xml:space="preserve"> R2+S2</f>
        <v>1435</v>
      </c>
    </row>
    <row r="3" spans="1:23" ht="25.5" customHeight="1" thickBot="1">
      <c r="A3" s="8" t="s">
        <v>3</v>
      </c>
      <c r="B3" s="9" t="s">
        <v>1</v>
      </c>
      <c r="C3" s="19">
        <f ca="1">ROUND((RAND()*180+170),0)</f>
        <v>224</v>
      </c>
      <c r="D3" s="19">
        <f ca="1">ROUND((RAND()*180+170),0)</f>
        <v>197</v>
      </c>
      <c r="E3" s="10"/>
      <c r="F3" s="12">
        <f ca="1">ROUND(J5*B31*9.81/100,0)</f>
        <v>32326</v>
      </c>
      <c r="G3" s="59" t="s">
        <v>73</v>
      </c>
      <c r="H3" s="432"/>
      <c r="I3" s="432"/>
      <c r="J3" s="432"/>
      <c r="K3" s="432"/>
      <c r="L3" s="433" t="s">
        <v>257</v>
      </c>
      <c r="M3" s="433"/>
      <c r="N3" s="391">
        <f ca="1">IF(ISBLANK(O3),NOW(),O3)</f>
        <v>44834.790105208333</v>
      </c>
      <c r="O3" s="394"/>
      <c r="R3" s="5">
        <f ca="1">ROUND(R2*(0.45+RAND()*0.1),0)</f>
        <v>348</v>
      </c>
      <c r="S3" s="5">
        <f ca="1">ROUND(S2*(0.45+RAND()*0.1),0)</f>
        <v>392</v>
      </c>
    </row>
    <row r="4" spans="1:23" ht="16.5" customHeight="1" thickBot="1">
      <c r="A4" s="8" t="s">
        <v>4</v>
      </c>
      <c r="B4" s="9" t="s">
        <v>1</v>
      </c>
      <c r="C4" s="19">
        <f ca="1">ROUND((RAND()*180+170),0)</f>
        <v>256</v>
      </c>
      <c r="D4" s="19">
        <f ca="1">ROUND((RAND()*180+170),0)</f>
        <v>344</v>
      </c>
      <c r="E4" s="10"/>
      <c r="F4" s="4"/>
      <c r="I4" s="5" t="s">
        <v>44</v>
      </c>
      <c r="J4" s="5" t="s">
        <v>45</v>
      </c>
      <c r="M4" s="87" t="s">
        <v>99</v>
      </c>
      <c r="N4" s="125">
        <v>2.5</v>
      </c>
      <c r="R4" s="5">
        <f ca="1">R2-R3</f>
        <v>317</v>
      </c>
      <c r="S4" s="5">
        <f ca="1">S2-S3</f>
        <v>378</v>
      </c>
    </row>
    <row r="5" spans="1:23" ht="16.5" customHeight="1" thickBot="1">
      <c r="A5" s="8" t="s">
        <v>5</v>
      </c>
      <c r="B5" s="9" t="s">
        <v>6</v>
      </c>
      <c r="C5" s="19">
        <v>0</v>
      </c>
      <c r="D5" s="19">
        <v>0</v>
      </c>
      <c r="E5" s="10"/>
      <c r="F5" s="4"/>
      <c r="H5" s="5" t="s">
        <v>42</v>
      </c>
      <c r="I5" s="5">
        <f ca="1">ROUND(I2*(0.8+RAND()*0.2),0)</f>
        <v>5728</v>
      </c>
      <c r="J5" s="5">
        <f ca="1">G2-I5</f>
        <v>12551</v>
      </c>
      <c r="L5" s="433" t="s">
        <v>251</v>
      </c>
      <c r="M5" s="433"/>
      <c r="N5" s="381" t="str">
        <f>IF(AND(N7="БЕНЗИН",ISBLANK(N6)=TRUE),Токсичність!C7,IF(AND(N7="ДИЗЕЛЬ",ISBLANK(N6)=TRUE),Димомір_ТЕХА!C7,N6))</f>
        <v>7777</v>
      </c>
      <c r="O5" s="224" t="s">
        <v>254</v>
      </c>
    </row>
    <row r="6" spans="1:23" ht="18.75" customHeight="1" thickBot="1">
      <c r="A6" s="8" t="s">
        <v>7</v>
      </c>
      <c r="B6" s="13" t="s">
        <v>6</v>
      </c>
      <c r="C6" s="19">
        <v>0</v>
      </c>
      <c r="D6" s="19">
        <v>0</v>
      </c>
      <c r="E6" s="10"/>
      <c r="G6" s="5" t="s">
        <v>43</v>
      </c>
      <c r="H6" s="5" t="s">
        <v>35</v>
      </c>
      <c r="I6" s="5">
        <f ca="1">ROUND(I5*(0.45+RAND()*0.1),0)</f>
        <v>3078</v>
      </c>
      <c r="J6" s="5">
        <f ca="1">ROUND(J5*(0.45+RAND()*0.1),0)</f>
        <v>6727</v>
      </c>
      <c r="L6" s="433" t="s">
        <v>252</v>
      </c>
      <c r="M6" s="433"/>
      <c r="N6" s="382"/>
      <c r="O6" s="224" t="s">
        <v>253</v>
      </c>
    </row>
    <row r="7" spans="1:23" ht="30.75" customHeight="1" thickBot="1">
      <c r="A7" s="8" t="s">
        <v>8</v>
      </c>
      <c r="B7" s="13" t="s">
        <v>6</v>
      </c>
      <c r="C7" s="19">
        <v>0</v>
      </c>
      <c r="D7" s="19">
        <v>0</v>
      </c>
      <c r="E7" s="10"/>
      <c r="H7" s="5" t="s">
        <v>36</v>
      </c>
      <c r="I7" s="5">
        <f ca="1">I5-I6</f>
        <v>2650</v>
      </c>
      <c r="J7" s="5">
        <f ca="1">J5-J6</f>
        <v>5824</v>
      </c>
      <c r="L7" s="434" t="s">
        <v>250</v>
      </c>
      <c r="M7" s="435"/>
      <c r="N7" s="384" t="s">
        <v>248</v>
      </c>
      <c r="R7" t="s">
        <v>46</v>
      </c>
    </row>
    <row r="8" spans="1:23" ht="18" customHeight="1" thickBot="1">
      <c r="A8" s="8" t="s">
        <v>9</v>
      </c>
      <c r="B8" s="9" t="s">
        <v>1</v>
      </c>
      <c r="C8" s="19">
        <f ca="1">RANDBETWEEN(81,236)</f>
        <v>126</v>
      </c>
      <c r="D8" s="19">
        <f ca="1">RANDBETWEEN(81,236)</f>
        <v>201</v>
      </c>
      <c r="E8" s="10"/>
      <c r="L8" s="436" t="s">
        <v>255</v>
      </c>
      <c r="M8" s="436"/>
      <c r="N8" s="387">
        <v>0.64923611111111112</v>
      </c>
      <c r="O8" s="299"/>
      <c r="R8" s="5">
        <f ca="1">ROUND(ABS((R11-R12)/MAX(R11:R12))*100,0)</f>
        <v>9</v>
      </c>
      <c r="S8" s="5">
        <f ca="1">ROUND(ABS((S11-S12)/MAX(S11:S12))*100,0)</f>
        <v>4</v>
      </c>
    </row>
    <row r="9" spans="1:23" ht="16.5" customHeight="1" thickBot="1">
      <c r="A9" s="8" t="s">
        <v>10</v>
      </c>
      <c r="B9" s="13" t="s">
        <v>6</v>
      </c>
      <c r="C9" s="19">
        <v>6.5</v>
      </c>
      <c r="D9" s="19">
        <v>6.5</v>
      </c>
      <c r="E9" s="10"/>
      <c r="L9" s="436" t="s">
        <v>256</v>
      </c>
      <c r="M9" s="436"/>
      <c r="N9" s="390">
        <f>IF(N7="БЕНЗИН",Токсичність!C6,Димомір_ТЕХА!C6)</f>
        <v>0.64166666666666672</v>
      </c>
    </row>
    <row r="10" spans="1:23" ht="24" customHeight="1" thickBot="1">
      <c r="A10" s="8" t="s">
        <v>11</v>
      </c>
      <c r="B10" s="13" t="s">
        <v>12</v>
      </c>
      <c r="C10" s="19"/>
      <c r="D10" s="19"/>
      <c r="E10" s="10"/>
      <c r="I10" s="5" t="s">
        <v>46</v>
      </c>
      <c r="R10" s="262" t="s">
        <v>119</v>
      </c>
    </row>
    <row r="11" spans="1:23" ht="13.5" thickBot="1">
      <c r="A11" s="8" t="s">
        <v>13</v>
      </c>
      <c r="B11" s="13" t="s">
        <v>12</v>
      </c>
      <c r="C11" s="19">
        <f ca="1">R8</f>
        <v>9</v>
      </c>
      <c r="D11" s="19">
        <f ca="1">S8</f>
        <v>4</v>
      </c>
      <c r="E11" s="10"/>
      <c r="I11" s="5">
        <f ca="1">ROUND(ABS((C1-C2)/MAX(C1:C2))*100,0)</f>
        <v>9</v>
      </c>
      <c r="J11" s="5">
        <f ca="1">ROUND(ABS((D1-D2)/MAX(D1:D2))*100,0)</f>
        <v>4</v>
      </c>
      <c r="M11" s="5">
        <f ca="1">C1+C2+D1+D2</f>
        <v>7605</v>
      </c>
      <c r="R11" s="5">
        <f ca="1">ROUND(R3*U11/10+RAND()*0.1,0)</f>
        <v>1844</v>
      </c>
      <c r="S11" s="5">
        <f ca="1">ROUND(S3*U11/10+RAND()*0.1,0)</f>
        <v>2078</v>
      </c>
      <c r="T11" s="5">
        <f ca="1">R11+R12+S11+S12</f>
        <v>7605</v>
      </c>
      <c r="U11" s="223">
        <f ca="1">RANDBETWEEN(53,65)</f>
        <v>53</v>
      </c>
      <c r="V11" s="224" t="s">
        <v>157</v>
      </c>
    </row>
    <row r="12" spans="1:23" ht="13.5" thickBot="1">
      <c r="A12" s="8" t="s">
        <v>14</v>
      </c>
      <c r="B12" s="13" t="s">
        <v>12</v>
      </c>
      <c r="C12" s="19"/>
      <c r="D12" s="19"/>
      <c r="E12" s="10"/>
      <c r="M12" s="5">
        <f>C16+D16</f>
        <v>1435</v>
      </c>
      <c r="N12" s="5">
        <f ca="1">M11/M12*9.81</f>
        <v>51.989581881533098</v>
      </c>
      <c r="R12" s="5">
        <f ca="1">ROUND(R4*U11/10+RAND()*0.1,0)</f>
        <v>1680</v>
      </c>
      <c r="S12" s="5">
        <f ca="1">ROUND(S4*U11/10+RAND()*0.1,0)</f>
        <v>2003</v>
      </c>
      <c r="T12" s="5">
        <f>R2+S2</f>
        <v>1435</v>
      </c>
      <c r="U12" s="169">
        <f ca="1">(T11/T12/9.81)*100</f>
        <v>54.022951762938334</v>
      </c>
    </row>
    <row r="13" spans="1:23" ht="18" customHeight="1" thickBot="1">
      <c r="A13" s="8" t="s">
        <v>15</v>
      </c>
      <c r="B13" s="13" t="s">
        <v>12</v>
      </c>
      <c r="C13" s="19"/>
      <c r="D13" s="19"/>
      <c r="E13" s="10"/>
      <c r="F13" s="5" t="s">
        <v>113</v>
      </c>
      <c r="G13" s="84">
        <f ca="1">C1+C2+D1+D2</f>
        <v>7605</v>
      </c>
    </row>
    <row r="14" spans="1:23" ht="19.5" thickBot="1">
      <c r="A14" s="8" t="s">
        <v>16</v>
      </c>
      <c r="B14" s="13" t="s">
        <v>17</v>
      </c>
      <c r="C14" s="19">
        <f ca="1">R3</f>
        <v>348</v>
      </c>
      <c r="D14" s="19">
        <f ca="1">S3</f>
        <v>392</v>
      </c>
      <c r="E14" s="10"/>
      <c r="F14" s="5" t="s">
        <v>114</v>
      </c>
      <c r="G14" s="5">
        <f ca="1">C14+D14+C15+D15</f>
        <v>1435</v>
      </c>
      <c r="H14" s="5">
        <f ca="1">ROUND(G13/G14*9.81,0)</f>
        <v>52</v>
      </c>
      <c r="R14" s="262" t="s">
        <v>165</v>
      </c>
      <c r="S14" s="262"/>
    </row>
    <row r="15" spans="1:23" ht="22.5" customHeight="1" thickBot="1">
      <c r="A15" s="8" t="s">
        <v>18</v>
      </c>
      <c r="B15" s="13" t="s">
        <v>17</v>
      </c>
      <c r="C15" s="19">
        <f ca="1">R4</f>
        <v>317</v>
      </c>
      <c r="D15" s="19">
        <f ca="1">S4</f>
        <v>378</v>
      </c>
      <c r="E15" s="10"/>
      <c r="N15" s="5">
        <f ca="1">C1+C2+D1+D2</f>
        <v>7605</v>
      </c>
      <c r="S15" s="5">
        <f ca="1">ROUND(S3*U15/5+RAND()*0.1,0)</f>
        <v>1882</v>
      </c>
      <c r="T15" s="5">
        <f ca="1">S15+S16</f>
        <v>3696</v>
      </c>
      <c r="U15" s="223">
        <f ca="1">RANDBETWEEN(19,27)</f>
        <v>24</v>
      </c>
      <c r="V15" s="224" t="s">
        <v>157</v>
      </c>
    </row>
    <row r="16" spans="1:23" ht="13.5" thickBot="1">
      <c r="A16" s="8" t="s">
        <v>19</v>
      </c>
      <c r="B16" s="13" t="s">
        <v>17</v>
      </c>
      <c r="C16" s="19">
        <f>R2</f>
        <v>665</v>
      </c>
      <c r="D16" s="19">
        <f>S2</f>
        <v>770</v>
      </c>
      <c r="E16" s="10"/>
      <c r="I16" s="188"/>
      <c r="S16" s="5">
        <f ca="1">ROUND(S4*U15/5+RAND()*0.1,0)</f>
        <v>1814</v>
      </c>
      <c r="T16" s="5">
        <f>T12</f>
        <v>1435</v>
      </c>
      <c r="U16" s="169">
        <f ca="1">(T15/T16/9.81)*100</f>
        <v>26.254941448497053</v>
      </c>
      <c r="W16" s="169"/>
    </row>
    <row r="17" spans="1:19" ht="22.5" customHeight="1" thickBot="1">
      <c r="A17" s="8" t="s">
        <v>20</v>
      </c>
      <c r="B17" s="13" t="s">
        <v>21</v>
      </c>
      <c r="C17" s="20">
        <f ca="1">RANDBETWEEN(111,220)/1000</f>
        <v>0.126</v>
      </c>
      <c r="D17" s="20">
        <f ca="1">RANDBETWEEN(111,200)/1000</f>
        <v>0.14499999999999999</v>
      </c>
      <c r="E17" s="10"/>
      <c r="J17" s="196">
        <f ca="1">RANDBETWEEN(75,224)</f>
        <v>154</v>
      </c>
    </row>
    <row r="18" spans="1:19" ht="16.5" customHeight="1" thickBot="1">
      <c r="A18" s="8" t="s">
        <v>22</v>
      </c>
      <c r="B18" s="13" t="s">
        <v>21</v>
      </c>
      <c r="C18" s="20">
        <f ca="1">RANDBETWEEN(111,200)/1000</f>
        <v>0.161</v>
      </c>
      <c r="D18" s="20">
        <f ca="1">RANDBETWEEN(111,220)/1000</f>
        <v>0.16700000000000001</v>
      </c>
      <c r="E18" s="10"/>
      <c r="O18" s="5" t="s">
        <v>260</v>
      </c>
      <c r="R18" s="262" t="s">
        <v>166</v>
      </c>
    </row>
    <row r="19" spans="1:19" ht="17.25" customHeight="1" thickBot="1">
      <c r="A19" s="8" t="s">
        <v>23</v>
      </c>
      <c r="B19" s="13" t="s">
        <v>21</v>
      </c>
      <c r="C19" s="20">
        <f ca="1">0.05+ROUND(RAND()*1,0)*0.05</f>
        <v>0.1</v>
      </c>
      <c r="D19" s="20">
        <f ca="1">0.05+ROUND(RAND()*2,0)*0.05</f>
        <v>0.05</v>
      </c>
      <c r="E19" s="10"/>
      <c r="M19" s="398">
        <f ca="1">ROUND(O19*(RANDBETWEEN(48,52)/100),0)</f>
        <v>755</v>
      </c>
      <c r="N19" s="398">
        <f ca="1">ROUND(O19*(RANDBETWEEN(45,50)/100),0)</f>
        <v>696</v>
      </c>
      <c r="O19" s="399">
        <v>1480</v>
      </c>
    </row>
    <row r="20" spans="1:19" ht="13.5" thickBot="1"/>
    <row r="21" spans="1:19" ht="20.25" customHeight="1" thickBot="1">
      <c r="A21" s="1" t="s">
        <v>24</v>
      </c>
      <c r="B21" s="430">
        <f ca="1">T11</f>
        <v>7605</v>
      </c>
      <c r="C21" s="431"/>
    </row>
    <row r="22" spans="1:19" ht="19.5" customHeight="1" thickBot="1">
      <c r="A22" s="8" t="s">
        <v>25</v>
      </c>
      <c r="B22" s="172">
        <f ca="1">U12</f>
        <v>54.022951762938334</v>
      </c>
      <c r="C22" s="9" t="s">
        <v>26</v>
      </c>
      <c r="E22" s="5">
        <v>56</v>
      </c>
      <c r="S22" s="385" t="s">
        <v>248</v>
      </c>
    </row>
    <row r="23" spans="1:19" ht="16.5" customHeight="1" thickBot="1">
      <c r="A23" s="8" t="s">
        <v>27</v>
      </c>
      <c r="B23" s="13" t="s">
        <v>12</v>
      </c>
      <c r="C23" s="15"/>
      <c r="S23" s="385" t="s">
        <v>249</v>
      </c>
    </row>
    <row r="25" spans="1:19" ht="24.75" thickBot="1">
      <c r="A25" s="16" t="s">
        <v>28</v>
      </c>
      <c r="B25" s="16"/>
      <c r="C25" s="16">
        <v>1</v>
      </c>
      <c r="D25" s="16">
        <v>2</v>
      </c>
      <c r="E25" s="16">
        <v>3</v>
      </c>
      <c r="F25" s="16">
        <v>4</v>
      </c>
      <c r="G25" s="16">
        <v>5</v>
      </c>
      <c r="H25" s="16">
        <v>6</v>
      </c>
      <c r="I25" s="16">
        <v>7</v>
      </c>
      <c r="J25" s="16">
        <v>8</v>
      </c>
      <c r="K25" s="16">
        <v>9</v>
      </c>
      <c r="L25" s="17" t="s">
        <v>29</v>
      </c>
    </row>
    <row r="26" spans="1:19" ht="14.25" customHeight="1" thickBot="1">
      <c r="A26" s="8" t="s">
        <v>30</v>
      </c>
      <c r="B26" s="9" t="s">
        <v>1</v>
      </c>
      <c r="C26" s="13"/>
      <c r="D26" s="18">
        <f ca="1">S15</f>
        <v>1882</v>
      </c>
      <c r="E26" s="13"/>
      <c r="F26" s="13"/>
      <c r="G26" s="13"/>
      <c r="H26" s="13"/>
      <c r="I26" s="13"/>
      <c r="J26" s="13"/>
      <c r="K26" s="13"/>
      <c r="L26" s="15"/>
    </row>
    <row r="27" spans="1:19" ht="13.5" thickBot="1">
      <c r="A27" s="8" t="s">
        <v>31</v>
      </c>
      <c r="B27" s="9" t="s">
        <v>1</v>
      </c>
      <c r="C27" s="13"/>
      <c r="D27" s="19">
        <f ca="1">S16</f>
        <v>1814</v>
      </c>
      <c r="E27" s="13"/>
      <c r="F27" s="13"/>
      <c r="G27" s="13"/>
      <c r="H27" s="13"/>
      <c r="I27" s="13"/>
      <c r="J27" s="13"/>
      <c r="K27" s="13"/>
      <c r="L27" s="15"/>
    </row>
    <row r="28" spans="1:19" ht="13.5" thickBot="1">
      <c r="A28" s="8" t="s">
        <v>32</v>
      </c>
      <c r="B28" s="9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 t="s">
        <v>33</v>
      </c>
    </row>
    <row r="30" spans="1:19" ht="13.5" thickBot="1"/>
    <row r="31" spans="1:19" ht="13.5" thickBot="1">
      <c r="A31" s="1" t="s">
        <v>25</v>
      </c>
      <c r="B31" s="172">
        <f ca="1">U16</f>
        <v>26.254941448497053</v>
      </c>
      <c r="C31" s="2" t="s">
        <v>34</v>
      </c>
    </row>
    <row r="32" spans="1:19" ht="13.5" thickBot="1">
      <c r="A32" s="8" t="s">
        <v>27</v>
      </c>
      <c r="B32" s="13" t="s">
        <v>12</v>
      </c>
      <c r="C32" s="13"/>
    </row>
  </sheetData>
  <sheetProtection sheet="1"/>
  <mergeCells count="8">
    <mergeCell ref="B21:C21"/>
    <mergeCell ref="H3:K3"/>
    <mergeCell ref="L3:M3"/>
    <mergeCell ref="L5:M5"/>
    <mergeCell ref="L6:M6"/>
    <mergeCell ref="L7:M7"/>
    <mergeCell ref="L8:M8"/>
    <mergeCell ref="L9:M9"/>
  </mergeCells>
  <phoneticPr fontId="3" type="noConversion"/>
  <dataValidations count="1">
    <dataValidation type="list" allowBlank="1" showInputMessage="1" showErrorMessage="1" sqref="N7">
      <formula1>$S$22:$S$23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topLeftCell="A31" zoomScale="130" zoomScaleNormal="130" workbookViewId="0">
      <selection activeCell="A19" sqref="A19:G19"/>
    </sheetView>
  </sheetViews>
  <sheetFormatPr defaultRowHeight="12.75"/>
  <cols>
    <col min="1" max="1" width="8" customWidth="1"/>
    <col min="2" max="2" width="11.28515625" customWidth="1"/>
    <col min="3" max="3" width="4.5703125" customWidth="1"/>
    <col min="4" max="4" width="6.42578125" customWidth="1"/>
    <col min="5" max="5" width="0.28515625" customWidth="1"/>
    <col min="6" max="6" width="6.28515625" customWidth="1"/>
    <col min="7" max="13" width="6.42578125" customWidth="1"/>
    <col min="14" max="14" width="8.7109375" customWidth="1"/>
    <col min="17" max="17" width="14.42578125" customWidth="1"/>
  </cols>
  <sheetData>
    <row r="2" spans="1:17" s="31" customFormat="1" ht="18.75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</row>
    <row r="3" spans="1:17" s="31" customFormat="1" ht="18.7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7" ht="10.9" customHeight="1">
      <c r="A4" s="41" t="s">
        <v>48</v>
      </c>
      <c r="B4" s="179">
        <f ca="1">Hofmann!N3</f>
        <v>44834.790105208333</v>
      </c>
      <c r="C4" s="57"/>
      <c r="D4" s="471" t="s">
        <v>129</v>
      </c>
      <c r="E4" s="471"/>
      <c r="F4" s="471"/>
      <c r="G4" s="468">
        <f>Hofmann!N8</f>
        <v>0.64923611111111112</v>
      </c>
      <c r="H4" s="469"/>
      <c r="I4" s="57"/>
      <c r="J4" s="57"/>
      <c r="K4" s="126"/>
      <c r="L4" s="464" t="s">
        <v>106</v>
      </c>
      <c r="M4" s="464"/>
      <c r="N4" s="464"/>
    </row>
    <row r="5" spans="1:17" ht="10.9" customHeight="1">
      <c r="A5" s="460" t="s">
        <v>49</v>
      </c>
      <c r="B5" s="460"/>
      <c r="C5" s="461">
        <f ca="1">B4</f>
        <v>44834.790105208333</v>
      </c>
      <c r="D5" s="461"/>
      <c r="E5" s="178" t="s">
        <v>130</v>
      </c>
      <c r="F5" s="467">
        <f>G4</f>
        <v>0.64923611111111112</v>
      </c>
      <c r="G5" s="467"/>
      <c r="H5" s="55"/>
      <c r="I5" s="55"/>
      <c r="J5" s="55"/>
      <c r="K5" s="465" t="s">
        <v>107</v>
      </c>
      <c r="L5" s="465"/>
      <c r="M5" s="465"/>
      <c r="N5" s="465"/>
      <c r="Q5" s="273"/>
    </row>
    <row r="6" spans="1:17" ht="10.9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</row>
    <row r="7" spans="1:17" ht="10.9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7" ht="10.9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/>
      <c r="I8" s="456"/>
      <c r="J8" s="456"/>
      <c r="K8" s="456"/>
      <c r="L8" s="183"/>
      <c r="M8" s="185"/>
    </row>
    <row r="9" spans="1:17" ht="10.9" customHeight="1">
      <c r="A9" s="94" t="s">
        <v>51</v>
      </c>
      <c r="B9" s="455" t="s">
        <v>138</v>
      </c>
      <c r="C9" s="472"/>
      <c r="D9" s="180"/>
      <c r="E9" s="180"/>
      <c r="F9" s="180"/>
      <c r="G9" s="181"/>
      <c r="H9" s="186" t="s">
        <v>154</v>
      </c>
      <c r="I9" s="185"/>
      <c r="J9" s="185"/>
      <c r="K9" s="185"/>
      <c r="L9" s="185"/>
      <c r="M9" s="185"/>
    </row>
    <row r="10" spans="1:17" ht="10.9" customHeight="1">
      <c r="A10" s="94" t="s">
        <v>53</v>
      </c>
      <c r="B10" s="449" t="s">
        <v>139</v>
      </c>
      <c r="C10" s="449"/>
      <c r="D10" s="180"/>
      <c r="E10" s="180"/>
      <c r="F10" s="180"/>
      <c r="G10" s="180"/>
      <c r="H10" s="451" t="s">
        <v>152</v>
      </c>
      <c r="I10" s="451"/>
      <c r="J10" s="451"/>
      <c r="K10" s="183"/>
      <c r="L10" s="183"/>
      <c r="M10" s="185"/>
    </row>
    <row r="11" spans="1:17" ht="10.9" customHeight="1">
      <c r="A11" s="23" t="s">
        <v>54</v>
      </c>
      <c r="B11" s="449" t="s">
        <v>148</v>
      </c>
      <c r="C11" s="449"/>
      <c r="D11" s="449"/>
      <c r="E11" s="449"/>
      <c r="F11" s="449"/>
      <c r="G11" s="180"/>
      <c r="H11" s="186" t="s">
        <v>153</v>
      </c>
      <c r="I11" s="185"/>
      <c r="J11" s="185"/>
      <c r="K11" s="473" t="str">
        <f>Hofmann!N5</f>
        <v>7777</v>
      </c>
      <c r="L11" s="473"/>
      <c r="M11" s="473"/>
    </row>
    <row r="12" spans="1:17" ht="10.9" customHeight="1">
      <c r="A12" s="23"/>
      <c r="B12" s="449" t="s">
        <v>137</v>
      </c>
      <c r="C12" s="449"/>
      <c r="D12" s="93"/>
      <c r="E12" s="93"/>
      <c r="F12" s="93"/>
      <c r="G12" s="182"/>
      <c r="H12" s="452"/>
      <c r="I12" s="452"/>
      <c r="J12" s="452"/>
      <c r="K12" s="474"/>
      <c r="L12" s="474"/>
      <c r="M12" s="184"/>
      <c r="N12" s="164"/>
    </row>
    <row r="13" spans="1:17" ht="10.9" customHeight="1">
      <c r="G13" s="93"/>
      <c r="H13" s="94"/>
      <c r="I13" s="94"/>
      <c r="J13" s="94"/>
      <c r="K13" s="185"/>
      <c r="L13" s="185"/>
      <c r="M13" s="185"/>
    </row>
    <row r="14" spans="1:17" ht="10.9" customHeight="1">
      <c r="H14" s="452" t="s">
        <v>133</v>
      </c>
      <c r="I14" s="452"/>
      <c r="J14" s="452"/>
      <c r="K14" s="94"/>
      <c r="L14" s="94"/>
      <c r="M14" s="185"/>
    </row>
    <row r="15" spans="1:17" ht="10.9" customHeight="1">
      <c r="A15" s="23"/>
      <c r="B15" s="23"/>
      <c r="C15" s="23"/>
      <c r="D15" s="42"/>
      <c r="E15" s="42"/>
      <c r="F15" s="42"/>
      <c r="G15" s="42"/>
      <c r="H15" s="453" t="s">
        <v>151</v>
      </c>
      <c r="I15" s="453"/>
      <c r="J15" s="94"/>
      <c r="K15" s="94"/>
      <c r="L15" s="94"/>
      <c r="M15" s="185"/>
    </row>
    <row r="16" spans="1:17" ht="10.9" customHeight="1">
      <c r="A16" s="23"/>
      <c r="B16" s="23"/>
      <c r="C16" s="23"/>
      <c r="D16" s="42"/>
      <c r="E16" s="42"/>
      <c r="F16" s="42"/>
      <c r="G16" s="42"/>
      <c r="H16" s="453"/>
      <c r="I16" s="453"/>
      <c r="J16" s="453"/>
      <c r="K16" s="94"/>
      <c r="L16" s="94"/>
      <c r="M16" s="185"/>
    </row>
    <row r="17" spans="1:14" ht="10.9" customHeight="1">
      <c r="A17" s="458"/>
      <c r="B17" s="458"/>
      <c r="C17" s="458"/>
      <c r="D17" s="458"/>
      <c r="E17" s="458"/>
      <c r="F17" s="458"/>
      <c r="G17" s="458"/>
      <c r="H17" s="457"/>
      <c r="I17" s="457"/>
      <c r="J17" s="457"/>
      <c r="K17" s="56"/>
      <c r="L17" s="56"/>
    </row>
    <row r="18" spans="1:14" ht="10.9" customHeight="1">
      <c r="A18" s="458"/>
      <c r="B18" s="458"/>
      <c r="C18" s="458"/>
      <c r="D18" s="458"/>
      <c r="E18" s="458"/>
      <c r="F18" s="458"/>
      <c r="G18" s="458"/>
      <c r="H18" s="42"/>
      <c r="I18" s="42"/>
      <c r="J18" s="45"/>
      <c r="K18" s="45"/>
      <c r="L18" s="45"/>
    </row>
    <row r="19" spans="1:14" ht="10.9" customHeight="1">
      <c r="A19" s="458"/>
      <c r="B19" s="458"/>
      <c r="C19" s="458"/>
      <c r="D19" s="458"/>
      <c r="E19" s="458"/>
      <c r="F19" s="458"/>
      <c r="G19" s="458"/>
      <c r="H19" s="42"/>
      <c r="I19" s="42"/>
      <c r="J19" s="45"/>
      <c r="K19" s="45"/>
      <c r="L19" s="45"/>
    </row>
    <row r="20" spans="1:14" ht="10.1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4" ht="14.25">
      <c r="A21" s="27" t="s">
        <v>55</v>
      </c>
      <c r="B21" s="27"/>
    </row>
    <row r="22" spans="1:14" ht="14.25">
      <c r="A22" s="28"/>
      <c r="B22" s="28"/>
    </row>
    <row r="23" spans="1:14" ht="10.9" customHeight="1">
      <c r="A23" s="479" t="s">
        <v>56</v>
      </c>
      <c r="B23" s="479"/>
      <c r="C23" s="130"/>
      <c r="D23" s="131">
        <v>1</v>
      </c>
      <c r="E23" s="131"/>
      <c r="F23" s="131">
        <v>2</v>
      </c>
      <c r="G23" s="131">
        <v>3</v>
      </c>
      <c r="H23" s="131">
        <v>4</v>
      </c>
      <c r="I23" s="131">
        <v>5</v>
      </c>
      <c r="J23" s="131">
        <v>6</v>
      </c>
      <c r="K23" s="131">
        <v>7</v>
      </c>
      <c r="L23" s="131">
        <v>8</v>
      </c>
      <c r="M23" s="131">
        <v>9</v>
      </c>
      <c r="N23" s="132" t="s">
        <v>29</v>
      </c>
    </row>
    <row r="24" spans="1:14" ht="11.1" customHeight="1">
      <c r="A24" s="443" t="s">
        <v>0</v>
      </c>
      <c r="B24" s="444"/>
      <c r="C24" s="34" t="s">
        <v>1</v>
      </c>
      <c r="D24" s="36">
        <f ca="1">Hofmann!C1</f>
        <v>1844</v>
      </c>
      <c r="E24" s="439">
        <f ca="1">Hofmann!D1</f>
        <v>2078</v>
      </c>
      <c r="F24" s="440"/>
      <c r="G24" s="36"/>
      <c r="H24" s="36"/>
      <c r="I24" s="39"/>
      <c r="J24" s="39"/>
      <c r="K24" s="39"/>
      <c r="L24" s="39"/>
      <c r="M24" s="39"/>
      <c r="N24" s="38"/>
    </row>
    <row r="25" spans="1:14" ht="11.1" customHeight="1">
      <c r="A25" s="443" t="s">
        <v>2</v>
      </c>
      <c r="B25" s="444"/>
      <c r="C25" s="34" t="s">
        <v>1</v>
      </c>
      <c r="D25" s="36">
        <f ca="1">Hofmann!C2</f>
        <v>1680</v>
      </c>
      <c r="E25" s="439">
        <f ca="1">Hofmann!D2</f>
        <v>2003</v>
      </c>
      <c r="F25" s="440"/>
      <c r="G25" s="36"/>
      <c r="H25" s="36"/>
      <c r="I25" s="39"/>
      <c r="J25" s="39"/>
      <c r="K25" s="39"/>
      <c r="L25" s="39"/>
      <c r="M25" s="39"/>
      <c r="N25" s="38"/>
    </row>
    <row r="26" spans="1:14" ht="11.1" customHeight="1">
      <c r="A26" s="443" t="s">
        <v>3</v>
      </c>
      <c r="B26" s="444"/>
      <c r="C26" s="34" t="s">
        <v>1</v>
      </c>
      <c r="D26" s="36">
        <f ca="1">Hofmann!C3</f>
        <v>224</v>
      </c>
      <c r="E26" s="439">
        <f ca="1">Hofmann!D3</f>
        <v>197</v>
      </c>
      <c r="F26" s="440"/>
      <c r="G26" s="36"/>
      <c r="H26" s="36"/>
      <c r="I26" s="39"/>
      <c r="J26" s="39"/>
      <c r="K26" s="39"/>
      <c r="L26" s="39"/>
      <c r="M26" s="39"/>
      <c r="N26" s="38"/>
    </row>
    <row r="27" spans="1:14" ht="11.1" customHeight="1">
      <c r="A27" s="443" t="s">
        <v>75</v>
      </c>
      <c r="B27" s="444"/>
      <c r="C27" s="34" t="s">
        <v>1</v>
      </c>
      <c r="D27" s="36">
        <f ca="1">Hofmann!C4</f>
        <v>256</v>
      </c>
      <c r="E27" s="439">
        <f ca="1">Hofmann!D4</f>
        <v>344</v>
      </c>
      <c r="F27" s="440"/>
      <c r="G27" s="36"/>
      <c r="H27" s="36"/>
      <c r="I27" s="39"/>
      <c r="J27" s="39"/>
      <c r="K27" s="39"/>
      <c r="L27" s="39"/>
      <c r="M27" s="39"/>
      <c r="N27" s="38"/>
    </row>
    <row r="28" spans="1:14" ht="11.1" customHeight="1">
      <c r="A28" s="443" t="s">
        <v>5</v>
      </c>
      <c r="B28" s="444"/>
      <c r="C28" s="34" t="s">
        <v>6</v>
      </c>
      <c r="D28" s="36"/>
      <c r="E28" s="439"/>
      <c r="F28" s="440"/>
      <c r="G28" s="36"/>
      <c r="H28" s="36"/>
      <c r="I28" s="39"/>
      <c r="J28" s="39"/>
      <c r="K28" s="39"/>
      <c r="L28" s="39"/>
      <c r="M28" s="39"/>
      <c r="N28" s="38"/>
    </row>
    <row r="29" spans="1:14" ht="11.1" customHeight="1">
      <c r="A29" s="443" t="s">
        <v>7</v>
      </c>
      <c r="B29" s="444"/>
      <c r="C29" s="35" t="s">
        <v>6</v>
      </c>
      <c r="D29" s="174">
        <v>0</v>
      </c>
      <c r="E29" s="445">
        <v>0</v>
      </c>
      <c r="F29" s="446"/>
      <c r="G29" s="36"/>
      <c r="H29" s="36"/>
      <c r="I29" s="39"/>
      <c r="J29" s="39"/>
      <c r="K29" s="39"/>
      <c r="L29" s="39"/>
      <c r="M29" s="39"/>
      <c r="N29" s="38"/>
    </row>
    <row r="30" spans="1:14" ht="11.1" customHeight="1">
      <c r="A30" s="443" t="s">
        <v>8</v>
      </c>
      <c r="B30" s="444"/>
      <c r="C30" s="35" t="s">
        <v>6</v>
      </c>
      <c r="D30" s="103" t="s">
        <v>134</v>
      </c>
      <c r="E30" s="482" t="s">
        <v>134</v>
      </c>
      <c r="F30" s="440"/>
      <c r="G30" s="36"/>
      <c r="H30" s="36"/>
      <c r="I30" s="39"/>
      <c r="J30" s="39"/>
      <c r="K30" s="39"/>
      <c r="L30" s="39"/>
      <c r="M30" s="39"/>
      <c r="N30" s="38"/>
    </row>
    <row r="31" spans="1:14" ht="11.1" customHeight="1">
      <c r="A31" s="443" t="s">
        <v>9</v>
      </c>
      <c r="B31" s="444"/>
      <c r="C31" s="34" t="s">
        <v>1</v>
      </c>
      <c r="D31" s="36">
        <f ca="1">Hofmann!C8</f>
        <v>126</v>
      </c>
      <c r="E31" s="439">
        <f ca="1">Hofmann!D8</f>
        <v>201</v>
      </c>
      <c r="F31" s="440"/>
      <c r="G31" s="36"/>
      <c r="H31" s="36"/>
      <c r="I31" s="39"/>
      <c r="J31" s="39"/>
      <c r="K31" s="39"/>
      <c r="L31" s="39"/>
      <c r="M31" s="39"/>
      <c r="N31" s="392" t="s">
        <v>261</v>
      </c>
    </row>
    <row r="32" spans="1:14" ht="11.1" customHeight="1">
      <c r="A32" s="443" t="s">
        <v>10</v>
      </c>
      <c r="B32" s="444"/>
      <c r="C32" s="35" t="s">
        <v>6</v>
      </c>
      <c r="D32" s="36">
        <f>Hofmann!C9</f>
        <v>6.5</v>
      </c>
      <c r="E32" s="439">
        <f>Hofmann!D9</f>
        <v>6.5</v>
      </c>
      <c r="F32" s="440"/>
      <c r="G32" s="36"/>
      <c r="H32" s="36"/>
      <c r="I32" s="39"/>
      <c r="J32" s="39"/>
      <c r="K32" s="39"/>
      <c r="L32" s="39"/>
      <c r="M32" s="39"/>
      <c r="N32" s="40"/>
    </row>
    <row r="33" spans="1:16" ht="11.1" customHeight="1">
      <c r="A33" s="443" t="s">
        <v>11</v>
      </c>
      <c r="B33" s="444"/>
      <c r="C33" s="35" t="s">
        <v>12</v>
      </c>
      <c r="D33" s="389">
        <f ca="1">Hofmann!C11</f>
        <v>9</v>
      </c>
      <c r="E33" s="447">
        <f ca="1">Hofmann!D11</f>
        <v>4</v>
      </c>
      <c r="F33" s="448"/>
      <c r="G33" s="36"/>
      <c r="H33" s="36"/>
      <c r="I33" s="39"/>
      <c r="J33" s="39"/>
      <c r="K33" s="39"/>
      <c r="L33" s="39"/>
      <c r="M33" s="39"/>
      <c r="N33" s="34" t="s">
        <v>33</v>
      </c>
    </row>
    <row r="34" spans="1:16" ht="11.1" customHeight="1">
      <c r="A34" s="443" t="s">
        <v>13</v>
      </c>
      <c r="B34" s="444"/>
      <c r="C34" s="35" t="s">
        <v>12</v>
      </c>
      <c r="D34" s="36">
        <f ca="1">ROUND(D33*RANDBETWEEN(12,14)/10,0)</f>
        <v>13</v>
      </c>
      <c r="E34" s="439">
        <f ca="1">ROUND(E33*RANDBETWEEN(12,14)/10,0)</f>
        <v>5</v>
      </c>
      <c r="F34" s="440"/>
      <c r="G34" s="36"/>
      <c r="H34" s="36"/>
      <c r="I34" s="39"/>
      <c r="J34" s="39"/>
      <c r="K34" s="39"/>
      <c r="L34" s="39"/>
      <c r="M34" s="39"/>
      <c r="N34" s="34" t="s">
        <v>33</v>
      </c>
    </row>
    <row r="35" spans="1:16" ht="11.1" customHeight="1">
      <c r="A35" s="443" t="s">
        <v>14</v>
      </c>
      <c r="B35" s="444"/>
      <c r="C35" s="35" t="s">
        <v>12</v>
      </c>
      <c r="D35" s="36"/>
      <c r="E35" s="439"/>
      <c r="F35" s="440"/>
      <c r="G35" s="36"/>
      <c r="H35" s="36"/>
      <c r="I35" s="39"/>
      <c r="J35" s="39"/>
      <c r="K35" s="39"/>
      <c r="L35" s="39"/>
      <c r="M35" s="39"/>
      <c r="N35" s="34" t="s">
        <v>60</v>
      </c>
    </row>
    <row r="36" spans="1:16" ht="11.1" customHeight="1">
      <c r="A36" s="443" t="s">
        <v>15</v>
      </c>
      <c r="B36" s="444"/>
      <c r="C36" s="35" t="s">
        <v>12</v>
      </c>
      <c r="D36" s="36"/>
      <c r="E36" s="439"/>
      <c r="F36" s="440"/>
      <c r="G36" s="36"/>
      <c r="H36" s="36"/>
      <c r="I36" s="39"/>
      <c r="J36" s="39"/>
      <c r="K36" s="39"/>
      <c r="L36" s="39"/>
      <c r="M36" s="39"/>
      <c r="N36" s="34" t="s">
        <v>60</v>
      </c>
    </row>
    <row r="37" spans="1:16" ht="11.1" customHeight="1">
      <c r="A37" s="443" t="s">
        <v>16</v>
      </c>
      <c r="B37" s="444"/>
      <c r="C37" s="35" t="s">
        <v>17</v>
      </c>
      <c r="D37" s="36">
        <f ca="1">Hofmann!C14</f>
        <v>348</v>
      </c>
      <c r="E37" s="439">
        <f ca="1">Hofmann!D14</f>
        <v>392</v>
      </c>
      <c r="F37" s="440"/>
      <c r="G37" s="36"/>
      <c r="H37" s="36"/>
      <c r="I37" s="39"/>
      <c r="J37" s="39"/>
      <c r="K37" s="39"/>
      <c r="L37" s="39"/>
      <c r="M37" s="39"/>
      <c r="N37" s="40"/>
      <c r="P37" t="s">
        <v>142</v>
      </c>
    </row>
    <row r="38" spans="1:16" ht="11.1" customHeight="1">
      <c r="A38" s="443" t="s">
        <v>74</v>
      </c>
      <c r="B38" s="444"/>
      <c r="C38" s="35" t="s">
        <v>17</v>
      </c>
      <c r="D38" s="36">
        <f ca="1">Hofmann!C15</f>
        <v>317</v>
      </c>
      <c r="E38" s="439">
        <f ca="1">Hofmann!D15</f>
        <v>378</v>
      </c>
      <c r="F38" s="440"/>
      <c r="G38" s="36"/>
      <c r="H38" s="36"/>
      <c r="I38" s="39"/>
      <c r="J38" s="39"/>
      <c r="K38" s="39"/>
      <c r="L38" s="39"/>
      <c r="M38" s="39"/>
      <c r="N38" s="40"/>
    </row>
    <row r="39" spans="1:16" ht="11.1" customHeight="1">
      <c r="A39" s="443" t="s">
        <v>76</v>
      </c>
      <c r="B39" s="444"/>
      <c r="C39" s="35" t="s">
        <v>17</v>
      </c>
      <c r="D39" s="36">
        <f>Hofmann!C16</f>
        <v>665</v>
      </c>
      <c r="E39" s="439">
        <f>Hofmann!D16</f>
        <v>770</v>
      </c>
      <c r="F39" s="440"/>
      <c r="G39" s="36"/>
      <c r="H39" s="36"/>
      <c r="I39" s="39"/>
      <c r="J39" s="39"/>
      <c r="K39" s="39"/>
      <c r="L39" s="39"/>
      <c r="M39" s="39"/>
      <c r="N39" s="40"/>
    </row>
    <row r="40" spans="1:16" ht="11.1" customHeight="1">
      <c r="A40" s="443" t="s">
        <v>20</v>
      </c>
      <c r="B40" s="444"/>
      <c r="C40" s="35" t="s">
        <v>21</v>
      </c>
      <c r="D40" s="53">
        <f ca="1">Hofmann!C17</f>
        <v>0.126</v>
      </c>
      <c r="E40" s="441">
        <f ca="1">Hofmann!D17</f>
        <v>0.14499999999999999</v>
      </c>
      <c r="F40" s="442"/>
      <c r="G40" s="39"/>
      <c r="H40" s="39"/>
      <c r="I40" s="39"/>
      <c r="J40" s="39"/>
      <c r="K40" s="39"/>
      <c r="L40" s="39"/>
      <c r="M40" s="39"/>
      <c r="N40" s="102" t="s">
        <v>149</v>
      </c>
    </row>
    <row r="41" spans="1:16" ht="11.1" customHeight="1">
      <c r="A41" s="443" t="s">
        <v>22</v>
      </c>
      <c r="B41" s="444"/>
      <c r="C41" s="35" t="s">
        <v>21</v>
      </c>
      <c r="D41" s="53">
        <f ca="1">Hofmann!C18</f>
        <v>0.161</v>
      </c>
      <c r="E41" s="441">
        <f ca="1">Hofmann!D18</f>
        <v>0.16700000000000001</v>
      </c>
      <c r="F41" s="442"/>
      <c r="G41" s="39"/>
      <c r="H41" s="39"/>
      <c r="I41" s="39"/>
      <c r="J41" s="39"/>
      <c r="K41" s="39"/>
      <c r="L41" s="39"/>
      <c r="M41" s="39"/>
      <c r="N41" s="102" t="s">
        <v>149</v>
      </c>
    </row>
    <row r="42" spans="1:16" ht="11.1" customHeight="1">
      <c r="A42" s="443" t="s">
        <v>23</v>
      </c>
      <c r="B42" s="444"/>
      <c r="C42" s="35" t="s">
        <v>21</v>
      </c>
      <c r="D42" s="53">
        <f ca="1">Hofmann!C19</f>
        <v>0.1</v>
      </c>
      <c r="E42" s="441">
        <f ca="1">Hofmann!D19</f>
        <v>0.05</v>
      </c>
      <c r="F42" s="442"/>
      <c r="G42" s="39"/>
      <c r="H42" s="39"/>
      <c r="I42" s="39"/>
      <c r="J42" s="39"/>
      <c r="K42" s="39"/>
      <c r="L42" s="39"/>
      <c r="M42" s="39"/>
      <c r="N42" s="102" t="s">
        <v>136</v>
      </c>
    </row>
    <row r="43" spans="1:16" ht="10.15" customHeight="1">
      <c r="A43" s="22"/>
      <c r="B43" s="22"/>
      <c r="C43" s="22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6" ht="10.15" customHeight="1">
      <c r="A44" s="30"/>
      <c r="B44" s="30"/>
    </row>
    <row r="45" spans="1:16" ht="10.9" customHeight="1">
      <c r="A45" s="470" t="s">
        <v>24</v>
      </c>
      <c r="B45" s="470"/>
      <c r="C45" s="470"/>
      <c r="D45" s="437">
        <f ca="1">Hofmann!B21</f>
        <v>7605</v>
      </c>
      <c r="E45" s="438"/>
      <c r="F45" s="438"/>
      <c r="G45" s="43"/>
      <c r="H45" s="43"/>
      <c r="I45" s="43"/>
      <c r="J45" s="43"/>
      <c r="K45" s="43"/>
      <c r="L45" s="43"/>
      <c r="M45" s="43"/>
      <c r="N45" s="44"/>
    </row>
    <row r="46" spans="1:16" ht="10.9" customHeight="1">
      <c r="A46" s="470" t="s">
        <v>68</v>
      </c>
      <c r="B46" s="470"/>
      <c r="C46" s="470"/>
      <c r="D46" s="54">
        <f ca="1">Hofmann!B22/100</f>
        <v>0.54022951762938332</v>
      </c>
      <c r="E46" s="54"/>
      <c r="F46" s="43"/>
      <c r="G46" s="43"/>
      <c r="H46" s="43"/>
      <c r="I46" s="43"/>
      <c r="J46" s="43"/>
      <c r="K46" s="43"/>
      <c r="L46" s="43"/>
      <c r="M46" s="44"/>
      <c r="N46" s="46" t="s">
        <v>167</v>
      </c>
    </row>
    <row r="47" spans="1:16" ht="10.9" customHeight="1">
      <c r="A47" s="470" t="s">
        <v>69</v>
      </c>
      <c r="B47" s="470"/>
      <c r="C47" s="470"/>
      <c r="D47" s="43" t="str">
        <f>Hofmann!B23</f>
        <v>%</v>
      </c>
      <c r="E47" s="43"/>
      <c r="F47" s="43"/>
      <c r="G47" s="43"/>
      <c r="H47" s="43"/>
      <c r="I47" s="43"/>
      <c r="J47" s="43"/>
      <c r="K47" s="43"/>
      <c r="L47" s="43"/>
      <c r="M47" s="44"/>
      <c r="N47" s="51"/>
    </row>
    <row r="48" spans="1:16" ht="10.15" customHeight="1">
      <c r="A48" s="32"/>
      <c r="B48" s="32"/>
      <c r="C48" s="481"/>
      <c r="D48" s="481"/>
      <c r="E48" s="176"/>
      <c r="F48" s="33"/>
      <c r="G48" s="33"/>
      <c r="H48" s="33"/>
      <c r="I48" s="33"/>
      <c r="J48" s="33"/>
      <c r="K48" s="33"/>
      <c r="L48" s="33"/>
      <c r="M48" s="33"/>
      <c r="N48" s="192"/>
    </row>
    <row r="49" spans="1:14" ht="10.15" customHeight="1">
      <c r="A49" s="30"/>
      <c r="B49" s="30"/>
    </row>
    <row r="50" spans="1:14" ht="10.9" customHeight="1">
      <c r="A50" s="478" t="s">
        <v>28</v>
      </c>
      <c r="B50" s="478"/>
      <c r="C50" s="48"/>
      <c r="D50" s="49">
        <v>1</v>
      </c>
      <c r="E50" s="49"/>
      <c r="F50" s="49">
        <v>2</v>
      </c>
      <c r="G50" s="49">
        <v>3</v>
      </c>
      <c r="H50" s="49">
        <v>4</v>
      </c>
      <c r="I50" s="49">
        <v>5</v>
      </c>
      <c r="J50" s="49">
        <v>6</v>
      </c>
      <c r="K50" s="49">
        <v>7</v>
      </c>
      <c r="L50" s="49">
        <v>8</v>
      </c>
      <c r="M50" s="49">
        <v>9</v>
      </c>
      <c r="N50" s="47" t="s">
        <v>29</v>
      </c>
    </row>
    <row r="51" spans="1:14" ht="10.9" customHeight="1">
      <c r="A51" s="443" t="s">
        <v>30</v>
      </c>
      <c r="B51" s="444"/>
      <c r="C51" s="34" t="s">
        <v>1</v>
      </c>
      <c r="D51" s="36"/>
      <c r="E51" s="439">
        <f ca="1">Hofmann!D26</f>
        <v>1882</v>
      </c>
      <c r="F51" s="440"/>
      <c r="G51" s="36"/>
      <c r="H51" s="36"/>
      <c r="I51" s="37"/>
      <c r="J51" s="35"/>
      <c r="K51" s="35"/>
      <c r="L51" s="35"/>
      <c r="M51" s="35"/>
      <c r="N51" s="38"/>
    </row>
    <row r="52" spans="1:14" ht="10.9" customHeight="1">
      <c r="A52" s="443" t="s">
        <v>31</v>
      </c>
      <c r="B52" s="444"/>
      <c r="C52" s="34" t="s">
        <v>1</v>
      </c>
      <c r="D52" s="36"/>
      <c r="E52" s="439">
        <f ca="1">Hofmann!D27</f>
        <v>1814</v>
      </c>
      <c r="F52" s="440"/>
      <c r="G52" s="36"/>
      <c r="H52" s="35"/>
      <c r="I52" s="35"/>
      <c r="J52" s="35"/>
      <c r="K52" s="35"/>
      <c r="L52" s="35"/>
      <c r="M52" s="35"/>
      <c r="N52" s="38"/>
    </row>
    <row r="53" spans="1:14" ht="10.9" customHeight="1">
      <c r="A53" s="443" t="s">
        <v>32</v>
      </c>
      <c r="B53" s="444"/>
      <c r="C53" s="34" t="s">
        <v>12</v>
      </c>
      <c r="D53" s="35"/>
      <c r="E53" s="483"/>
      <c r="F53" s="484"/>
      <c r="G53" s="35"/>
      <c r="H53" s="35"/>
      <c r="I53" s="35"/>
      <c r="J53" s="35"/>
      <c r="K53" s="35"/>
      <c r="L53" s="35"/>
      <c r="M53" s="35"/>
      <c r="N53" s="106" t="s">
        <v>33</v>
      </c>
    </row>
    <row r="54" spans="1:14" ht="10.9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0.9" customHeight="1">
      <c r="A55" s="480" t="s">
        <v>25</v>
      </c>
      <c r="B55" s="480"/>
      <c r="C55" s="480"/>
      <c r="D55" s="489">
        <f ca="1">Hofmann!B31/100</f>
        <v>0.26254941448497054</v>
      </c>
      <c r="E55" s="489"/>
      <c r="F55" s="489"/>
      <c r="G55" s="489"/>
      <c r="H55" s="489"/>
      <c r="I55" s="489"/>
      <c r="J55" s="489"/>
      <c r="K55" s="489"/>
      <c r="L55" s="489"/>
      <c r="M55" s="489"/>
      <c r="N55" s="191" t="s">
        <v>135</v>
      </c>
    </row>
    <row r="56" spans="1:14" ht="10.9" customHeight="1">
      <c r="A56" s="480" t="s">
        <v>27</v>
      </c>
      <c r="B56" s="480"/>
      <c r="C56" s="480"/>
      <c r="D56" s="470" t="str">
        <f>Hofmann!B32</f>
        <v>%</v>
      </c>
      <c r="E56" s="470"/>
      <c r="F56" s="470"/>
      <c r="G56" s="470"/>
      <c r="H56" s="470"/>
      <c r="I56" s="470"/>
      <c r="J56" s="470"/>
      <c r="K56" s="470"/>
      <c r="L56" s="470"/>
      <c r="M56" s="470"/>
      <c r="N56" s="51"/>
    </row>
    <row r="57" spans="1:14">
      <c r="A57" s="476"/>
      <c r="B57" s="476"/>
      <c r="C57" s="476"/>
      <c r="D57" s="476"/>
      <c r="E57" s="476"/>
      <c r="F57" s="476"/>
      <c r="G57" s="476"/>
      <c r="H57" s="476"/>
      <c r="I57" s="476"/>
      <c r="J57" s="476"/>
    </row>
    <row r="58" spans="1:14" ht="10.15" customHeight="1" thickBot="1">
      <c r="A58" s="490" t="s">
        <v>70</v>
      </c>
      <c r="B58" s="490"/>
      <c r="C58" s="491"/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</row>
    <row r="59" spans="1:14" ht="13.5" thickTop="1">
      <c r="A59" s="476"/>
      <c r="B59" s="476"/>
      <c r="C59" s="476"/>
      <c r="D59" s="476"/>
      <c r="E59" s="476"/>
      <c r="F59" s="476"/>
      <c r="G59" s="476"/>
      <c r="H59" s="476"/>
      <c r="I59" s="476"/>
      <c r="J59" s="476"/>
    </row>
    <row r="60" spans="1:14" s="140" customFormat="1" ht="24" customHeight="1">
      <c r="A60" s="139" t="s">
        <v>111</v>
      </c>
      <c r="B60" s="139"/>
      <c r="K60" s="141"/>
      <c r="L60" s="141"/>
      <c r="M60" s="141"/>
      <c r="N60" s="141"/>
    </row>
    <row r="61" spans="1:14" ht="24" customHeight="1">
      <c r="A61" s="133"/>
      <c r="B61" s="133"/>
      <c r="C61" s="133"/>
      <c r="D61" s="133"/>
      <c r="E61" s="133"/>
      <c r="F61" s="133"/>
      <c r="G61" s="133"/>
      <c r="H61" s="134"/>
      <c r="I61" s="134"/>
      <c r="J61" s="134"/>
      <c r="K61" s="52"/>
      <c r="L61" s="52"/>
      <c r="M61" s="52"/>
      <c r="N61" s="52"/>
    </row>
    <row r="62" spans="1:14" ht="23.25" customHeight="1">
      <c r="A62" s="488" t="s">
        <v>61</v>
      </c>
      <c r="B62" s="488"/>
      <c r="C62" s="488"/>
      <c r="D62" s="133"/>
      <c r="E62" s="133"/>
      <c r="F62" s="133"/>
      <c r="G62" s="133"/>
      <c r="H62" s="134"/>
      <c r="I62" s="134"/>
      <c r="J62" s="487" t="s">
        <v>62</v>
      </c>
      <c r="K62" s="487"/>
      <c r="L62" s="487"/>
      <c r="M62" s="52"/>
      <c r="N62" s="52"/>
    </row>
    <row r="63" spans="1:14" ht="12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77" t="s">
        <v>65</v>
      </c>
      <c r="K63" s="477"/>
      <c r="L63" s="477"/>
      <c r="M63" s="486" t="s">
        <v>104</v>
      </c>
      <c r="N63" s="486"/>
    </row>
    <row r="64" spans="1:14" ht="12.75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8.25" hidden="1" customHeight="1">
      <c r="A65" s="32"/>
      <c r="B65" s="32"/>
      <c r="C65" s="475"/>
      <c r="D65" s="475"/>
      <c r="E65" s="32"/>
      <c r="F65" s="32"/>
      <c r="G65" s="475"/>
      <c r="H65" s="475"/>
      <c r="I65" s="475"/>
      <c r="J65" s="475"/>
      <c r="K65" s="33"/>
      <c r="L65" s="33"/>
      <c r="M65" s="33"/>
      <c r="N65" s="33"/>
    </row>
    <row r="66" spans="1:14" ht="12" customHeight="1"/>
    <row r="67" spans="1:14" ht="12" customHeight="1"/>
  </sheetData>
  <sheetProtection sheet="1"/>
  <mergeCells count="98">
    <mergeCell ref="E53:F53"/>
    <mergeCell ref="E36:F36"/>
    <mergeCell ref="C64:D64"/>
    <mergeCell ref="J64:L64"/>
    <mergeCell ref="M64:N64"/>
    <mergeCell ref="J62:L62"/>
    <mergeCell ref="A62:C62"/>
    <mergeCell ref="D55:M55"/>
    <mergeCell ref="D56:M56"/>
    <mergeCell ref="A57:J57"/>
    <mergeCell ref="M63:N63"/>
    <mergeCell ref="J63:L63"/>
    <mergeCell ref="A58:N58"/>
    <mergeCell ref="A55:C55"/>
    <mergeCell ref="A39:B39"/>
    <mergeCell ref="C65:D65"/>
    <mergeCell ref="A53:B53"/>
    <mergeCell ref="A46:C46"/>
    <mergeCell ref="A47:C47"/>
    <mergeCell ref="A52:B52"/>
    <mergeCell ref="G65:H65"/>
    <mergeCell ref="I65:J65"/>
    <mergeCell ref="A59:J59"/>
    <mergeCell ref="C63:D63"/>
    <mergeCell ref="A18:G18"/>
    <mergeCell ref="A25:B25"/>
    <mergeCell ref="A26:B26"/>
    <mergeCell ref="A27:B27"/>
    <mergeCell ref="A38:B38"/>
    <mergeCell ref="A50:B50"/>
    <mergeCell ref="A23:B23"/>
    <mergeCell ref="A29:B29"/>
    <mergeCell ref="A36:B36"/>
    <mergeCell ref="A37:B37"/>
    <mergeCell ref="A56:C56"/>
    <mergeCell ref="C48:D48"/>
    <mergeCell ref="A51:B51"/>
    <mergeCell ref="A2:M2"/>
    <mergeCell ref="A5:B5"/>
    <mergeCell ref="C5:D5"/>
    <mergeCell ref="F6:G6"/>
    <mergeCell ref="L4:N4"/>
    <mergeCell ref="K5:N5"/>
    <mergeCell ref="M6:N6"/>
    <mergeCell ref="F5:G5"/>
    <mergeCell ref="G4:H4"/>
    <mergeCell ref="E27:F27"/>
    <mergeCell ref="A42:B42"/>
    <mergeCell ref="A45:C45"/>
    <mergeCell ref="D4:F4"/>
    <mergeCell ref="B9:C9"/>
    <mergeCell ref="B11:F11"/>
    <mergeCell ref="H17:J17"/>
    <mergeCell ref="A17:G17"/>
    <mergeCell ref="H16:J16"/>
    <mergeCell ref="E24:F24"/>
    <mergeCell ref="A19:G19"/>
    <mergeCell ref="A24:B24"/>
    <mergeCell ref="H10:J10"/>
    <mergeCell ref="H12:J12"/>
    <mergeCell ref="H15:I15"/>
    <mergeCell ref="H7:J7"/>
    <mergeCell ref="B8:G8"/>
    <mergeCell ref="H8:K8"/>
    <mergeCell ref="H14:J14"/>
    <mergeCell ref="B12:C12"/>
    <mergeCell ref="K11:M11"/>
    <mergeCell ref="K12:L12"/>
    <mergeCell ref="B10:C10"/>
    <mergeCell ref="A40:B40"/>
    <mergeCell ref="E25:F25"/>
    <mergeCell ref="E26:F26"/>
    <mergeCell ref="A7:G7"/>
    <mergeCell ref="A28:B28"/>
    <mergeCell ref="A31:B31"/>
    <mergeCell ref="E30:F30"/>
    <mergeCell ref="E31:F31"/>
    <mergeCell ref="A33:B33"/>
    <mergeCell ref="A34:B34"/>
    <mergeCell ref="A35:B35"/>
    <mergeCell ref="E40:F40"/>
    <mergeCell ref="A32:B32"/>
    <mergeCell ref="A41:B41"/>
    <mergeCell ref="A30:B30"/>
    <mergeCell ref="E29:F29"/>
    <mergeCell ref="E42:F42"/>
    <mergeCell ref="E28:F28"/>
    <mergeCell ref="E32:F32"/>
    <mergeCell ref="E33:F33"/>
    <mergeCell ref="E37:F37"/>
    <mergeCell ref="E38:F38"/>
    <mergeCell ref="E39:F39"/>
    <mergeCell ref="D45:F45"/>
    <mergeCell ref="E34:F34"/>
    <mergeCell ref="E51:F51"/>
    <mergeCell ref="E52:F52"/>
    <mergeCell ref="E41:F41"/>
    <mergeCell ref="E35:F35"/>
  </mergeCells>
  <phoneticPr fontId="3" type="noConversion"/>
  <pageMargins left="0.59055118110236227" right="0.23622047244094491" top="0.35433070866141736" bottom="0.35433070866141736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C1" zoomScaleNormal="100" workbookViewId="0">
      <selection activeCell="P21" sqref="P21"/>
    </sheetView>
  </sheetViews>
  <sheetFormatPr defaultRowHeight="12.75"/>
  <cols>
    <col min="1" max="1" width="20.85546875" style="5" customWidth="1"/>
    <col min="2" max="2" width="9.140625" style="5"/>
    <col min="3" max="3" width="10.5703125" style="5" bestFit="1" customWidth="1"/>
    <col min="4" max="5" width="9.140625" style="5"/>
    <col min="6" max="6" width="17.42578125" style="5" customWidth="1"/>
    <col min="7" max="16" width="9.140625" style="5"/>
    <col min="17" max="17" width="9.140625" style="5" customWidth="1"/>
    <col min="18" max="18" width="13.28515625" style="5" customWidth="1"/>
    <col min="19" max="19" width="14.7109375" style="5" customWidth="1"/>
    <col min="20" max="16384" width="9.140625" style="5"/>
  </cols>
  <sheetData>
    <row r="1" spans="1:23" ht="40.5" customHeight="1" thickBot="1">
      <c r="A1" s="1" t="s">
        <v>0</v>
      </c>
      <c r="B1" s="2" t="s">
        <v>1</v>
      </c>
      <c r="C1" s="18">
        <f ca="1">R11</f>
        <v>3355</v>
      </c>
      <c r="D1" s="18">
        <f ca="1">S11</f>
        <v>4463</v>
      </c>
      <c r="E1" s="3"/>
      <c r="F1" s="4">
        <f ca="1">ROUND(B21*0.55+RAND()*0.14,0)</f>
        <v>9063</v>
      </c>
      <c r="G1" s="230"/>
      <c r="H1" s="6" t="s">
        <v>38</v>
      </c>
      <c r="I1" s="7" t="s">
        <v>39</v>
      </c>
      <c r="J1" s="7" t="s">
        <v>40</v>
      </c>
      <c r="K1" s="7" t="s">
        <v>41</v>
      </c>
      <c r="L1" s="231"/>
      <c r="M1" s="232" t="s">
        <v>93</v>
      </c>
      <c r="N1" s="246"/>
      <c r="O1" s="247"/>
      <c r="Q1" s="249" t="s">
        <v>38</v>
      </c>
      <c r="R1" s="250" t="s">
        <v>39</v>
      </c>
      <c r="S1" s="250" t="s">
        <v>40</v>
      </c>
      <c r="T1" s="231"/>
      <c r="U1" s="247"/>
    </row>
    <row r="2" spans="1:23" ht="13.5" thickBot="1">
      <c r="A2" s="8" t="s">
        <v>72</v>
      </c>
      <c r="B2" s="9" t="s">
        <v>1</v>
      </c>
      <c r="C2" s="19">
        <f ca="1">R12</f>
        <v>3800</v>
      </c>
      <c r="D2" s="19">
        <f ca="1">S12</f>
        <v>4860</v>
      </c>
      <c r="E2" s="10"/>
      <c r="F2" s="4">
        <f ca="1">B21-F1</f>
        <v>7415</v>
      </c>
      <c r="G2" s="234">
        <f ca="1">ROUND(H2*(0.95+RAND()*0.1),0)</f>
        <v>19772</v>
      </c>
      <c r="H2" s="162">
        <v>19000</v>
      </c>
      <c r="I2" s="163">
        <v>7100</v>
      </c>
      <c r="J2" s="163">
        <v>10000</v>
      </c>
      <c r="K2" s="58" t="s">
        <v>37</v>
      </c>
      <c r="L2" s="235"/>
      <c r="M2" s="87" t="s">
        <v>94</v>
      </c>
      <c r="N2" s="125"/>
      <c r="O2" s="239"/>
      <c r="Q2" s="251"/>
      <c r="R2" s="252">
        <v>1350</v>
      </c>
      <c r="S2" s="252">
        <v>1759</v>
      </c>
      <c r="T2" s="253" t="s">
        <v>157</v>
      </c>
      <c r="U2" s="239">
        <f xml:space="preserve"> R2+S2</f>
        <v>3109</v>
      </c>
    </row>
    <row r="3" spans="1:23" ht="25.5" customHeight="1" thickBot="1">
      <c r="A3" s="8" t="s">
        <v>3</v>
      </c>
      <c r="B3" s="9" t="s">
        <v>1</v>
      </c>
      <c r="C3" s="19">
        <f ca="1">ROUND((RAND()*180+170),0)</f>
        <v>278</v>
      </c>
      <c r="D3" s="19">
        <f ca="1">ROUND((RAND()*180+170),0)</f>
        <v>297</v>
      </c>
      <c r="E3" s="10"/>
      <c r="F3" s="12">
        <f ca="1">ROUND(J5*B31*9.81/100,0)</f>
        <v>33254</v>
      </c>
      <c r="G3" s="59" t="s">
        <v>73</v>
      </c>
      <c r="H3" s="432"/>
      <c r="I3" s="432"/>
      <c r="J3" s="432"/>
      <c r="K3" s="432"/>
      <c r="L3" s="433" t="s">
        <v>95</v>
      </c>
      <c r="M3" s="433"/>
      <c r="N3" s="125"/>
      <c r="O3" s="239"/>
      <c r="Q3" s="237"/>
      <c r="R3" s="235">
        <f ca="1">ROUND(R2*(0.45+RAND()*0.1),0)</f>
        <v>633</v>
      </c>
      <c r="S3" s="235">
        <f ca="1">ROUND(S2*(0.45+RAND()*0.1),0)</f>
        <v>842</v>
      </c>
      <c r="T3" s="235"/>
      <c r="U3" s="239"/>
    </row>
    <row r="4" spans="1:23" ht="16.5" customHeight="1" thickBot="1">
      <c r="A4" s="8" t="s">
        <v>4</v>
      </c>
      <c r="B4" s="9" t="s">
        <v>1</v>
      </c>
      <c r="C4" s="19">
        <f ca="1">ROUND((RAND()*180+170),0)</f>
        <v>185</v>
      </c>
      <c r="D4" s="19">
        <f ca="1">ROUND((RAND()*180+170),0)</f>
        <v>285</v>
      </c>
      <c r="E4" s="10"/>
      <c r="F4" s="4"/>
      <c r="G4" s="237"/>
      <c r="H4" s="235"/>
      <c r="I4" s="235" t="s">
        <v>44</v>
      </c>
      <c r="J4" s="235" t="s">
        <v>45</v>
      </c>
      <c r="K4" s="235"/>
      <c r="L4" s="235"/>
      <c r="M4" s="87" t="s">
        <v>99</v>
      </c>
      <c r="N4" s="125">
        <v>2.5</v>
      </c>
      <c r="O4" s="239"/>
      <c r="Q4" s="240"/>
      <c r="R4" s="241">
        <f ca="1">R2-R3</f>
        <v>717</v>
      </c>
      <c r="S4" s="241">
        <f ca="1">S2-S3</f>
        <v>917</v>
      </c>
      <c r="T4" s="241"/>
      <c r="U4" s="242"/>
    </row>
    <row r="5" spans="1:23" ht="16.5" customHeight="1" thickBot="1">
      <c r="A5" s="8" t="s">
        <v>5</v>
      </c>
      <c r="B5" s="9" t="s">
        <v>6</v>
      </c>
      <c r="C5" s="19">
        <v>0</v>
      </c>
      <c r="D5" s="19">
        <v>0</v>
      </c>
      <c r="E5" s="10"/>
      <c r="F5" s="4"/>
      <c r="G5" s="237"/>
      <c r="H5" s="235" t="s">
        <v>42</v>
      </c>
      <c r="I5" s="235">
        <f ca="1">ROUND(I2*(0.8+RAND()*0.2),0)</f>
        <v>5917</v>
      </c>
      <c r="J5" s="235">
        <f ca="1">G2-I5</f>
        <v>13855</v>
      </c>
      <c r="K5" s="235"/>
      <c r="L5" s="492" t="s">
        <v>100</v>
      </c>
      <c r="M5" s="493"/>
      <c r="N5" s="222" t="s">
        <v>150</v>
      </c>
      <c r="O5" s="248" t="s">
        <v>157</v>
      </c>
    </row>
    <row r="6" spans="1:23" ht="18.75" customHeight="1" thickBot="1">
      <c r="A6" s="8" t="s">
        <v>7</v>
      </c>
      <c r="B6" s="13" t="s">
        <v>6</v>
      </c>
      <c r="C6" s="19">
        <v>0</v>
      </c>
      <c r="D6" s="19">
        <v>0</v>
      </c>
      <c r="E6" s="10"/>
      <c r="G6" s="237" t="s">
        <v>43</v>
      </c>
      <c r="H6" s="235" t="s">
        <v>35</v>
      </c>
      <c r="I6" s="235">
        <f ca="1">ROUND(I5*(0.45+RAND()*0.1),0)</f>
        <v>2695</v>
      </c>
      <c r="J6" s="235">
        <f ca="1">ROUND(J5*(0.45+RAND()*0.1),0)</f>
        <v>7443</v>
      </c>
      <c r="K6" s="235"/>
      <c r="L6" s="235"/>
      <c r="M6" s="235"/>
      <c r="N6" s="235"/>
      <c r="O6" s="239"/>
    </row>
    <row r="7" spans="1:23" ht="17.25" customHeight="1" thickBot="1">
      <c r="A7" s="8" t="s">
        <v>8</v>
      </c>
      <c r="B7" s="13" t="s">
        <v>6</v>
      </c>
      <c r="C7" s="19">
        <v>0</v>
      </c>
      <c r="D7" s="19">
        <v>0</v>
      </c>
      <c r="E7" s="10"/>
      <c r="G7" s="240"/>
      <c r="H7" s="241" t="s">
        <v>36</v>
      </c>
      <c r="I7" s="241">
        <f ca="1">I5-I6</f>
        <v>3222</v>
      </c>
      <c r="J7" s="241">
        <f ca="1">J5-J6</f>
        <v>6412</v>
      </c>
      <c r="K7" s="241"/>
      <c r="L7" s="241"/>
      <c r="M7" s="241"/>
      <c r="N7" s="241"/>
      <c r="O7" s="242"/>
      <c r="Q7" s="230"/>
      <c r="R7" s="154" t="s">
        <v>46</v>
      </c>
      <c r="S7" s="231"/>
      <c r="T7" s="231"/>
      <c r="U7" s="231"/>
      <c r="V7" s="247"/>
    </row>
    <row r="8" spans="1:23" ht="18" customHeight="1" thickBot="1">
      <c r="A8" s="8" t="s">
        <v>9</v>
      </c>
      <c r="B8" s="9" t="s">
        <v>1</v>
      </c>
      <c r="C8" s="19">
        <f ca="1">RANDBETWEEN(81,236)</f>
        <v>86</v>
      </c>
      <c r="D8" s="19">
        <f ca="1">RANDBETWEEN(81,236)</f>
        <v>133</v>
      </c>
      <c r="E8" s="10"/>
      <c r="M8" s="5">
        <f ca="1">C1+C2+D1+D2</f>
        <v>16478</v>
      </c>
      <c r="Q8" s="237"/>
      <c r="R8" s="235">
        <f ca="1">ROUND(ABS((R11-R12)/MAX(R11:R12))*100,0)</f>
        <v>12</v>
      </c>
      <c r="S8" s="235">
        <f ca="1">ROUND(ABS((S11-S12)/MAX(S11:S12))*100,0)</f>
        <v>8</v>
      </c>
      <c r="T8" s="235"/>
      <c r="U8" s="235"/>
      <c r="V8" s="239"/>
    </row>
    <row r="9" spans="1:23" ht="16.5" customHeight="1" thickBot="1">
      <c r="A9" s="8" t="s">
        <v>10</v>
      </c>
      <c r="B9" s="13" t="s">
        <v>6</v>
      </c>
      <c r="C9" s="19">
        <v>6.5</v>
      </c>
      <c r="D9" s="19">
        <v>6.5</v>
      </c>
      <c r="E9" s="10"/>
      <c r="Q9" s="237"/>
      <c r="R9" s="235"/>
      <c r="S9" s="235"/>
      <c r="T9" s="235"/>
      <c r="U9" s="235"/>
      <c r="V9" s="239"/>
    </row>
    <row r="10" spans="1:23" ht="24" customHeight="1" thickBot="1">
      <c r="A10" s="8" t="s">
        <v>11</v>
      </c>
      <c r="B10" s="13" t="s">
        <v>12</v>
      </c>
      <c r="C10" s="19"/>
      <c r="D10" s="19"/>
      <c r="E10" s="10"/>
      <c r="I10" s="5" t="s">
        <v>46</v>
      </c>
      <c r="Q10" s="237"/>
      <c r="R10" s="235" t="s">
        <v>119</v>
      </c>
      <c r="S10" s="235"/>
      <c r="T10" s="235"/>
      <c r="U10" s="235"/>
      <c r="V10" s="239"/>
    </row>
    <row r="11" spans="1:23" ht="13.5" thickBot="1">
      <c r="A11" s="8" t="s">
        <v>13</v>
      </c>
      <c r="B11" s="13" t="s">
        <v>12</v>
      </c>
      <c r="C11" s="19">
        <f ca="1">R8</f>
        <v>12</v>
      </c>
      <c r="D11" s="19">
        <f ca="1">S8</f>
        <v>8</v>
      </c>
      <c r="E11" s="10"/>
      <c r="I11" s="5">
        <f ca="1">ROUND(ABS((C1-C2)/MAX(C1:C2))*100,0)</f>
        <v>12</v>
      </c>
      <c r="J11" s="5">
        <f ca="1">ROUND(ABS((D1-D2)/MAX(D1:D2))*100,0)</f>
        <v>8</v>
      </c>
      <c r="M11" s="5">
        <f ca="1">C1+C2+D1+D2</f>
        <v>16478</v>
      </c>
      <c r="Q11" s="237"/>
      <c r="R11" s="235">
        <f ca="1">ROUND(R3*U11/10+RAND()*0.1,0)</f>
        <v>3355</v>
      </c>
      <c r="S11" s="235">
        <f ca="1">ROUND(S3*U11/10+RAND()*0.1,0)</f>
        <v>4463</v>
      </c>
      <c r="T11" s="235">
        <f ca="1">R11+R12+S11+S12</f>
        <v>16478</v>
      </c>
      <c r="U11" s="252">
        <v>53</v>
      </c>
      <c r="V11" s="248" t="s">
        <v>157</v>
      </c>
    </row>
    <row r="12" spans="1:23" ht="13.5" thickBot="1">
      <c r="A12" s="8" t="s">
        <v>14</v>
      </c>
      <c r="B12" s="13" t="s">
        <v>12</v>
      </c>
      <c r="C12" s="19"/>
      <c r="D12" s="19"/>
      <c r="E12" s="10"/>
      <c r="M12" s="5">
        <f>C16+D16</f>
        <v>3109</v>
      </c>
      <c r="N12" s="5">
        <f ca="1">M11/M12*9.81</f>
        <v>51.993946606625926</v>
      </c>
      <c r="Q12" s="237"/>
      <c r="R12" s="235">
        <f ca="1">ROUND(R4*U11/10+RAND()*0.1,0)</f>
        <v>3800</v>
      </c>
      <c r="S12" s="235">
        <f ca="1">ROUND(S4*U11/10+RAND()*0.1,0)</f>
        <v>4860</v>
      </c>
      <c r="T12" s="235">
        <f>R2+S2</f>
        <v>3109</v>
      </c>
      <c r="U12" s="254">
        <f ca="1">(T11/T12/9.81)*100</f>
        <v>54.027487197242948</v>
      </c>
      <c r="V12" s="239"/>
    </row>
    <row r="13" spans="1:23" ht="18" customHeight="1" thickBot="1">
      <c r="A13" s="8" t="s">
        <v>15</v>
      </c>
      <c r="B13" s="13" t="s">
        <v>12</v>
      </c>
      <c r="C13" s="19"/>
      <c r="D13" s="19"/>
      <c r="E13" s="10"/>
      <c r="F13" s="5" t="s">
        <v>113</v>
      </c>
      <c r="G13" s="84">
        <f ca="1">C1+C2+D1+D2</f>
        <v>16478</v>
      </c>
      <c r="Q13" s="237"/>
      <c r="R13" s="235"/>
      <c r="S13" s="235"/>
      <c r="T13" s="235"/>
      <c r="U13" s="235"/>
      <c r="V13" s="239"/>
    </row>
    <row r="14" spans="1:23" ht="13.5" thickBot="1">
      <c r="A14" s="8" t="s">
        <v>16</v>
      </c>
      <c r="B14" s="13" t="s">
        <v>17</v>
      </c>
      <c r="C14" s="19">
        <f ca="1">R3</f>
        <v>633</v>
      </c>
      <c r="D14" s="19">
        <f ca="1">S3</f>
        <v>842</v>
      </c>
      <c r="E14" s="10"/>
      <c r="F14" s="5" t="s">
        <v>114</v>
      </c>
      <c r="G14" s="5">
        <f ca="1">C14+D14+C15+D15</f>
        <v>3109</v>
      </c>
      <c r="H14" s="5">
        <f ca="1">ROUND(G13/G14*9.81,0)</f>
        <v>52</v>
      </c>
      <c r="Q14" s="237"/>
      <c r="R14" s="235" t="s">
        <v>120</v>
      </c>
      <c r="S14" s="235"/>
      <c r="T14" s="235"/>
      <c r="U14" s="235"/>
      <c r="V14" s="239"/>
    </row>
    <row r="15" spans="1:23" ht="22.5" customHeight="1" thickBot="1">
      <c r="A15" s="8" t="s">
        <v>18</v>
      </c>
      <c r="B15" s="13" t="s">
        <v>17</v>
      </c>
      <c r="C15" s="19">
        <f ca="1">R4</f>
        <v>717</v>
      </c>
      <c r="D15" s="19">
        <f ca="1">S4</f>
        <v>917</v>
      </c>
      <c r="E15" s="10"/>
      <c r="Q15" s="237"/>
      <c r="R15" s="235">
        <f ca="1">ROUND(R3*U15/10+RAND()*0.1,0)</f>
        <v>1519</v>
      </c>
      <c r="S15" s="235">
        <f ca="1">ROUND(S3*U15/10+RAND()*0.1,0)</f>
        <v>2021</v>
      </c>
      <c r="T15" s="235">
        <f ca="1">S15+S16+R15+R16</f>
        <v>7462</v>
      </c>
      <c r="U15" s="252">
        <v>24</v>
      </c>
      <c r="V15" s="248" t="s">
        <v>157</v>
      </c>
    </row>
    <row r="16" spans="1:23" ht="13.5" thickBot="1">
      <c r="A16" s="8" t="s">
        <v>19</v>
      </c>
      <c r="B16" s="13" t="s">
        <v>17</v>
      </c>
      <c r="C16" s="19">
        <f>R2</f>
        <v>1350</v>
      </c>
      <c r="D16" s="19">
        <f>S2</f>
        <v>1759</v>
      </c>
      <c r="E16" s="10"/>
      <c r="I16" s="188"/>
      <c r="Q16" s="240"/>
      <c r="R16" s="241">
        <f ca="1">ROUND(R4*U15/10+RAND()*0.1,0)</f>
        <v>1721</v>
      </c>
      <c r="S16" s="241">
        <f ca="1">ROUND(S4*U15/10+RAND()*0.1,0)</f>
        <v>2201</v>
      </c>
      <c r="T16" s="241">
        <f>T12</f>
        <v>3109</v>
      </c>
      <c r="U16" s="255">
        <f ca="1">(T15/T16/9.81)*100</f>
        <v>24.466143310221319</v>
      </c>
      <c r="V16" s="242"/>
      <c r="W16" s="169"/>
    </row>
    <row r="17" spans="1:12" ht="22.5" customHeight="1" thickBot="1">
      <c r="A17" s="8" t="s">
        <v>20</v>
      </c>
      <c r="B17" s="13" t="s">
        <v>21</v>
      </c>
      <c r="C17" s="20">
        <f ca="1">RANDBETWEEN(111,300)/1000</f>
        <v>0.27600000000000002</v>
      </c>
      <c r="D17" s="20">
        <f ca="1">RANDBETWEEN(111,300)/1000</f>
        <v>0.245</v>
      </c>
      <c r="E17" s="10"/>
      <c r="J17" s="196">
        <f ca="1">RANDBETWEEN(75,224)</f>
        <v>137</v>
      </c>
    </row>
    <row r="18" spans="1:12" ht="16.5" customHeight="1" thickBot="1">
      <c r="A18" s="8" t="s">
        <v>22</v>
      </c>
      <c r="B18" s="13" t="s">
        <v>21</v>
      </c>
      <c r="C18" s="20">
        <f ca="1">RANDBETWEEN(111,300)/1000</f>
        <v>0.11799999999999999</v>
      </c>
      <c r="D18" s="20">
        <f ca="1">RANDBETWEEN(111,300)/1000</f>
        <v>0.25</v>
      </c>
      <c r="E18" s="10"/>
    </row>
    <row r="19" spans="1:12" ht="17.25" customHeight="1" thickBot="1">
      <c r="A19" s="8" t="s">
        <v>23</v>
      </c>
      <c r="B19" s="13" t="s">
        <v>21</v>
      </c>
      <c r="C19" s="20">
        <f ca="1">0.05+ROUND(RAND()*1,0)*0.05</f>
        <v>0.1</v>
      </c>
      <c r="D19" s="20">
        <f ca="1">0.05+ROUND(RAND()*2,0)*0.05</f>
        <v>0.15000000000000002</v>
      </c>
      <c r="E19" s="10"/>
    </row>
    <row r="20" spans="1:12" ht="13.5" thickBot="1"/>
    <row r="21" spans="1:12" ht="20.25" customHeight="1" thickBot="1">
      <c r="A21" s="1" t="s">
        <v>24</v>
      </c>
      <c r="B21" s="430">
        <f ca="1">T11</f>
        <v>16478</v>
      </c>
      <c r="C21" s="431"/>
    </row>
    <row r="22" spans="1:12" ht="19.5" customHeight="1" thickBot="1">
      <c r="A22" s="8" t="s">
        <v>25</v>
      </c>
      <c r="B22" s="172">
        <f ca="1">U12</f>
        <v>54.027487197242948</v>
      </c>
      <c r="C22" s="9" t="s">
        <v>26</v>
      </c>
      <c r="E22" s="5">
        <v>56</v>
      </c>
    </row>
    <row r="23" spans="1:12" ht="16.5" customHeight="1" thickBot="1">
      <c r="A23" s="8" t="s">
        <v>27</v>
      </c>
      <c r="B23" s="13" t="s">
        <v>12</v>
      </c>
      <c r="C23" s="15"/>
    </row>
    <row r="25" spans="1:12" ht="24.75" thickBot="1">
      <c r="A25" s="16" t="s">
        <v>28</v>
      </c>
      <c r="B25" s="16"/>
      <c r="C25" s="16">
        <v>1</v>
      </c>
      <c r="D25" s="16">
        <v>2</v>
      </c>
      <c r="E25" s="16">
        <v>3</v>
      </c>
      <c r="F25" s="16">
        <v>4</v>
      </c>
      <c r="G25" s="16">
        <v>5</v>
      </c>
      <c r="H25" s="16">
        <v>6</v>
      </c>
      <c r="I25" s="16">
        <v>7</v>
      </c>
      <c r="J25" s="16">
        <v>8</v>
      </c>
      <c r="K25" s="16">
        <v>9</v>
      </c>
      <c r="L25" s="17" t="s">
        <v>29</v>
      </c>
    </row>
    <row r="26" spans="1:12" ht="14.25" customHeight="1" thickBot="1">
      <c r="A26" s="8" t="s">
        <v>30</v>
      </c>
      <c r="B26" s="9" t="s">
        <v>1</v>
      </c>
      <c r="C26" s="197">
        <f ca="1">R15</f>
        <v>1519</v>
      </c>
      <c r="D26" s="18">
        <f ca="1">S15</f>
        <v>2021</v>
      </c>
      <c r="E26" s="13"/>
      <c r="F26" s="13"/>
      <c r="G26" s="13"/>
      <c r="H26" s="13"/>
      <c r="I26" s="13"/>
      <c r="J26" s="13"/>
      <c r="K26" s="13"/>
      <c r="L26" s="15"/>
    </row>
    <row r="27" spans="1:12" ht="13.5" thickBot="1">
      <c r="A27" s="8" t="s">
        <v>31</v>
      </c>
      <c r="B27" s="9" t="s">
        <v>1</v>
      </c>
      <c r="C27" s="197">
        <f ca="1">R16</f>
        <v>1721</v>
      </c>
      <c r="D27" s="19">
        <f ca="1">S16</f>
        <v>2201</v>
      </c>
      <c r="E27" s="13"/>
      <c r="F27" s="13"/>
      <c r="G27" s="13"/>
      <c r="H27" s="13"/>
      <c r="I27" s="13"/>
      <c r="J27" s="13"/>
      <c r="K27" s="13"/>
      <c r="L27" s="15"/>
    </row>
    <row r="28" spans="1:12" ht="13.5" thickBot="1">
      <c r="A28" s="8" t="s">
        <v>32</v>
      </c>
      <c r="B28" s="9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 t="s">
        <v>33</v>
      </c>
    </row>
    <row r="30" spans="1:12" ht="13.5" thickBot="1"/>
    <row r="31" spans="1:12" ht="13.5" thickBot="1">
      <c r="A31" s="1" t="s">
        <v>25</v>
      </c>
      <c r="B31" s="172">
        <f ca="1">U16</f>
        <v>24.466143310221319</v>
      </c>
      <c r="C31" s="2" t="s">
        <v>34</v>
      </c>
    </row>
    <row r="32" spans="1:12" ht="13.5" thickBot="1">
      <c r="A32" s="8" t="s">
        <v>27</v>
      </c>
      <c r="B32" s="13" t="s">
        <v>12</v>
      </c>
      <c r="C32" s="13"/>
    </row>
  </sheetData>
  <mergeCells count="4">
    <mergeCell ref="H3:K3"/>
    <mergeCell ref="L3:M3"/>
    <mergeCell ref="L5:M5"/>
    <mergeCell ref="B21:C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view="pageBreakPreview" topLeftCell="A6" zoomScale="60" zoomScaleNormal="85" workbookViewId="0">
      <selection activeCell="R41" sqref="R41"/>
    </sheetView>
  </sheetViews>
  <sheetFormatPr defaultRowHeight="12.75"/>
  <cols>
    <col min="1" max="1" width="8" customWidth="1"/>
    <col min="2" max="2" width="11.28515625" customWidth="1"/>
    <col min="3" max="3" width="4.5703125" customWidth="1"/>
    <col min="4" max="4" width="6.42578125" customWidth="1"/>
    <col min="5" max="5" width="0.28515625" customWidth="1"/>
    <col min="6" max="6" width="6.28515625" customWidth="1"/>
    <col min="7" max="13" width="6.42578125" customWidth="1"/>
    <col min="14" max="14" width="8.7109375" customWidth="1"/>
  </cols>
  <sheetData>
    <row r="2" spans="1:14" s="31" customFormat="1" ht="18.75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</row>
    <row r="3" spans="1:14" s="31" customFormat="1" ht="18.7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0.9" customHeight="1">
      <c r="A4" s="41" t="s">
        <v>48</v>
      </c>
      <c r="B4" s="179">
        <f ca="1">NOW()</f>
        <v>44834.790105208333</v>
      </c>
      <c r="C4" s="57"/>
      <c r="D4" s="471" t="s">
        <v>129</v>
      </c>
      <c r="E4" s="471"/>
      <c r="F4" s="471"/>
      <c r="G4" s="469">
        <v>0.66871527777777784</v>
      </c>
      <c r="H4" s="469"/>
      <c r="I4" s="57"/>
      <c r="J4" s="57"/>
      <c r="K4" s="126"/>
      <c r="L4" s="464" t="s">
        <v>106</v>
      </c>
      <c r="M4" s="464"/>
      <c r="N4" s="464"/>
    </row>
    <row r="5" spans="1:14" ht="10.9" customHeight="1">
      <c r="A5" s="460" t="s">
        <v>49</v>
      </c>
      <c r="B5" s="460"/>
      <c r="C5" s="461">
        <f ca="1">B4</f>
        <v>44834.790105208333</v>
      </c>
      <c r="D5" s="461"/>
      <c r="E5" s="178" t="s">
        <v>130</v>
      </c>
      <c r="F5" s="467">
        <f>G4</f>
        <v>0.66871527777777784</v>
      </c>
      <c r="G5" s="467"/>
      <c r="H5" s="55"/>
      <c r="I5" s="55"/>
      <c r="J5" s="55"/>
      <c r="K5" s="465" t="s">
        <v>107</v>
      </c>
      <c r="L5" s="465"/>
      <c r="M5" s="465"/>
      <c r="N5" s="465"/>
    </row>
    <row r="6" spans="1:14" ht="10.9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</row>
    <row r="7" spans="1:14" ht="10.9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4" ht="10.9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 t="s">
        <v>155</v>
      </c>
      <c r="I8" s="456"/>
      <c r="J8" s="456"/>
      <c r="K8" s="456"/>
      <c r="L8" s="183"/>
      <c r="M8" s="185"/>
    </row>
    <row r="9" spans="1:14" ht="10.9" customHeight="1">
      <c r="A9" s="94" t="s">
        <v>51</v>
      </c>
      <c r="B9" s="455" t="s">
        <v>138</v>
      </c>
      <c r="C9" s="472"/>
      <c r="D9" s="180"/>
      <c r="E9" s="180"/>
      <c r="F9" s="180"/>
      <c r="G9" s="181"/>
      <c r="H9" s="186" t="s">
        <v>154</v>
      </c>
      <c r="I9" s="185"/>
      <c r="J9" s="185"/>
      <c r="K9" s="185"/>
      <c r="L9" s="185"/>
      <c r="M9" s="185"/>
    </row>
    <row r="10" spans="1:14" ht="10.9" customHeight="1">
      <c r="A10" s="94" t="s">
        <v>53</v>
      </c>
      <c r="B10" s="449" t="s">
        <v>139</v>
      </c>
      <c r="C10" s="449"/>
      <c r="D10" s="180"/>
      <c r="E10" s="180"/>
      <c r="F10" s="180"/>
      <c r="G10" s="180"/>
      <c r="H10" s="451" t="s">
        <v>152</v>
      </c>
      <c r="I10" s="451"/>
      <c r="J10" s="451"/>
      <c r="K10" s="183"/>
      <c r="L10" s="183"/>
      <c r="M10" s="185"/>
    </row>
    <row r="11" spans="1:14" ht="10.9" customHeight="1">
      <c r="A11" s="23" t="s">
        <v>54</v>
      </c>
      <c r="B11" s="449" t="s">
        <v>148</v>
      </c>
      <c r="C11" s="449"/>
      <c r="D11" s="449"/>
      <c r="E11" s="449"/>
      <c r="F11" s="449"/>
      <c r="G11" s="180"/>
      <c r="H11" s="186" t="s">
        <v>153</v>
      </c>
      <c r="I11" s="185"/>
      <c r="J11" s="185"/>
      <c r="K11" s="473" t="str">
        <f>Hofmann!N5</f>
        <v>7777</v>
      </c>
      <c r="L11" s="473"/>
      <c r="M11" s="473"/>
    </row>
    <row r="12" spans="1:14" ht="10.9" customHeight="1">
      <c r="A12" s="23"/>
      <c r="B12" s="449" t="s">
        <v>137</v>
      </c>
      <c r="C12" s="449"/>
      <c r="D12" s="93"/>
      <c r="E12" s="93"/>
      <c r="F12" s="93"/>
      <c r="G12" s="182"/>
      <c r="H12" s="452"/>
      <c r="I12" s="452"/>
      <c r="J12" s="452"/>
      <c r="K12" s="474"/>
      <c r="L12" s="474"/>
      <c r="M12" s="184"/>
      <c r="N12" s="164"/>
    </row>
    <row r="13" spans="1:14" ht="10.9" customHeight="1">
      <c r="G13" s="93"/>
      <c r="H13" s="94"/>
      <c r="I13" s="94"/>
      <c r="J13" s="94"/>
      <c r="K13" s="185"/>
      <c r="L13" s="185"/>
      <c r="M13" s="185"/>
    </row>
    <row r="14" spans="1:14" ht="10.9" customHeight="1">
      <c r="H14" s="452" t="s">
        <v>133</v>
      </c>
      <c r="I14" s="452"/>
      <c r="J14" s="452"/>
      <c r="K14" s="94"/>
      <c r="L14" s="94"/>
      <c r="M14" s="185"/>
    </row>
    <row r="15" spans="1:14" ht="10.9" customHeight="1">
      <c r="A15" s="23"/>
      <c r="B15" s="23"/>
      <c r="C15" s="23"/>
      <c r="D15" s="42"/>
      <c r="E15" s="42"/>
      <c r="F15" s="42"/>
      <c r="G15" s="42"/>
      <c r="H15" s="453" t="s">
        <v>151</v>
      </c>
      <c r="I15" s="453"/>
      <c r="J15" s="94"/>
      <c r="K15" s="94"/>
      <c r="L15" s="94"/>
      <c r="M15" s="185"/>
    </row>
    <row r="16" spans="1:14" ht="10.9" customHeight="1">
      <c r="A16" s="23"/>
      <c r="B16" s="23"/>
      <c r="C16" s="23"/>
      <c r="D16" s="42"/>
      <c r="E16" s="42"/>
      <c r="F16" s="42"/>
      <c r="G16" s="42"/>
      <c r="H16" s="453"/>
      <c r="I16" s="453"/>
      <c r="J16" s="453"/>
      <c r="K16" s="94"/>
      <c r="L16" s="94"/>
      <c r="M16" s="185"/>
    </row>
    <row r="17" spans="1:14" ht="10.9" customHeight="1">
      <c r="A17" s="458"/>
      <c r="B17" s="458"/>
      <c r="C17" s="458"/>
      <c r="D17" s="458"/>
      <c r="E17" s="458"/>
      <c r="F17" s="458"/>
      <c r="G17" s="458"/>
      <c r="H17" s="457"/>
      <c r="I17" s="457"/>
      <c r="J17" s="457"/>
      <c r="K17" s="56"/>
      <c r="L17" s="56"/>
    </row>
    <row r="18" spans="1:14" ht="10.9" customHeight="1">
      <c r="A18" s="458"/>
      <c r="B18" s="458"/>
      <c r="C18" s="458"/>
      <c r="D18" s="458"/>
      <c r="E18" s="458"/>
      <c r="F18" s="458"/>
      <c r="G18" s="458"/>
      <c r="H18" s="42"/>
      <c r="I18" s="42"/>
      <c r="J18" s="45"/>
      <c r="K18" s="45"/>
      <c r="L18" s="45"/>
    </row>
    <row r="19" spans="1:14" ht="10.9" customHeight="1">
      <c r="A19" s="458"/>
      <c r="B19" s="458"/>
      <c r="C19" s="458"/>
      <c r="D19" s="458"/>
      <c r="E19" s="458"/>
      <c r="F19" s="458"/>
      <c r="G19" s="458"/>
      <c r="H19" s="42"/>
      <c r="I19" s="42"/>
      <c r="J19" s="45"/>
      <c r="K19" s="45"/>
      <c r="L19" s="45"/>
    </row>
    <row r="20" spans="1:14" ht="10.1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4" ht="14.25">
      <c r="A21" s="27" t="s">
        <v>55</v>
      </c>
      <c r="B21" s="27"/>
    </row>
    <row r="22" spans="1:14" ht="14.25">
      <c r="A22" s="28"/>
      <c r="B22" s="28"/>
    </row>
    <row r="23" spans="1:14" ht="10.9" customHeight="1">
      <c r="A23" s="479" t="s">
        <v>56</v>
      </c>
      <c r="B23" s="479"/>
      <c r="C23" s="130"/>
      <c r="D23" s="131">
        <v>1</v>
      </c>
      <c r="E23" s="131"/>
      <c r="F23" s="131">
        <v>2</v>
      </c>
      <c r="G23" s="131">
        <v>3</v>
      </c>
      <c r="H23" s="131">
        <v>4</v>
      </c>
      <c r="I23" s="131">
        <v>5</v>
      </c>
      <c r="J23" s="131">
        <v>6</v>
      </c>
      <c r="K23" s="131">
        <v>7</v>
      </c>
      <c r="L23" s="131">
        <v>8</v>
      </c>
      <c r="M23" s="131">
        <v>9</v>
      </c>
      <c r="N23" s="132" t="s">
        <v>29</v>
      </c>
    </row>
    <row r="24" spans="1:14" ht="11.1" customHeight="1">
      <c r="A24" s="443" t="s">
        <v>0</v>
      </c>
      <c r="B24" s="444"/>
      <c r="C24" s="34" t="s">
        <v>1</v>
      </c>
      <c r="D24" s="36">
        <f ca="1">Hofm2осі_2СГС!C1</f>
        <v>3355</v>
      </c>
      <c r="E24" s="439">
        <f ca="1">Hofm2осі_2СГС!D1</f>
        <v>4463</v>
      </c>
      <c r="F24" s="440"/>
      <c r="G24" s="36"/>
      <c r="H24" s="36"/>
      <c r="I24" s="39"/>
      <c r="J24" s="39"/>
      <c r="K24" s="39"/>
      <c r="L24" s="39"/>
      <c r="M24" s="39"/>
      <c r="N24" s="38"/>
    </row>
    <row r="25" spans="1:14" ht="11.1" customHeight="1">
      <c r="A25" s="443" t="s">
        <v>2</v>
      </c>
      <c r="B25" s="444"/>
      <c r="C25" s="34" t="s">
        <v>1</v>
      </c>
      <c r="D25" s="36">
        <f ca="1">Hofm2осі_2СГС!C2</f>
        <v>3800</v>
      </c>
      <c r="E25" s="439">
        <f ca="1">Hofm2осі_2СГС!D2</f>
        <v>4860</v>
      </c>
      <c r="F25" s="440"/>
      <c r="G25" s="36"/>
      <c r="H25" s="36"/>
      <c r="I25" s="39"/>
      <c r="J25" s="39"/>
      <c r="K25" s="39"/>
      <c r="L25" s="39"/>
      <c r="M25" s="39"/>
      <c r="N25" s="38"/>
    </row>
    <row r="26" spans="1:14" ht="11.1" customHeight="1">
      <c r="A26" s="443" t="s">
        <v>3</v>
      </c>
      <c r="B26" s="444"/>
      <c r="C26" s="34" t="s">
        <v>1</v>
      </c>
      <c r="D26" s="36">
        <f ca="1">Hofm2осі_2СГС!C3</f>
        <v>278</v>
      </c>
      <c r="E26" s="439">
        <f ca="1">Hofm2осі_2СГС!D3</f>
        <v>297</v>
      </c>
      <c r="F26" s="440"/>
      <c r="G26" s="36"/>
      <c r="H26" s="36"/>
      <c r="I26" s="39"/>
      <c r="J26" s="39"/>
      <c r="K26" s="39"/>
      <c r="L26" s="39"/>
      <c r="M26" s="39"/>
      <c r="N26" s="38"/>
    </row>
    <row r="27" spans="1:14" ht="11.1" customHeight="1">
      <c r="A27" s="443" t="s">
        <v>75</v>
      </c>
      <c r="B27" s="444"/>
      <c r="C27" s="34" t="s">
        <v>1</v>
      </c>
      <c r="D27" s="36">
        <f ca="1">Hofm2осі_2СГС!C4</f>
        <v>185</v>
      </c>
      <c r="E27" s="439">
        <f ca="1">Hofm2осі_2СГС!D4</f>
        <v>285</v>
      </c>
      <c r="F27" s="440"/>
      <c r="G27" s="36"/>
      <c r="H27" s="36"/>
      <c r="I27" s="39"/>
      <c r="J27" s="39"/>
      <c r="K27" s="39"/>
      <c r="L27" s="39"/>
      <c r="M27" s="39"/>
      <c r="N27" s="38"/>
    </row>
    <row r="28" spans="1:14" ht="11.1" customHeight="1">
      <c r="A28" s="443" t="s">
        <v>5</v>
      </c>
      <c r="B28" s="444"/>
      <c r="C28" s="34" t="s">
        <v>6</v>
      </c>
      <c r="D28" s="36"/>
      <c r="E28" s="439"/>
      <c r="F28" s="440"/>
      <c r="G28" s="36"/>
      <c r="H28" s="36"/>
      <c r="I28" s="39"/>
      <c r="J28" s="39"/>
      <c r="K28" s="39"/>
      <c r="L28" s="39"/>
      <c r="M28" s="39"/>
      <c r="N28" s="38"/>
    </row>
    <row r="29" spans="1:14" ht="11.1" customHeight="1">
      <c r="A29" s="443" t="s">
        <v>7</v>
      </c>
      <c r="B29" s="444"/>
      <c r="C29" s="35" t="s">
        <v>6</v>
      </c>
      <c r="D29" s="103" t="s">
        <v>134</v>
      </c>
      <c r="E29" s="482" t="s">
        <v>134</v>
      </c>
      <c r="F29" s="494"/>
      <c r="G29" s="36"/>
      <c r="H29" s="36"/>
      <c r="I29" s="39"/>
      <c r="J29" s="39"/>
      <c r="K29" s="39"/>
      <c r="L29" s="39"/>
      <c r="M29" s="39"/>
      <c r="N29" s="38"/>
    </row>
    <row r="30" spans="1:14" ht="11.1" customHeight="1">
      <c r="A30" s="443" t="s">
        <v>8</v>
      </c>
      <c r="B30" s="444"/>
      <c r="C30" s="35" t="s">
        <v>6</v>
      </c>
      <c r="D30" s="103" t="s">
        <v>134</v>
      </c>
      <c r="E30" s="482" t="s">
        <v>134</v>
      </c>
      <c r="F30" s="440"/>
      <c r="G30" s="36"/>
      <c r="H30" s="36"/>
      <c r="I30" s="39"/>
      <c r="J30" s="39"/>
      <c r="K30" s="39"/>
      <c r="L30" s="39"/>
      <c r="M30" s="39"/>
      <c r="N30" s="38"/>
    </row>
    <row r="31" spans="1:14" ht="11.1" customHeight="1">
      <c r="A31" s="443" t="s">
        <v>9</v>
      </c>
      <c r="B31" s="444"/>
      <c r="C31" s="34" t="s">
        <v>1</v>
      </c>
      <c r="D31" s="36">
        <f ca="1">Hofm2осі_2СГС!C8</f>
        <v>86</v>
      </c>
      <c r="E31" s="439">
        <f ca="1">Hofm2осі_2СГС!D8</f>
        <v>133</v>
      </c>
      <c r="F31" s="440"/>
      <c r="G31" s="36"/>
      <c r="H31" s="36"/>
      <c r="I31" s="39"/>
      <c r="J31" s="39"/>
      <c r="K31" s="39"/>
      <c r="L31" s="39"/>
      <c r="M31" s="39"/>
      <c r="N31" s="102" t="s">
        <v>59</v>
      </c>
    </row>
    <row r="32" spans="1:14" ht="11.1" customHeight="1">
      <c r="A32" s="443" t="s">
        <v>10</v>
      </c>
      <c r="B32" s="444"/>
      <c r="C32" s="35" t="s">
        <v>6</v>
      </c>
      <c r="D32" s="36">
        <f>Hofmann!C9</f>
        <v>6.5</v>
      </c>
      <c r="E32" s="439">
        <f>Hofmann!D9</f>
        <v>6.5</v>
      </c>
      <c r="F32" s="440"/>
      <c r="G32" s="36"/>
      <c r="H32" s="36"/>
      <c r="I32" s="39"/>
      <c r="J32" s="39"/>
      <c r="K32" s="39"/>
      <c r="L32" s="39"/>
      <c r="M32" s="39"/>
      <c r="N32" s="40"/>
    </row>
    <row r="33" spans="1:17" ht="11.1" customHeight="1">
      <c r="A33" s="443" t="s">
        <v>11</v>
      </c>
      <c r="B33" s="444"/>
      <c r="C33" s="35" t="s">
        <v>12</v>
      </c>
      <c r="D33" s="389">
        <f ca="1">Hofm2осі_2СГС!C11</f>
        <v>12</v>
      </c>
      <c r="E33" s="447">
        <f ca="1">Hofm2осі_2СГС!D11</f>
        <v>8</v>
      </c>
      <c r="F33" s="448"/>
      <c r="G33" s="36"/>
      <c r="H33" s="36"/>
      <c r="I33" s="39"/>
      <c r="J33" s="39"/>
      <c r="K33" s="39"/>
      <c r="L33" s="39"/>
      <c r="M33" s="39"/>
      <c r="N33" s="34" t="s">
        <v>33</v>
      </c>
    </row>
    <row r="34" spans="1:17" ht="11.1" customHeight="1">
      <c r="A34" s="443" t="s">
        <v>13</v>
      </c>
      <c r="B34" s="444"/>
      <c r="C34" s="35" t="s">
        <v>12</v>
      </c>
      <c r="D34" s="36">
        <f ca="1">ROUND(D33*RANDBETWEEN(12,14)/10,0)</f>
        <v>16</v>
      </c>
      <c r="E34" s="439">
        <f ca="1">ROUND(E33*RANDBETWEEN(12,14)/10,0)</f>
        <v>10</v>
      </c>
      <c r="F34" s="440"/>
      <c r="G34" s="36"/>
      <c r="H34" s="36"/>
      <c r="I34" s="39"/>
      <c r="J34" s="39"/>
      <c r="K34" s="39"/>
      <c r="L34" s="39"/>
      <c r="M34" s="39"/>
      <c r="N34" s="34" t="s">
        <v>33</v>
      </c>
      <c r="Q34">
        <f ca="1">ROUND(D33*RANDBETWEEN(12,14)/10,0)</f>
        <v>16</v>
      </c>
    </row>
    <row r="35" spans="1:17" ht="11.1" customHeight="1">
      <c r="A35" s="443" t="s">
        <v>14</v>
      </c>
      <c r="B35" s="444"/>
      <c r="C35" s="35" t="s">
        <v>12</v>
      </c>
      <c r="D35" s="36"/>
      <c r="E35" s="439"/>
      <c r="F35" s="440"/>
      <c r="G35" s="36"/>
      <c r="H35" s="36"/>
      <c r="I35" s="39"/>
      <c r="J35" s="39"/>
      <c r="K35" s="39"/>
      <c r="L35" s="39"/>
      <c r="M35" s="39"/>
      <c r="N35" s="34" t="s">
        <v>60</v>
      </c>
    </row>
    <row r="36" spans="1:17" ht="11.1" customHeight="1">
      <c r="A36" s="443" t="s">
        <v>15</v>
      </c>
      <c r="B36" s="444"/>
      <c r="C36" s="35" t="s">
        <v>12</v>
      </c>
      <c r="D36" s="36"/>
      <c r="E36" s="439"/>
      <c r="F36" s="440"/>
      <c r="G36" s="36"/>
      <c r="H36" s="36"/>
      <c r="I36" s="39"/>
      <c r="J36" s="39"/>
      <c r="K36" s="39"/>
      <c r="L36" s="39"/>
      <c r="M36" s="39"/>
      <c r="N36" s="34" t="s">
        <v>60</v>
      </c>
    </row>
    <row r="37" spans="1:17" ht="11.1" customHeight="1">
      <c r="A37" s="443" t="s">
        <v>16</v>
      </c>
      <c r="B37" s="444"/>
      <c r="C37" s="35" t="s">
        <v>17</v>
      </c>
      <c r="D37" s="36">
        <f ca="1">Hofm2осі_2СГС!C14</f>
        <v>633</v>
      </c>
      <c r="E37" s="439">
        <f ca="1">Hofm2осі_2СГС!D14</f>
        <v>842</v>
      </c>
      <c r="F37" s="440"/>
      <c r="G37" s="36"/>
      <c r="H37" s="36"/>
      <c r="I37" s="39"/>
      <c r="J37" s="39"/>
      <c r="K37" s="39"/>
      <c r="L37" s="39"/>
      <c r="M37" s="39"/>
      <c r="N37" s="40"/>
      <c r="P37" t="s">
        <v>142</v>
      </c>
    </row>
    <row r="38" spans="1:17" ht="11.1" customHeight="1">
      <c r="A38" s="443" t="s">
        <v>74</v>
      </c>
      <c r="B38" s="444"/>
      <c r="C38" s="35" t="s">
        <v>17</v>
      </c>
      <c r="D38" s="36">
        <f ca="1">Hofm2осі_2СГС!C15</f>
        <v>717</v>
      </c>
      <c r="E38" s="439">
        <f ca="1">Hofm2осі_2СГС!D15</f>
        <v>917</v>
      </c>
      <c r="F38" s="440"/>
      <c r="G38" s="36"/>
      <c r="H38" s="36"/>
      <c r="I38" s="39"/>
      <c r="J38" s="39"/>
      <c r="K38" s="39"/>
      <c r="L38" s="39"/>
      <c r="M38" s="39"/>
      <c r="N38" s="40"/>
    </row>
    <row r="39" spans="1:17" ht="11.1" customHeight="1">
      <c r="A39" s="443" t="s">
        <v>76</v>
      </c>
      <c r="B39" s="444"/>
      <c r="C39" s="35" t="s">
        <v>17</v>
      </c>
      <c r="D39" s="36">
        <f>Hofm2осі_2СГС!C16</f>
        <v>1350</v>
      </c>
      <c r="E39" s="439">
        <f>Hofm2осі_2СГС!D16</f>
        <v>1759</v>
      </c>
      <c r="F39" s="440"/>
      <c r="G39" s="36"/>
      <c r="H39" s="36"/>
      <c r="I39" s="39"/>
      <c r="J39" s="39"/>
      <c r="K39" s="39"/>
      <c r="L39" s="39"/>
      <c r="M39" s="39"/>
      <c r="N39" s="40"/>
    </row>
    <row r="40" spans="1:17" ht="11.1" customHeight="1">
      <c r="A40" s="443" t="s">
        <v>20</v>
      </c>
      <c r="B40" s="444"/>
      <c r="C40" s="35" t="s">
        <v>21</v>
      </c>
      <c r="D40" s="53">
        <f ca="1">Hofm2осі_2СГС!C17</f>
        <v>0.27600000000000002</v>
      </c>
      <c r="E40" s="441">
        <f ca="1">Hofm2осі_2СГС!D17</f>
        <v>0.245</v>
      </c>
      <c r="F40" s="442"/>
      <c r="G40" s="39"/>
      <c r="H40" s="39"/>
      <c r="I40" s="39"/>
      <c r="J40" s="39"/>
      <c r="K40" s="39"/>
      <c r="L40" s="39"/>
      <c r="M40" s="39"/>
      <c r="N40" s="102" t="s">
        <v>149</v>
      </c>
    </row>
    <row r="41" spans="1:17" ht="11.1" customHeight="1">
      <c r="A41" s="443" t="s">
        <v>22</v>
      </c>
      <c r="B41" s="444"/>
      <c r="C41" s="35" t="s">
        <v>21</v>
      </c>
      <c r="D41" s="53">
        <f ca="1">Hofm2осі_2СГС!C18</f>
        <v>0.11799999999999999</v>
      </c>
      <c r="E41" s="441">
        <f ca="1">Hofm2осі_2СГС!D18</f>
        <v>0.25</v>
      </c>
      <c r="F41" s="442"/>
      <c r="G41" s="39"/>
      <c r="H41" s="39"/>
      <c r="I41" s="39"/>
      <c r="J41" s="39"/>
      <c r="K41" s="39"/>
      <c r="L41" s="39"/>
      <c r="M41" s="39"/>
      <c r="N41" s="102" t="s">
        <v>149</v>
      </c>
    </row>
    <row r="42" spans="1:17" ht="11.1" customHeight="1">
      <c r="A42" s="443" t="s">
        <v>23</v>
      </c>
      <c r="B42" s="444"/>
      <c r="C42" s="35" t="s">
        <v>21</v>
      </c>
      <c r="D42" s="53">
        <f ca="1">Hofm2осі_2СГС!C19</f>
        <v>0.1</v>
      </c>
      <c r="E42" s="441">
        <f ca="1">Hofm2осі_2СГС!D19</f>
        <v>0.15000000000000002</v>
      </c>
      <c r="F42" s="442"/>
      <c r="G42" s="39"/>
      <c r="H42" s="39"/>
      <c r="I42" s="39"/>
      <c r="J42" s="39"/>
      <c r="K42" s="39"/>
      <c r="L42" s="39"/>
      <c r="M42" s="39"/>
      <c r="N42" s="102" t="s">
        <v>136</v>
      </c>
    </row>
    <row r="43" spans="1:17" ht="10.15" customHeight="1">
      <c r="A43" s="22"/>
      <c r="B43" s="22"/>
      <c r="C43" s="22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7" ht="10.15" customHeight="1">
      <c r="A44" s="30"/>
      <c r="B44" s="30"/>
    </row>
    <row r="45" spans="1:17" ht="10.9" customHeight="1">
      <c r="A45" s="470" t="s">
        <v>24</v>
      </c>
      <c r="B45" s="470"/>
      <c r="C45" s="470"/>
      <c r="D45" s="193">
        <f ca="1">Hofm2осі_2СГС!B21</f>
        <v>16478</v>
      </c>
      <c r="E45" s="43"/>
      <c r="F45" s="43"/>
      <c r="G45" s="43"/>
      <c r="H45" s="43"/>
      <c r="I45" s="43"/>
      <c r="J45" s="43"/>
      <c r="K45" s="43"/>
      <c r="L45" s="43"/>
      <c r="M45" s="43"/>
      <c r="N45" s="44"/>
    </row>
    <row r="46" spans="1:17" ht="10.9" customHeight="1">
      <c r="A46" s="470" t="s">
        <v>68</v>
      </c>
      <c r="B46" s="470"/>
      <c r="C46" s="470"/>
      <c r="D46" s="54">
        <f ca="1">Hofm2осі_2СГС!B22/100</f>
        <v>0.54027487197242952</v>
      </c>
      <c r="E46" s="54"/>
      <c r="F46" s="43"/>
      <c r="G46" s="43"/>
      <c r="H46" s="43"/>
      <c r="I46" s="43"/>
      <c r="J46" s="43"/>
      <c r="K46" s="43"/>
      <c r="L46" s="43"/>
      <c r="M46" s="44"/>
      <c r="N46" s="46" t="s">
        <v>115</v>
      </c>
    </row>
    <row r="47" spans="1:17" ht="10.9" customHeight="1">
      <c r="A47" s="470" t="s">
        <v>69</v>
      </c>
      <c r="B47" s="470"/>
      <c r="C47" s="470"/>
      <c r="D47" s="43" t="str">
        <f>Hofmann!B23</f>
        <v>%</v>
      </c>
      <c r="E47" s="43"/>
      <c r="F47" s="43"/>
      <c r="G47" s="43"/>
      <c r="H47" s="43"/>
      <c r="I47" s="43"/>
      <c r="J47" s="43"/>
      <c r="K47" s="43"/>
      <c r="L47" s="43"/>
      <c r="M47" s="44"/>
      <c r="N47" s="51"/>
    </row>
    <row r="48" spans="1:17" ht="10.15" customHeight="1">
      <c r="A48" s="32"/>
      <c r="B48" s="32"/>
      <c r="C48" s="481"/>
      <c r="D48" s="481"/>
      <c r="E48" s="176"/>
      <c r="F48" s="33"/>
      <c r="G48" s="33"/>
      <c r="H48" s="33"/>
      <c r="I48" s="33"/>
      <c r="J48" s="33"/>
      <c r="K48" s="33"/>
      <c r="L48" s="33"/>
      <c r="M48" s="33"/>
      <c r="N48" s="192"/>
    </row>
    <row r="49" spans="1:14" ht="10.15" customHeight="1">
      <c r="A49" s="30"/>
      <c r="B49" s="30"/>
    </row>
    <row r="50" spans="1:14" ht="10.9" customHeight="1">
      <c r="A50" s="478" t="s">
        <v>28</v>
      </c>
      <c r="B50" s="478"/>
      <c r="C50" s="48"/>
      <c r="D50" s="49">
        <v>1</v>
      </c>
      <c r="E50" s="49"/>
      <c r="F50" s="49">
        <v>2</v>
      </c>
      <c r="G50" s="49">
        <v>3</v>
      </c>
      <c r="H50" s="49">
        <v>4</v>
      </c>
      <c r="I50" s="49">
        <v>5</v>
      </c>
      <c r="J50" s="49">
        <v>6</v>
      </c>
      <c r="K50" s="49">
        <v>7</v>
      </c>
      <c r="L50" s="49">
        <v>8</v>
      </c>
      <c r="M50" s="49">
        <v>9</v>
      </c>
      <c r="N50" s="47" t="s">
        <v>29</v>
      </c>
    </row>
    <row r="51" spans="1:14" ht="10.9" customHeight="1">
      <c r="A51" s="443" t="s">
        <v>30</v>
      </c>
      <c r="B51" s="444"/>
      <c r="C51" s="34" t="s">
        <v>1</v>
      </c>
      <c r="D51" s="36">
        <f ca="1">Hofm2осі_2СГС!C26</f>
        <v>1519</v>
      </c>
      <c r="E51" s="439">
        <f ca="1">Hofm2осі_2СГС!D26</f>
        <v>2021</v>
      </c>
      <c r="F51" s="440"/>
      <c r="G51" s="36"/>
      <c r="H51" s="36"/>
      <c r="I51" s="37"/>
      <c r="J51" s="35"/>
      <c r="K51" s="35"/>
      <c r="L51" s="35"/>
      <c r="M51" s="35"/>
      <c r="N51" s="38"/>
    </row>
    <row r="52" spans="1:14" ht="10.9" customHeight="1">
      <c r="A52" s="443" t="s">
        <v>31</v>
      </c>
      <c r="B52" s="444"/>
      <c r="C52" s="34" t="s">
        <v>1</v>
      </c>
      <c r="D52" s="36">
        <f ca="1">Hofm2осі_2СГС!C27</f>
        <v>1721</v>
      </c>
      <c r="E52" s="439">
        <f ca="1">Hofm2осі_2СГС!D27</f>
        <v>2201</v>
      </c>
      <c r="F52" s="440"/>
      <c r="G52" s="36"/>
      <c r="H52" s="35"/>
      <c r="I52" s="35"/>
      <c r="J52" s="35"/>
      <c r="K52" s="35"/>
      <c r="L52" s="35"/>
      <c r="M52" s="35"/>
      <c r="N52" s="38"/>
    </row>
    <row r="53" spans="1:14" ht="10.9" customHeight="1">
      <c r="A53" s="443" t="s">
        <v>32</v>
      </c>
      <c r="B53" s="444"/>
      <c r="C53" s="34" t="s">
        <v>12</v>
      </c>
      <c r="D53" s="35"/>
      <c r="E53" s="483"/>
      <c r="F53" s="484"/>
      <c r="G53" s="35"/>
      <c r="H53" s="35"/>
      <c r="I53" s="35"/>
      <c r="J53" s="35"/>
      <c r="K53" s="35"/>
      <c r="L53" s="35"/>
      <c r="M53" s="35"/>
      <c r="N53" s="106" t="s">
        <v>33</v>
      </c>
    </row>
    <row r="54" spans="1:14" ht="10.9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0.9" customHeight="1">
      <c r="A55" s="480" t="s">
        <v>25</v>
      </c>
      <c r="B55" s="480"/>
      <c r="C55" s="480"/>
      <c r="D55" s="489">
        <f ca="1">Hofm2осі_2СГС!B31/100</f>
        <v>0.24466143310221319</v>
      </c>
      <c r="E55" s="489"/>
      <c r="F55" s="489"/>
      <c r="G55" s="489"/>
      <c r="H55" s="489"/>
      <c r="I55" s="489"/>
      <c r="J55" s="489"/>
      <c r="K55" s="489"/>
      <c r="L55" s="489"/>
      <c r="M55" s="489"/>
      <c r="N55" s="191" t="s">
        <v>135</v>
      </c>
    </row>
    <row r="56" spans="1:14" ht="10.9" customHeight="1">
      <c r="A56" s="480" t="s">
        <v>27</v>
      </c>
      <c r="B56" s="480"/>
      <c r="C56" s="480"/>
      <c r="D56" s="470" t="str">
        <f>Hofmann!B32</f>
        <v>%</v>
      </c>
      <c r="E56" s="470"/>
      <c r="F56" s="470"/>
      <c r="G56" s="470"/>
      <c r="H56" s="470"/>
      <c r="I56" s="470"/>
      <c r="J56" s="470"/>
      <c r="K56" s="470"/>
      <c r="L56" s="470"/>
      <c r="M56" s="470"/>
      <c r="N56" s="51"/>
    </row>
    <row r="57" spans="1:14">
      <c r="A57" s="476"/>
      <c r="B57" s="476"/>
      <c r="C57" s="476"/>
      <c r="D57" s="476"/>
      <c r="E57" s="476"/>
      <c r="F57" s="476"/>
      <c r="G57" s="476"/>
      <c r="H57" s="476"/>
      <c r="I57" s="476"/>
      <c r="J57" s="476"/>
    </row>
    <row r="58" spans="1:14" ht="10.15" customHeight="1" thickBot="1">
      <c r="A58" s="490" t="s">
        <v>70</v>
      </c>
      <c r="B58" s="490"/>
      <c r="C58" s="491"/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</row>
    <row r="59" spans="1:14" ht="13.5" thickTop="1">
      <c r="A59" s="476"/>
      <c r="B59" s="476"/>
      <c r="C59" s="476"/>
      <c r="D59" s="476"/>
      <c r="E59" s="476"/>
      <c r="F59" s="476"/>
      <c r="G59" s="476"/>
      <c r="H59" s="476"/>
      <c r="I59" s="476"/>
      <c r="J59" s="476"/>
    </row>
    <row r="60" spans="1:14" s="140" customFormat="1" ht="24" customHeight="1">
      <c r="A60" s="139" t="s">
        <v>111</v>
      </c>
      <c r="B60" s="139"/>
      <c r="K60" s="141"/>
      <c r="L60" s="141"/>
      <c r="M60" s="141"/>
      <c r="N60" s="141"/>
    </row>
    <row r="61" spans="1:14" ht="24" customHeight="1">
      <c r="A61" s="133"/>
      <c r="B61" s="133"/>
      <c r="C61" s="133"/>
      <c r="D61" s="133"/>
      <c r="E61" s="133"/>
      <c r="F61" s="133"/>
      <c r="G61" s="133"/>
      <c r="H61" s="134"/>
      <c r="I61" s="134"/>
      <c r="J61" s="134"/>
      <c r="K61" s="52"/>
      <c r="L61" s="52"/>
      <c r="M61" s="52"/>
      <c r="N61" s="52"/>
    </row>
    <row r="62" spans="1:14" ht="23.25" customHeight="1">
      <c r="A62" s="488" t="s">
        <v>61</v>
      </c>
      <c r="B62" s="488"/>
      <c r="C62" s="488"/>
      <c r="D62" s="133"/>
      <c r="E62" s="133"/>
      <c r="F62" s="133"/>
      <c r="G62" s="133"/>
      <c r="H62" s="134"/>
      <c r="I62" s="134"/>
      <c r="J62" s="487" t="s">
        <v>62</v>
      </c>
      <c r="K62" s="487"/>
      <c r="L62" s="487"/>
      <c r="M62" s="52"/>
      <c r="N62" s="52"/>
    </row>
    <row r="63" spans="1:14" ht="12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77" t="s">
        <v>65</v>
      </c>
      <c r="K63" s="477"/>
      <c r="L63" s="477"/>
      <c r="M63" s="486" t="s">
        <v>104</v>
      </c>
      <c r="N63" s="486"/>
    </row>
    <row r="64" spans="1:14" ht="12.75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8.25" hidden="1" customHeight="1">
      <c r="A65" s="32"/>
      <c r="B65" s="32"/>
      <c r="C65" s="475"/>
      <c r="D65" s="475"/>
      <c r="E65" s="32"/>
      <c r="F65" s="32"/>
      <c r="G65" s="475"/>
      <c r="H65" s="475"/>
      <c r="I65" s="475"/>
      <c r="J65" s="475"/>
      <c r="K65" s="33"/>
      <c r="L65" s="33"/>
      <c r="M65" s="33"/>
      <c r="N65" s="33"/>
    </row>
    <row r="66" spans="1:14" ht="12" customHeight="1"/>
    <row r="67" spans="1:14" ht="12" customHeight="1"/>
  </sheetData>
  <mergeCells count="97">
    <mergeCell ref="C64:D64"/>
    <mergeCell ref="J64:L64"/>
    <mergeCell ref="M64:N64"/>
    <mergeCell ref="C65:D65"/>
    <mergeCell ref="G65:H65"/>
    <mergeCell ref="I65:J65"/>
    <mergeCell ref="M63:N63"/>
    <mergeCell ref="A55:C55"/>
    <mergeCell ref="D55:M55"/>
    <mergeCell ref="A56:C56"/>
    <mergeCell ref="D56:M56"/>
    <mergeCell ref="A57:J57"/>
    <mergeCell ref="A58:N58"/>
    <mergeCell ref="A59:J59"/>
    <mergeCell ref="A62:C62"/>
    <mergeCell ref="J62:L62"/>
    <mergeCell ref="C63:D63"/>
    <mergeCell ref="J63:L63"/>
    <mergeCell ref="A53:B53"/>
    <mergeCell ref="E53:F53"/>
    <mergeCell ref="A42:B42"/>
    <mergeCell ref="E42:F42"/>
    <mergeCell ref="A45:C45"/>
    <mergeCell ref="A46:C46"/>
    <mergeCell ref="A47:C47"/>
    <mergeCell ref="C48:D48"/>
    <mergeCell ref="A50:B50"/>
    <mergeCell ref="A51:B51"/>
    <mergeCell ref="E51:F51"/>
    <mergeCell ref="A52:B52"/>
    <mergeCell ref="E52:F52"/>
    <mergeCell ref="A39:B39"/>
    <mergeCell ref="E39:F39"/>
    <mergeCell ref="A40:B40"/>
    <mergeCell ref="E40:F40"/>
    <mergeCell ref="A41:B41"/>
    <mergeCell ref="E41:F41"/>
    <mergeCell ref="A36:B36"/>
    <mergeCell ref="E36:F36"/>
    <mergeCell ref="A37:B37"/>
    <mergeCell ref="E37:F37"/>
    <mergeCell ref="A38:B38"/>
    <mergeCell ref="E38:F38"/>
    <mergeCell ref="A35:B35"/>
    <mergeCell ref="E35:F35"/>
    <mergeCell ref="E34:F34"/>
    <mergeCell ref="A29:B29"/>
    <mergeCell ref="E29:F29"/>
    <mergeCell ref="A30:B30"/>
    <mergeCell ref="E30:F30"/>
    <mergeCell ref="A31:B31"/>
    <mergeCell ref="E31:F31"/>
    <mergeCell ref="A32:B32"/>
    <mergeCell ref="E32:F32"/>
    <mergeCell ref="A33:B33"/>
    <mergeCell ref="E33:F33"/>
    <mergeCell ref="A34:B34"/>
    <mergeCell ref="A26:B26"/>
    <mergeCell ref="E26:F26"/>
    <mergeCell ref="A27:B27"/>
    <mergeCell ref="E27:F27"/>
    <mergeCell ref="A28:B28"/>
    <mergeCell ref="E28:F28"/>
    <mergeCell ref="A19:G19"/>
    <mergeCell ref="A23:B23"/>
    <mergeCell ref="A24:B24"/>
    <mergeCell ref="E24:F24"/>
    <mergeCell ref="A25:B25"/>
    <mergeCell ref="E25:F25"/>
    <mergeCell ref="A18:G18"/>
    <mergeCell ref="B9:C9"/>
    <mergeCell ref="B10:C10"/>
    <mergeCell ref="H10:J10"/>
    <mergeCell ref="B11:F11"/>
    <mergeCell ref="H14:J14"/>
    <mergeCell ref="H15:I15"/>
    <mergeCell ref="H16:J16"/>
    <mergeCell ref="A17:G17"/>
    <mergeCell ref="H17:J17"/>
    <mergeCell ref="K11:M11"/>
    <mergeCell ref="B12:C12"/>
    <mergeCell ref="H12:J12"/>
    <mergeCell ref="K12:L12"/>
    <mergeCell ref="F6:G6"/>
    <mergeCell ref="M6:N6"/>
    <mergeCell ref="A7:G7"/>
    <mergeCell ref="H7:J7"/>
    <mergeCell ref="B8:G8"/>
    <mergeCell ref="H8:K8"/>
    <mergeCell ref="A2:M2"/>
    <mergeCell ref="D4:F4"/>
    <mergeCell ref="G4:H4"/>
    <mergeCell ref="L4:N4"/>
    <mergeCell ref="A5:B5"/>
    <mergeCell ref="C5:D5"/>
    <mergeCell ref="F5:G5"/>
    <mergeCell ref="K5:N5"/>
  </mergeCells>
  <pageMargins left="0.51181102362204722" right="0.11811023622047245" top="0.35433070866141736" bottom="0.35433070866141736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Q3" sqref="Q3"/>
    </sheetView>
  </sheetViews>
  <sheetFormatPr defaultRowHeight="12.75"/>
  <cols>
    <col min="1" max="1" width="15.85546875" customWidth="1"/>
    <col min="15" max="15" width="9.28515625" customWidth="1"/>
  </cols>
  <sheetData>
    <row r="1" spans="1:22" ht="23.25" customHeight="1" thickBot="1">
      <c r="A1" s="1" t="s">
        <v>0</v>
      </c>
      <c r="B1" s="2" t="s">
        <v>1</v>
      </c>
      <c r="C1" s="18">
        <f t="shared" ref="C1:E2" ca="1" si="0">Q20</f>
        <v>28111</v>
      </c>
      <c r="D1" s="18">
        <f t="shared" ca="1" si="0"/>
        <v>29257</v>
      </c>
      <c r="E1" s="3">
        <f t="shared" ca="1" si="0"/>
        <v>24431</v>
      </c>
      <c r="F1" s="4">
        <f ca="1">ROUND(B21*0.55+RAND()*0.14,0)</f>
        <v>91296</v>
      </c>
      <c r="G1" s="230"/>
      <c r="H1" s="6" t="s">
        <v>38</v>
      </c>
      <c r="I1" s="7" t="s">
        <v>39</v>
      </c>
      <c r="J1" s="7" t="s">
        <v>40</v>
      </c>
      <c r="K1" s="7" t="s">
        <v>41</v>
      </c>
      <c r="L1" s="231"/>
      <c r="M1" s="232" t="s">
        <v>93</v>
      </c>
      <c r="N1" s="233"/>
      <c r="P1" s="227" t="str">
        <f>H1</f>
        <v>Технічно допустима маса</v>
      </c>
      <c r="Q1" s="228" t="str">
        <f>I1</f>
        <v>Допустиме навантаження на 1 вісь</v>
      </c>
      <c r="R1" s="228" t="str">
        <f>J1</f>
        <v>Допустиме навантаження на 2 вісь</v>
      </c>
      <c r="S1" s="228" t="str">
        <f>K1</f>
        <v>Допустиме навантаження на 3 вісь</v>
      </c>
      <c r="T1" s="154"/>
      <c r="U1" s="154"/>
      <c r="V1" s="155"/>
    </row>
    <row r="2" spans="1:22" ht="21" customHeight="1" thickBot="1">
      <c r="A2" s="8" t="s">
        <v>72</v>
      </c>
      <c r="B2" s="9" t="s">
        <v>1</v>
      </c>
      <c r="C2" s="19">
        <f t="shared" ca="1" si="0"/>
        <v>28369</v>
      </c>
      <c r="D2" s="19">
        <f t="shared" ca="1" si="0"/>
        <v>26504</v>
      </c>
      <c r="E2" s="10">
        <f t="shared" ca="1" si="0"/>
        <v>29320</v>
      </c>
      <c r="F2" s="4">
        <f ca="1">B21-F1</f>
        <v>74696</v>
      </c>
      <c r="G2" s="234">
        <f ca="1">ROUND(H2*(0.95+RAND()*0.1),0)</f>
        <v>25867</v>
      </c>
      <c r="H2" s="165">
        <v>25300</v>
      </c>
      <c r="I2" s="166">
        <v>7056</v>
      </c>
      <c r="J2" s="166">
        <v>6654</v>
      </c>
      <c r="K2" s="167">
        <v>6850</v>
      </c>
      <c r="L2" s="235"/>
      <c r="M2" s="87" t="s">
        <v>94</v>
      </c>
      <c r="N2" s="236"/>
      <c r="P2" s="156">
        <f>Q2+R2+S2</f>
        <v>26348</v>
      </c>
      <c r="Q2" s="225">
        <v>8965</v>
      </c>
      <c r="R2" s="225">
        <v>8851</v>
      </c>
      <c r="S2" s="225">
        <v>8532</v>
      </c>
      <c r="T2" s="226" t="s">
        <v>157</v>
      </c>
      <c r="U2" s="149"/>
      <c r="V2" s="157"/>
    </row>
    <row r="3" spans="1:22" ht="13.5" customHeight="1" thickBot="1">
      <c r="A3" s="8" t="s">
        <v>3</v>
      </c>
      <c r="B3" s="9" t="s">
        <v>1</v>
      </c>
      <c r="C3" s="19">
        <f t="shared" ref="C3:E4" ca="1" si="1">ROUND((RAND()*180+770),0)</f>
        <v>944</v>
      </c>
      <c r="D3" s="19">
        <f t="shared" ca="1" si="1"/>
        <v>929</v>
      </c>
      <c r="E3" s="10">
        <f t="shared" ca="1" si="1"/>
        <v>849</v>
      </c>
      <c r="F3" s="12">
        <f ca="1">ROUND(J5*B31*9.81/100,0)</f>
        <v>162</v>
      </c>
      <c r="G3" s="59" t="s">
        <v>73</v>
      </c>
      <c r="H3" s="432"/>
      <c r="I3" s="432"/>
      <c r="J3" s="432"/>
      <c r="K3" s="432"/>
      <c r="L3" s="433" t="s">
        <v>95</v>
      </c>
      <c r="M3" s="433"/>
      <c r="N3" s="236"/>
      <c r="P3" s="156"/>
      <c r="Q3" s="149"/>
      <c r="R3" s="149"/>
      <c r="S3" s="149"/>
      <c r="T3" s="149"/>
      <c r="U3" s="149"/>
      <c r="V3" s="157"/>
    </row>
    <row r="4" spans="1:22" ht="11.25" customHeight="1" thickBot="1">
      <c r="A4" s="8" t="s">
        <v>4</v>
      </c>
      <c r="B4" s="9" t="s">
        <v>1</v>
      </c>
      <c r="C4" s="19">
        <f t="shared" ca="1" si="1"/>
        <v>773</v>
      </c>
      <c r="D4" s="19">
        <f t="shared" ca="1" si="1"/>
        <v>809</v>
      </c>
      <c r="E4" s="10">
        <f t="shared" ca="1" si="1"/>
        <v>942</v>
      </c>
      <c r="F4" s="4"/>
      <c r="G4" s="237"/>
      <c r="H4" s="235"/>
      <c r="I4" s="235" t="s">
        <v>44</v>
      </c>
      <c r="J4" s="235" t="s">
        <v>45</v>
      </c>
      <c r="K4" s="235"/>
      <c r="L4" s="235"/>
      <c r="M4" s="87" t="s">
        <v>99</v>
      </c>
      <c r="N4" s="236">
        <v>6</v>
      </c>
      <c r="P4" s="156"/>
      <c r="Q4" s="149">
        <f ca="1">ROUND(Q2*(0.45+RAND()*0.1),0)</f>
        <v>4462</v>
      </c>
      <c r="R4" s="149">
        <f ca="1">ROUND(R2*(0.45+RAND()*0.1),0)</f>
        <v>4644</v>
      </c>
      <c r="S4" s="149">
        <f ca="1">ROUND(S2*(0.45+RAND()*0.1),0)</f>
        <v>3878</v>
      </c>
      <c r="T4" s="149"/>
      <c r="U4" s="149"/>
      <c r="V4" s="157"/>
    </row>
    <row r="5" spans="1:22" ht="11.25" customHeight="1" thickBot="1">
      <c r="A5" s="8" t="s">
        <v>5</v>
      </c>
      <c r="B5" s="9" t="s">
        <v>6</v>
      </c>
      <c r="C5" s="19">
        <v>0</v>
      </c>
      <c r="D5" s="19">
        <v>0</v>
      </c>
      <c r="E5" s="10">
        <v>0</v>
      </c>
      <c r="F5" s="4"/>
      <c r="G5" s="237"/>
      <c r="H5" s="235" t="s">
        <v>42</v>
      </c>
      <c r="I5" s="235">
        <f ca="1">ROUND(I2*(0.8+RAND()*0.2),0)</f>
        <v>7051</v>
      </c>
      <c r="J5" s="235">
        <f ca="1">ROUND(J2*(0.8+RAND()*0.2),0)</f>
        <v>6337</v>
      </c>
      <c r="K5" s="235">
        <f ca="1">ROUND(K2*(0.8+RAND()*0.2),0)</f>
        <v>6057</v>
      </c>
      <c r="L5" s="492" t="s">
        <v>100</v>
      </c>
      <c r="M5" s="493"/>
      <c r="N5" s="238">
        <v>4296</v>
      </c>
      <c r="P5" s="156"/>
      <c r="Q5" s="149">
        <f ca="1">Q2-Q4</f>
        <v>4503</v>
      </c>
      <c r="R5" s="149">
        <f ca="1">R2-R4</f>
        <v>4207</v>
      </c>
      <c r="S5" s="149">
        <f ca="1">S2-S4</f>
        <v>4654</v>
      </c>
      <c r="T5" s="149"/>
      <c r="U5" s="149"/>
      <c r="V5" s="157"/>
    </row>
    <row r="6" spans="1:22" ht="15" customHeight="1" thickBot="1">
      <c r="A6" s="8" t="s">
        <v>7</v>
      </c>
      <c r="B6" s="13" t="s">
        <v>6</v>
      </c>
      <c r="C6" s="19">
        <v>0</v>
      </c>
      <c r="D6" s="19">
        <v>0</v>
      </c>
      <c r="E6" s="10">
        <v>0</v>
      </c>
      <c r="F6" s="5"/>
      <c r="G6" s="237" t="s">
        <v>43</v>
      </c>
      <c r="H6" s="235" t="s">
        <v>35</v>
      </c>
      <c r="I6" s="235">
        <f ca="1">ROUND(I5*(0.45+RAND()*0.1),0)</f>
        <v>3823</v>
      </c>
      <c r="J6" s="235">
        <f ca="1">ROUND(J5*(0.45+RAND()*0.1),0)</f>
        <v>3341</v>
      </c>
      <c r="K6" s="235">
        <f ca="1">ROUND(K5*(0.45+RAND()*0.1),0)</f>
        <v>3099</v>
      </c>
      <c r="L6" s="235"/>
      <c r="M6" s="235"/>
      <c r="N6" s="239"/>
      <c r="P6" s="156"/>
      <c r="Q6" s="149"/>
      <c r="R6" s="149"/>
      <c r="S6" s="149"/>
      <c r="T6" s="149"/>
      <c r="U6" s="149"/>
      <c r="V6" s="157"/>
    </row>
    <row r="7" spans="1:22" ht="17.25" customHeight="1" thickBot="1">
      <c r="A7" s="8" t="s">
        <v>8</v>
      </c>
      <c r="B7" s="13" t="s">
        <v>6</v>
      </c>
      <c r="C7" s="19">
        <v>0</v>
      </c>
      <c r="D7" s="19">
        <v>0</v>
      </c>
      <c r="E7" s="10">
        <v>0</v>
      </c>
      <c r="F7" s="5"/>
      <c r="G7" s="240"/>
      <c r="H7" s="241" t="s">
        <v>36</v>
      </c>
      <c r="I7" s="241">
        <f ca="1">I5-I6</f>
        <v>3228</v>
      </c>
      <c r="J7" s="241">
        <f ca="1">J5-J6</f>
        <v>2996</v>
      </c>
      <c r="K7" s="241">
        <f ca="1">K5-K6</f>
        <v>2958</v>
      </c>
      <c r="L7" s="241"/>
      <c r="M7" s="241"/>
      <c r="N7" s="242"/>
      <c r="P7" s="156"/>
      <c r="Q7" s="149" t="s">
        <v>46</v>
      </c>
      <c r="R7" s="149"/>
      <c r="S7" s="149"/>
      <c r="T7" s="149"/>
      <c r="U7" s="149"/>
      <c r="V7" s="157"/>
    </row>
    <row r="8" spans="1:22" ht="14.25" customHeight="1" thickBot="1">
      <c r="A8" s="8" t="s">
        <v>9</v>
      </c>
      <c r="B8" s="9" t="s">
        <v>1</v>
      </c>
      <c r="C8" s="19">
        <f ca="1">RANDBETWEEN(121,412)</f>
        <v>179</v>
      </c>
      <c r="D8" s="19">
        <f ca="1">RANDBETWEEN(121,412)</f>
        <v>380</v>
      </c>
      <c r="E8" s="10">
        <f ca="1">RANDBETWEEN(121,412)</f>
        <v>297</v>
      </c>
      <c r="F8" s="5"/>
      <c r="G8" s="5"/>
      <c r="H8" s="5"/>
      <c r="I8" s="5"/>
      <c r="J8" s="5"/>
      <c r="K8" s="5"/>
      <c r="L8" s="5"/>
      <c r="M8" s="5"/>
      <c r="N8" s="5" t="e">
        <f ca="1">случмеждуСЛЧИС()</f>
        <v>#NAME?</v>
      </c>
      <c r="P8" s="156"/>
      <c r="Q8" s="149">
        <f ca="1">ROUND(ABS((Q9-Q10)/MAX(Q9:Q10))*100,0)</f>
        <v>1</v>
      </c>
      <c r="R8" s="149">
        <f ca="1">ROUND(ABS((R9-R10)/MAX(R9:R10))*100,0)</f>
        <v>8</v>
      </c>
      <c r="S8" s="149">
        <f ca="1">ROUND(ABS((S9-S10)/MAX(S9:S10))*100,0)</f>
        <v>17</v>
      </c>
      <c r="T8" s="149"/>
      <c r="U8" s="149"/>
      <c r="V8" s="157"/>
    </row>
    <row r="9" spans="1:22" ht="12" customHeight="1" thickBot="1">
      <c r="A9" s="8" t="s">
        <v>10</v>
      </c>
      <c r="B9" s="13" t="s">
        <v>6</v>
      </c>
      <c r="C9" s="19">
        <v>6.5</v>
      </c>
      <c r="D9" s="19">
        <v>6.5</v>
      </c>
      <c r="E9" s="10">
        <v>6.5</v>
      </c>
      <c r="F9" s="5"/>
      <c r="G9" s="5"/>
      <c r="H9" s="5"/>
      <c r="I9" s="5"/>
      <c r="J9" s="5"/>
      <c r="K9" s="5"/>
      <c r="L9" s="5"/>
      <c r="M9" s="5"/>
      <c r="N9" s="5"/>
      <c r="P9" s="156"/>
      <c r="Q9" s="149">
        <f ca="1">ROUND(Q4*RANDBETWEEN(4.6,6)+RAND()*0.1,0)</f>
        <v>22310</v>
      </c>
      <c r="R9" s="149">
        <f ca="1">ROUND(R4*RANDBETWEEN(4.6,6)+RAND()*0.1,0)</f>
        <v>23220</v>
      </c>
      <c r="S9" s="149">
        <f ca="1">ROUND(S4*RANDBETWEEN(4.6,5.4)+RAND()*0.1,0)</f>
        <v>19390</v>
      </c>
      <c r="T9" s="149"/>
      <c r="U9" s="149">
        <f ca="1">Q9+Q10+R9+R10+S9+S10</f>
        <v>135947</v>
      </c>
      <c r="V9" s="157"/>
    </row>
    <row r="10" spans="1:22" ht="15.75" customHeight="1" thickBot="1">
      <c r="A10" s="8" t="s">
        <v>11</v>
      </c>
      <c r="B10" s="13" t="s">
        <v>12</v>
      </c>
      <c r="C10" s="19"/>
      <c r="D10" s="19"/>
      <c r="E10" s="10"/>
      <c r="F10" s="5"/>
      <c r="G10" s="5"/>
      <c r="H10" s="5"/>
      <c r="I10" s="5" t="s">
        <v>46</v>
      </c>
      <c r="J10" s="5"/>
      <c r="K10" s="5"/>
      <c r="L10" s="5"/>
      <c r="M10" s="5"/>
      <c r="N10" s="5"/>
      <c r="P10" s="158"/>
      <c r="Q10" s="159">
        <f ca="1">ROUND(Q5*RANDBETWEEN(4.6,6)+RAND()*0.1,0)</f>
        <v>22515</v>
      </c>
      <c r="R10" s="159">
        <f ca="1">ROUND(R5*RANDBETWEEN(4.6,6)+RAND()*0.1,0)</f>
        <v>25242</v>
      </c>
      <c r="S10" s="159">
        <f ca="1">ROUND(S5*RANDBETWEEN(4.6,5.4)+RAND()*0.1,0)</f>
        <v>23270</v>
      </c>
      <c r="T10" s="159"/>
      <c r="U10" s="159">
        <f>P2</f>
        <v>26348</v>
      </c>
      <c r="V10" s="229">
        <f ca="1">ROUND(U9/U10*9.81,0)</f>
        <v>51</v>
      </c>
    </row>
    <row r="11" spans="1:22" ht="32.25" customHeight="1" thickBot="1">
      <c r="A11" s="8" t="s">
        <v>13</v>
      </c>
      <c r="B11" s="13" t="s">
        <v>12</v>
      </c>
      <c r="C11" s="19">
        <f ca="1">Q18</f>
        <v>1</v>
      </c>
      <c r="D11" s="19">
        <f ca="1">R18</f>
        <v>9</v>
      </c>
      <c r="E11" s="10">
        <f ca="1">S18</f>
        <v>17</v>
      </c>
      <c r="F11" s="5"/>
      <c r="G11" s="5"/>
      <c r="H11" s="5"/>
      <c r="I11" s="5">
        <f ca="1">ROUND(ABS((C1-C2)/MAX(C1:C2))*100,0)</f>
        <v>1</v>
      </c>
      <c r="J11" s="5">
        <f ca="1">ROUND(ABS((D1-D2)/MAX(D1:D2))*100,0)</f>
        <v>9</v>
      </c>
      <c r="K11" s="5">
        <f ca="1">ROUND(ABS((E1-E2)/MAX(E1:E2))*100,0)</f>
        <v>17</v>
      </c>
      <c r="L11" s="5"/>
      <c r="M11" s="5"/>
      <c r="N11" s="5"/>
    </row>
    <row r="12" spans="1:22" ht="11.25" customHeight="1" thickBot="1">
      <c r="A12" s="8" t="s">
        <v>14</v>
      </c>
      <c r="B12" s="13" t="s">
        <v>12</v>
      </c>
      <c r="C12" s="19"/>
      <c r="D12" s="19"/>
      <c r="E12" s="10"/>
      <c r="F12" s="5"/>
      <c r="G12" s="5"/>
      <c r="H12" s="5"/>
      <c r="I12" s="5"/>
      <c r="J12" s="5"/>
      <c r="K12" s="5"/>
      <c r="L12" s="5"/>
      <c r="M12" s="5"/>
      <c r="N12" s="5"/>
    </row>
    <row r="13" spans="1:22" ht="10.5" customHeight="1" thickBot="1">
      <c r="A13" s="8" t="s">
        <v>15</v>
      </c>
      <c r="B13" s="13" t="s">
        <v>12</v>
      </c>
      <c r="C13" s="19"/>
      <c r="D13" s="19"/>
      <c r="E13" s="10"/>
      <c r="F13" s="5"/>
      <c r="G13" s="84">
        <f ca="1">C1+C2+D1+D2</f>
        <v>112241</v>
      </c>
      <c r="H13" s="5"/>
      <c r="I13" s="5"/>
      <c r="J13" s="5">
        <f ca="1">ROUND(C14*RANDBETWEEN(5.1,5.9)+RAND()*0.1,0)</f>
        <v>26772</v>
      </c>
      <c r="K13" s="5">
        <f ca="1">ROUND(D14*RANDBETWEEN(5.1,5.9)+RAND()+300,0)</f>
        <v>28164</v>
      </c>
      <c r="L13" s="5">
        <f ca="1">ROUND(E14*RANDBETWEEN(5.1,5.9)+RAND()+500,0)</f>
        <v>23768</v>
      </c>
      <c r="M13" s="5">
        <f ca="1">J13+J14+K13+K14+L13+L14</f>
        <v>159689</v>
      </c>
      <c r="N13" s="5"/>
    </row>
    <row r="14" spans="1:22" ht="13.5" thickBot="1">
      <c r="A14" s="8" t="s">
        <v>16</v>
      </c>
      <c r="B14" s="13" t="s">
        <v>17</v>
      </c>
      <c r="C14" s="19">
        <f t="shared" ref="C14:E15" ca="1" si="2">Q4</f>
        <v>4462</v>
      </c>
      <c r="D14" s="19">
        <f t="shared" ca="1" si="2"/>
        <v>4644</v>
      </c>
      <c r="E14" s="10">
        <f t="shared" ca="1" si="2"/>
        <v>3878</v>
      </c>
      <c r="F14" s="5"/>
      <c r="G14" s="5">
        <f ca="1">C14+D14+C15+D15</f>
        <v>17816</v>
      </c>
      <c r="H14" s="5">
        <f ca="1">ROUND(G13/G14*9.81,0)</f>
        <v>62</v>
      </c>
      <c r="I14" s="5"/>
      <c r="J14" s="5">
        <f ca="1">ROUND(C15*RANDBETWEEN(5.1,5.9)+RAND()*0.1,0)</f>
        <v>27018</v>
      </c>
      <c r="K14" s="5">
        <f ca="1">ROUND(D15*RANDBETWEEN(5.1,5.9)+RAND()+300,0)</f>
        <v>25543</v>
      </c>
      <c r="L14" s="5">
        <f ca="1">ROUND(E15*RANDBETWEEN(5.1,5.9)+RAND()+500,0)</f>
        <v>28424</v>
      </c>
      <c r="M14" s="5">
        <f>C16+D16+E16</f>
        <v>26348</v>
      </c>
      <c r="N14" s="5">
        <v>60</v>
      </c>
    </row>
    <row r="15" spans="1:22" ht="24.75" thickBot="1">
      <c r="A15" s="8" t="s">
        <v>18</v>
      </c>
      <c r="B15" s="13" t="s">
        <v>17</v>
      </c>
      <c r="C15" s="19">
        <f t="shared" ca="1" si="2"/>
        <v>4503</v>
      </c>
      <c r="D15" s="19">
        <f t="shared" ca="1" si="2"/>
        <v>4207</v>
      </c>
      <c r="E15" s="10">
        <f t="shared" ca="1" si="2"/>
        <v>4654</v>
      </c>
      <c r="F15" s="5"/>
      <c r="G15" s="5"/>
      <c r="H15" s="5"/>
      <c r="I15" s="5"/>
      <c r="J15" s="5"/>
      <c r="K15" s="5"/>
      <c r="L15" s="5"/>
      <c r="M15" s="5"/>
      <c r="N15" s="5"/>
    </row>
    <row r="16" spans="1:22" ht="13.5" thickBot="1">
      <c r="A16" s="8" t="s">
        <v>19</v>
      </c>
      <c r="B16" s="13" t="s">
        <v>17</v>
      </c>
      <c r="C16" s="19">
        <f>Q2</f>
        <v>8965</v>
      </c>
      <c r="D16" s="19">
        <f>R2</f>
        <v>8851</v>
      </c>
      <c r="E16" s="10">
        <f>S2</f>
        <v>8532</v>
      </c>
      <c r="F16" s="5"/>
      <c r="G16" s="5"/>
      <c r="H16" s="5"/>
      <c r="I16" s="5"/>
      <c r="J16" s="5"/>
      <c r="K16" s="5"/>
      <c r="L16" s="5"/>
      <c r="M16" s="5"/>
      <c r="N16" s="5"/>
    </row>
    <row r="17" spans="1:23" ht="13.5" thickBot="1">
      <c r="A17" s="8" t="s">
        <v>20</v>
      </c>
      <c r="B17" s="13" t="s">
        <v>21</v>
      </c>
      <c r="C17" s="20">
        <f t="shared" ref="C17:E18" ca="1" si="3">RANDBETWEEN(111,300)/1000</f>
        <v>0.17299999999999999</v>
      </c>
      <c r="D17" s="20">
        <f t="shared" ca="1" si="3"/>
        <v>0.28899999999999998</v>
      </c>
      <c r="E17" s="189">
        <f t="shared" ca="1" si="3"/>
        <v>0.26800000000000002</v>
      </c>
      <c r="F17" s="5"/>
      <c r="G17" s="5"/>
      <c r="H17" s="5"/>
      <c r="I17" s="5"/>
      <c r="J17" s="5"/>
      <c r="K17" s="5"/>
      <c r="L17" s="5"/>
      <c r="M17" s="5"/>
      <c r="N17" s="5"/>
      <c r="P17" s="153"/>
      <c r="Q17" s="154" t="s">
        <v>46</v>
      </c>
      <c r="R17" s="154"/>
      <c r="S17" s="154"/>
      <c r="T17" s="154"/>
      <c r="U17" s="154"/>
      <c r="V17" s="154"/>
      <c r="W17" s="155"/>
    </row>
    <row r="18" spans="1:23" ht="13.5" thickBot="1">
      <c r="A18" s="8" t="s">
        <v>22</v>
      </c>
      <c r="B18" s="13" t="s">
        <v>21</v>
      </c>
      <c r="C18" s="20">
        <f t="shared" ca="1" si="3"/>
        <v>0.19500000000000001</v>
      </c>
      <c r="D18" s="20">
        <f t="shared" ca="1" si="3"/>
        <v>0.3</v>
      </c>
      <c r="E18" s="189">
        <f t="shared" ca="1" si="3"/>
        <v>0.111</v>
      </c>
      <c r="F18" s="5"/>
      <c r="G18" s="5"/>
      <c r="H18" s="5"/>
      <c r="I18" s="5"/>
      <c r="J18" s="5"/>
      <c r="K18" s="5"/>
      <c r="L18" s="5"/>
      <c r="M18" s="5"/>
      <c r="N18" s="5"/>
      <c r="P18" s="156"/>
      <c r="Q18" s="149">
        <f ca="1">ROUND(ABS((Q20-Q21)/MAX(Q20:Q21))*100,0)</f>
        <v>1</v>
      </c>
      <c r="R18" s="149">
        <f ca="1">ROUND(ABS((R20-R21)/MAX(R20:R21))*100,0)</f>
        <v>9</v>
      </c>
      <c r="S18" s="149">
        <f ca="1">ROUND(ABS((S20-S21)/MAX(S20:S21))*100,0)</f>
        <v>17</v>
      </c>
      <c r="T18" s="149"/>
      <c r="U18" s="149"/>
      <c r="V18" s="149"/>
      <c r="W18" s="157"/>
    </row>
    <row r="19" spans="1:23" ht="13.5" thickBot="1">
      <c r="A19" s="8" t="s">
        <v>23</v>
      </c>
      <c r="B19" s="13" t="s">
        <v>21</v>
      </c>
      <c r="C19" s="20">
        <f ca="1">0.05+ROUND(RAND()*1,0)*0.05</f>
        <v>0.1</v>
      </c>
      <c r="D19" s="20">
        <f ca="1">0.05+ROUND(RAND()*2,0)*0.05</f>
        <v>0.15000000000000002</v>
      </c>
      <c r="E19" s="10">
        <f ca="1">0.05+ROUND(RAND()*4,0)*0.05</f>
        <v>0.2</v>
      </c>
      <c r="F19" s="5"/>
      <c r="G19" s="5"/>
      <c r="H19" s="5"/>
      <c r="I19" s="5"/>
      <c r="J19" s="5"/>
      <c r="K19" s="5"/>
      <c r="L19" s="5"/>
      <c r="M19" s="5"/>
      <c r="N19" s="5"/>
      <c r="P19" s="156" t="s">
        <v>118</v>
      </c>
      <c r="Q19" s="149"/>
      <c r="R19" s="149"/>
      <c r="S19" s="149"/>
      <c r="T19" s="149"/>
      <c r="U19" s="149"/>
      <c r="V19" s="149"/>
      <c r="W19" s="157"/>
    </row>
    <row r="20" spans="1:23" ht="13.5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P20" s="156"/>
      <c r="Q20" s="149">
        <f ca="1">ROUND(Q4*V20/10+RAND()*0.1,0)</f>
        <v>28111</v>
      </c>
      <c r="R20" s="149">
        <f ca="1">ROUND(R4*V20/10+RAND()*0.1,0)</f>
        <v>29257</v>
      </c>
      <c r="S20" s="149">
        <f ca="1">ROUND(S4*V20/10+RAND()*0.1,0)</f>
        <v>24431</v>
      </c>
      <c r="T20" s="149"/>
      <c r="U20" s="149">
        <f ca="1">Q20+Q21+R20+R21+S20+S21</f>
        <v>165992</v>
      </c>
      <c r="V20" s="225">
        <v>63</v>
      </c>
      <c r="W20" s="244" t="s">
        <v>157</v>
      </c>
    </row>
    <row r="21" spans="1:23" ht="13.5" thickBot="1">
      <c r="A21" s="1" t="s">
        <v>24</v>
      </c>
      <c r="B21" s="430">
        <f ca="1">U20</f>
        <v>165992</v>
      </c>
      <c r="C21" s="43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156" t="s">
        <v>116</v>
      </c>
      <c r="Q21" s="149">
        <f ca="1">ROUND(Q5*V20/10+RAND()*0.1,0)</f>
        <v>28369</v>
      </c>
      <c r="R21" s="149">
        <f ca="1">ROUND(R5*V20/10+RAND()*0.1,0)</f>
        <v>26504</v>
      </c>
      <c r="S21" s="149">
        <f ca="1">ROUND(S5*V20/10+RAND()*0.1,0)</f>
        <v>29320</v>
      </c>
      <c r="T21" s="149"/>
      <c r="U21" s="149">
        <f>Q2+R2+S2</f>
        <v>26348</v>
      </c>
      <c r="V21" s="243">
        <f ca="1">(U20/U21/9.81)*100</f>
        <v>64.220028731723303</v>
      </c>
      <c r="W21" s="157"/>
    </row>
    <row r="22" spans="1:23" ht="19.5" customHeight="1" thickBot="1">
      <c r="A22" s="8" t="s">
        <v>25</v>
      </c>
      <c r="B22" s="14">
        <f ca="1">V21/100</f>
        <v>0.642200287317233</v>
      </c>
      <c r="C22" s="9" t="s">
        <v>26</v>
      </c>
      <c r="D22" s="5"/>
      <c r="E22" s="5">
        <f ca="1">ROUND(51+RAND()*8,0)</f>
        <v>53</v>
      </c>
      <c r="F22" s="5"/>
      <c r="G22" s="5"/>
      <c r="H22" s="5"/>
      <c r="I22" s="5"/>
      <c r="J22" s="5"/>
      <c r="K22" s="5"/>
      <c r="L22" s="5"/>
      <c r="M22" s="5"/>
      <c r="N22" s="5"/>
      <c r="P22" s="156"/>
      <c r="Q22" s="149"/>
      <c r="R22" s="149"/>
      <c r="S22" s="149"/>
      <c r="T22" s="149"/>
      <c r="U22" s="149"/>
      <c r="V22" s="149"/>
      <c r="W22" s="157"/>
    </row>
    <row r="23" spans="1:23" ht="19.5" customHeight="1" thickBot="1">
      <c r="A23" s="8" t="s">
        <v>27</v>
      </c>
      <c r="B23" s="13" t="s">
        <v>12</v>
      </c>
      <c r="C23" s="1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P23" s="156"/>
      <c r="Q23" s="149"/>
      <c r="R23" s="149"/>
      <c r="S23" s="149"/>
      <c r="T23" s="149"/>
      <c r="U23" s="149"/>
      <c r="V23" s="149"/>
      <c r="W23" s="157"/>
    </row>
    <row r="24" spans="1:2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P24" s="156" t="s">
        <v>117</v>
      </c>
      <c r="Q24" s="149"/>
      <c r="R24" s="149">
        <f ca="1">ROUND(R4*V24/6.7+RAND()*0.1,0)</f>
        <v>18022</v>
      </c>
      <c r="S24" s="149">
        <f ca="1">ROUND(S4*V24/6.7+RAND()*0.1,0)</f>
        <v>15049</v>
      </c>
      <c r="T24" s="149"/>
      <c r="U24" s="149">
        <f ca="1">R24+R25+S24+S25</f>
        <v>67457</v>
      </c>
      <c r="V24" s="225">
        <v>26</v>
      </c>
      <c r="W24" s="244" t="s">
        <v>157</v>
      </c>
    </row>
    <row r="25" spans="1:23" ht="27" customHeight="1" thickBot="1">
      <c r="A25" s="16" t="s">
        <v>28</v>
      </c>
      <c r="B25" s="16"/>
      <c r="C25" s="16">
        <v>1</v>
      </c>
      <c r="D25" s="16">
        <v>2</v>
      </c>
      <c r="E25" s="16">
        <v>3</v>
      </c>
      <c r="F25" s="16">
        <v>4</v>
      </c>
      <c r="G25" s="16">
        <v>5</v>
      </c>
      <c r="H25" s="16">
        <v>6</v>
      </c>
      <c r="I25" s="16">
        <v>7</v>
      </c>
      <c r="J25" s="16">
        <v>8</v>
      </c>
      <c r="K25" s="16">
        <v>9</v>
      </c>
      <c r="L25" s="17" t="s">
        <v>29</v>
      </c>
      <c r="M25" s="5"/>
      <c r="N25" s="5"/>
      <c r="P25" s="158"/>
      <c r="Q25" s="159"/>
      <c r="R25" s="159">
        <f ca="1">ROUND(R5*V24/6.7+RAND()*0.1,0)</f>
        <v>16326</v>
      </c>
      <c r="S25" s="159">
        <f ca="1">ROUND(S5*V24/6.7+RAND()*0.1,0)</f>
        <v>18060</v>
      </c>
      <c r="T25" s="159"/>
      <c r="U25" s="159">
        <f>U21</f>
        <v>26348</v>
      </c>
      <c r="V25" s="245">
        <f ca="1">(U24/U25/9.81)*100</f>
        <v>26.098188335316514</v>
      </c>
      <c r="W25" s="229"/>
    </row>
    <row r="26" spans="1:23" ht="20.25" customHeight="1" thickBot="1">
      <c r="A26" s="8" t="s">
        <v>30</v>
      </c>
      <c r="B26" s="9" t="s">
        <v>1</v>
      </c>
      <c r="C26" s="13"/>
      <c r="D26" s="18">
        <f ca="1">R24</f>
        <v>18022</v>
      </c>
      <c r="E26" s="13">
        <f ca="1">S24</f>
        <v>15049</v>
      </c>
      <c r="F26" s="13"/>
      <c r="G26" s="13"/>
      <c r="H26" s="13"/>
      <c r="I26" s="13"/>
      <c r="J26" s="13"/>
      <c r="K26" s="13"/>
      <c r="L26" s="15"/>
      <c r="M26" s="5"/>
      <c r="N26" s="5"/>
    </row>
    <row r="27" spans="1:23" ht="16.5" customHeight="1" thickBot="1">
      <c r="A27" s="8" t="s">
        <v>31</v>
      </c>
      <c r="B27" s="9" t="s">
        <v>1</v>
      </c>
      <c r="C27" s="13"/>
      <c r="D27" s="19">
        <f ca="1">R25</f>
        <v>16326</v>
      </c>
      <c r="E27" s="13">
        <f ca="1">S25</f>
        <v>18060</v>
      </c>
      <c r="F27" s="13"/>
      <c r="G27" s="13"/>
      <c r="H27" s="13"/>
      <c r="I27" s="13"/>
      <c r="J27" s="13"/>
      <c r="K27" s="13"/>
      <c r="L27" s="15"/>
      <c r="M27" s="5"/>
      <c r="N27" s="5"/>
    </row>
    <row r="28" spans="1:23" ht="21.75" customHeight="1" thickBot="1">
      <c r="A28" s="8" t="s">
        <v>32</v>
      </c>
      <c r="B28" s="9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 t="s">
        <v>33</v>
      </c>
      <c r="M28" s="5"/>
      <c r="N28" s="5"/>
    </row>
    <row r="29" spans="1:2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23" ht="16.5" customHeight="1" thickBo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23" ht="21" customHeight="1" thickBot="1">
      <c r="A31" s="1" t="s">
        <v>25</v>
      </c>
      <c r="B31" s="14">
        <f ca="1">V25/100</f>
        <v>0.26098188335316513</v>
      </c>
      <c r="C31" s="2" t="s">
        <v>34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23" ht="21.75" customHeight="1" thickBot="1">
      <c r="A32" s="8" t="s">
        <v>27</v>
      </c>
      <c r="B32" s="13" t="s">
        <v>12</v>
      </c>
      <c r="C32" s="13"/>
      <c r="D32" s="5"/>
      <c r="E32" s="5">
        <f ca="1">D26+D27+E26+E27</f>
        <v>67457</v>
      </c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5"/>
      <c r="B33" s="5"/>
      <c r="C33" s="5"/>
      <c r="D33" s="5"/>
      <c r="E33" s="5">
        <f>M14</f>
        <v>26348</v>
      </c>
      <c r="F33" s="5">
        <f ca="1">ROUND(E32/E33*9.81,0)/100</f>
        <v>0.25</v>
      </c>
      <c r="G33" s="5"/>
      <c r="H33" s="5"/>
      <c r="I33" s="5"/>
      <c r="J33" s="5"/>
      <c r="K33" s="5"/>
      <c r="L33" s="5"/>
      <c r="M33" s="5"/>
      <c r="N33" s="5"/>
    </row>
  </sheetData>
  <mergeCells count="4">
    <mergeCell ref="H3:K3"/>
    <mergeCell ref="L3:M3"/>
    <mergeCell ref="L5:M5"/>
    <mergeCell ref="B21:C2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topLeftCell="A34" zoomScale="160" zoomScaleNormal="160" workbookViewId="0">
      <selection activeCell="M20" sqref="M20"/>
    </sheetView>
  </sheetViews>
  <sheetFormatPr defaultRowHeight="12.75"/>
  <cols>
    <col min="1" max="1" width="8" customWidth="1"/>
    <col min="2" max="2" width="11.28515625" customWidth="1"/>
    <col min="3" max="3" width="4.5703125" customWidth="1"/>
    <col min="4" max="4" width="6.42578125" customWidth="1"/>
    <col min="5" max="5" width="0.28515625" customWidth="1"/>
    <col min="6" max="6" width="6.28515625" customWidth="1"/>
    <col min="7" max="13" width="6.42578125" customWidth="1"/>
    <col min="14" max="14" width="8.7109375" customWidth="1"/>
  </cols>
  <sheetData>
    <row r="2" spans="1:14" ht="18.75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31"/>
    </row>
    <row r="3" spans="1:14" ht="18.7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31"/>
    </row>
    <row r="4" spans="1:14" ht="11.1" customHeight="1">
      <c r="A4" s="41" t="s">
        <v>48</v>
      </c>
      <c r="B4" s="179">
        <f ca="1">NOW()</f>
        <v>44834.790105208333</v>
      </c>
      <c r="C4" s="57"/>
      <c r="D4" s="497" t="s">
        <v>129</v>
      </c>
      <c r="E4" s="497"/>
      <c r="F4" s="497"/>
      <c r="G4" s="469">
        <v>0.6013425925925926</v>
      </c>
      <c r="H4" s="469"/>
      <c r="I4" s="57"/>
      <c r="J4" s="57"/>
      <c r="K4" s="126"/>
      <c r="L4" s="464" t="s">
        <v>106</v>
      </c>
      <c r="M4" s="464"/>
      <c r="N4" s="464"/>
    </row>
    <row r="5" spans="1:14" ht="11.1" customHeight="1">
      <c r="A5" s="460" t="s">
        <v>49</v>
      </c>
      <c r="B5" s="460"/>
      <c r="C5" s="498">
        <f ca="1">B4</f>
        <v>44834.790105208333</v>
      </c>
      <c r="D5" s="498"/>
      <c r="E5" s="178" t="s">
        <v>130</v>
      </c>
      <c r="F5" s="467">
        <f>G4</f>
        <v>0.6013425925925926</v>
      </c>
      <c r="G5" s="467"/>
      <c r="H5" s="55"/>
      <c r="I5" s="55"/>
      <c r="J5" s="55"/>
      <c r="K5" s="465" t="s">
        <v>107</v>
      </c>
      <c r="L5" s="465"/>
      <c r="M5" s="465"/>
      <c r="N5" s="465"/>
    </row>
    <row r="6" spans="1:14" ht="11.1" customHeight="1">
      <c r="F6" s="462"/>
      <c r="G6" s="463"/>
      <c r="H6" s="42"/>
      <c r="I6" s="42"/>
      <c r="J6" s="42"/>
      <c r="K6" s="127"/>
      <c r="L6" s="24"/>
      <c r="M6" s="466" t="s">
        <v>127</v>
      </c>
      <c r="N6" s="466"/>
    </row>
    <row r="7" spans="1:14" ht="11.1" customHeight="1">
      <c r="A7" s="450"/>
      <c r="B7" s="450"/>
      <c r="C7" s="450"/>
      <c r="D7" s="450"/>
      <c r="E7" s="450"/>
      <c r="F7" s="450"/>
      <c r="G7" s="450"/>
      <c r="H7" s="454"/>
      <c r="I7" s="454"/>
      <c r="J7" s="454"/>
      <c r="K7" s="128"/>
      <c r="L7" s="25"/>
      <c r="M7" s="129"/>
      <c r="N7" s="129"/>
    </row>
    <row r="8" spans="1:14" ht="11.1" customHeight="1">
      <c r="A8" s="23" t="s">
        <v>50</v>
      </c>
      <c r="B8" s="455" t="s">
        <v>141</v>
      </c>
      <c r="C8" s="455"/>
      <c r="D8" s="455"/>
      <c r="E8" s="455"/>
      <c r="F8" s="455"/>
      <c r="G8" s="455"/>
      <c r="H8" s="456" t="s">
        <v>124</v>
      </c>
      <c r="I8" s="456"/>
      <c r="J8" s="456"/>
      <c r="K8" s="456"/>
      <c r="L8" s="183"/>
    </row>
    <row r="9" spans="1:14" ht="11.1" customHeight="1">
      <c r="A9" s="94" t="s">
        <v>51</v>
      </c>
      <c r="B9" s="455" t="s">
        <v>138</v>
      </c>
      <c r="C9" s="472"/>
      <c r="D9" s="180"/>
      <c r="E9" s="180"/>
      <c r="F9" s="180"/>
      <c r="G9" s="181"/>
      <c r="H9" s="186" t="s">
        <v>125</v>
      </c>
      <c r="I9" s="185"/>
      <c r="J9" s="185"/>
      <c r="K9" s="185"/>
      <c r="L9" s="185"/>
    </row>
    <row r="10" spans="1:14" ht="11.1" customHeight="1">
      <c r="A10" s="94" t="s">
        <v>53</v>
      </c>
      <c r="B10" s="449" t="s">
        <v>126</v>
      </c>
      <c r="C10" s="449"/>
      <c r="D10" s="180"/>
      <c r="E10" s="180"/>
      <c r="F10" s="180"/>
      <c r="G10" s="180"/>
      <c r="H10" s="451" t="s">
        <v>52</v>
      </c>
      <c r="I10" s="451"/>
      <c r="J10" s="451"/>
      <c r="K10" s="183"/>
      <c r="L10" s="183"/>
    </row>
    <row r="11" spans="1:14" ht="11.1" customHeight="1">
      <c r="A11" s="23" t="s">
        <v>54</v>
      </c>
      <c r="B11" s="449" t="s">
        <v>131</v>
      </c>
      <c r="C11" s="449"/>
      <c r="D11" s="449"/>
      <c r="E11" s="449"/>
      <c r="F11" s="449"/>
      <c r="G11" s="180"/>
      <c r="H11" s="186" t="s">
        <v>132</v>
      </c>
      <c r="I11" s="185"/>
      <c r="J11" s="185"/>
      <c r="K11" s="473">
        <f>Hofm3_ВАНТАНІ!N5</f>
        <v>4296</v>
      </c>
      <c r="L11" s="499"/>
    </row>
    <row r="12" spans="1:14" ht="11.1" customHeight="1">
      <c r="A12" s="23"/>
      <c r="B12" s="449" t="s">
        <v>137</v>
      </c>
      <c r="C12" s="449"/>
      <c r="D12" s="93"/>
      <c r="E12" s="93"/>
      <c r="F12" s="93"/>
      <c r="G12" s="182"/>
      <c r="H12" s="452" t="s">
        <v>133</v>
      </c>
      <c r="I12" s="452"/>
      <c r="J12" s="452"/>
      <c r="K12" s="187"/>
      <c r="L12" s="184"/>
      <c r="M12" s="164"/>
      <c r="N12" s="164"/>
    </row>
    <row r="13" spans="1:14" ht="11.1" customHeight="1">
      <c r="G13" s="93"/>
      <c r="H13" s="94"/>
      <c r="I13" s="94"/>
      <c r="J13" s="94"/>
      <c r="K13" s="185"/>
      <c r="L13" s="185"/>
    </row>
    <row r="14" spans="1:14" ht="11.1" customHeight="1">
      <c r="H14" s="94"/>
      <c r="I14" s="94"/>
      <c r="J14" s="94"/>
      <c r="K14" s="94"/>
      <c r="L14" s="94"/>
    </row>
    <row r="15" spans="1:14" ht="11.1" customHeight="1">
      <c r="A15" s="23"/>
      <c r="B15" s="23"/>
      <c r="C15" s="23"/>
      <c r="D15" s="42"/>
      <c r="E15" s="42"/>
      <c r="F15" s="42"/>
      <c r="G15" s="42"/>
      <c r="H15" s="453" t="s">
        <v>121</v>
      </c>
      <c r="I15" s="453"/>
      <c r="J15" s="453"/>
      <c r="K15" s="94"/>
      <c r="L15" s="94"/>
    </row>
    <row r="16" spans="1:14" ht="11.1" customHeight="1">
      <c r="A16" s="23"/>
      <c r="B16" s="23"/>
      <c r="C16" s="23"/>
      <c r="D16" s="42"/>
      <c r="E16" s="42"/>
      <c r="F16" s="42"/>
      <c r="G16" s="42"/>
      <c r="H16" s="453" t="s">
        <v>122</v>
      </c>
      <c r="I16" s="453"/>
      <c r="J16" s="453"/>
      <c r="K16" s="94"/>
      <c r="L16" s="94"/>
    </row>
    <row r="17" spans="1:14" ht="11.1" customHeight="1">
      <c r="A17" s="458"/>
      <c r="B17" s="458"/>
      <c r="C17" s="458"/>
      <c r="D17" s="458"/>
      <c r="E17" s="458"/>
      <c r="F17" s="458"/>
      <c r="G17" s="458"/>
      <c r="H17" s="496"/>
      <c r="I17" s="496"/>
      <c r="J17" s="496"/>
      <c r="K17" s="56"/>
      <c r="L17" s="56"/>
    </row>
    <row r="18" spans="1:14" ht="11.1" customHeight="1">
      <c r="A18" s="458"/>
      <c r="B18" s="458"/>
      <c r="C18" s="458"/>
      <c r="D18" s="458"/>
      <c r="E18" s="458"/>
      <c r="F18" s="458"/>
      <c r="G18" s="458"/>
      <c r="H18" s="42"/>
      <c r="I18" s="42"/>
      <c r="J18" s="45"/>
      <c r="K18" s="45"/>
      <c r="L18" s="45"/>
    </row>
    <row r="19" spans="1:14" ht="11.1" customHeight="1">
      <c r="A19" s="458"/>
      <c r="B19" s="458"/>
      <c r="C19" s="458"/>
      <c r="D19" s="458"/>
      <c r="E19" s="458"/>
      <c r="F19" s="458"/>
      <c r="G19" s="458"/>
      <c r="H19" s="42"/>
      <c r="I19" s="42"/>
      <c r="J19" s="45"/>
      <c r="K19" s="45"/>
      <c r="L19" s="45"/>
    </row>
    <row r="20" spans="1:14" ht="10.3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4" ht="14.25" customHeight="1">
      <c r="A21" s="27" t="s">
        <v>55</v>
      </c>
      <c r="B21" s="27"/>
    </row>
    <row r="22" spans="1:14" ht="14.25">
      <c r="A22" s="28"/>
      <c r="B22" s="28"/>
    </row>
    <row r="23" spans="1:14" ht="11.1" customHeight="1">
      <c r="A23" s="479" t="s">
        <v>56</v>
      </c>
      <c r="B23" s="479"/>
      <c r="C23" s="130"/>
      <c r="D23" s="131" t="s">
        <v>108</v>
      </c>
      <c r="E23" s="131"/>
      <c r="F23" s="131" t="s">
        <v>109</v>
      </c>
      <c r="G23" s="131">
        <v>3</v>
      </c>
      <c r="H23" s="131">
        <v>4</v>
      </c>
      <c r="I23" s="131">
        <v>5</v>
      </c>
      <c r="J23" s="131">
        <v>6</v>
      </c>
      <c r="K23" s="131">
        <v>7</v>
      </c>
      <c r="L23" s="131">
        <v>8</v>
      </c>
      <c r="M23" s="131">
        <v>9</v>
      </c>
      <c r="N23" s="132" t="s">
        <v>29</v>
      </c>
    </row>
    <row r="24" spans="1:14" ht="11.1" customHeight="1">
      <c r="A24" s="443" t="s">
        <v>0</v>
      </c>
      <c r="B24" s="444"/>
      <c r="C24" s="34" t="s">
        <v>1</v>
      </c>
      <c r="D24" s="36">
        <f ca="1">Hofm3_ВАНТАНІ!C1</f>
        <v>28111</v>
      </c>
      <c r="E24" s="439">
        <f ca="1">Hofm3_ВАНТАНІ!D1</f>
        <v>29257</v>
      </c>
      <c r="F24" s="440"/>
      <c r="G24" s="36">
        <f ca="1">Hofm3_ВАНТАНІ!E1</f>
        <v>24431</v>
      </c>
      <c r="H24" s="36"/>
      <c r="I24" s="39"/>
      <c r="J24" s="39"/>
      <c r="K24" s="39"/>
      <c r="L24" s="39"/>
      <c r="M24" s="39"/>
      <c r="N24" s="38"/>
    </row>
    <row r="25" spans="1:14" ht="11.1" customHeight="1">
      <c r="A25" s="443" t="s">
        <v>2</v>
      </c>
      <c r="B25" s="444"/>
      <c r="C25" s="34" t="s">
        <v>1</v>
      </c>
      <c r="D25" s="36">
        <f ca="1">Hofm3_ВАНТАНІ!C2</f>
        <v>28369</v>
      </c>
      <c r="E25" s="439">
        <f ca="1">Hofm3_ВАНТАНІ!D2</f>
        <v>26504</v>
      </c>
      <c r="F25" s="440"/>
      <c r="G25" s="36">
        <f ca="1">Hofm3_ВАНТАНІ!E2</f>
        <v>29320</v>
      </c>
      <c r="H25" s="36"/>
      <c r="I25" s="39"/>
      <c r="J25" s="39"/>
      <c r="K25" s="39"/>
      <c r="L25" s="39"/>
      <c r="M25" s="39"/>
      <c r="N25" s="38"/>
    </row>
    <row r="26" spans="1:14" ht="11.1" customHeight="1">
      <c r="A26" s="443" t="s">
        <v>3</v>
      </c>
      <c r="B26" s="444"/>
      <c r="C26" s="34" t="s">
        <v>1</v>
      </c>
      <c r="D26" s="36">
        <f ca="1">Hofm3_ВАНТАНІ!C3</f>
        <v>944</v>
      </c>
      <c r="E26" s="439">
        <f ca="1">Hofm3_ВАНТАНІ!D3</f>
        <v>929</v>
      </c>
      <c r="F26" s="440"/>
      <c r="G26" s="36">
        <f ca="1">Hofm3_ВАНТАНІ!E3</f>
        <v>849</v>
      </c>
      <c r="H26" s="36"/>
      <c r="I26" s="39"/>
      <c r="J26" s="39"/>
      <c r="K26" s="39"/>
      <c r="L26" s="39"/>
      <c r="M26" s="39"/>
      <c r="N26" s="38"/>
    </row>
    <row r="27" spans="1:14" ht="11.1" customHeight="1">
      <c r="A27" s="443" t="s">
        <v>75</v>
      </c>
      <c r="B27" s="444"/>
      <c r="C27" s="34" t="s">
        <v>1</v>
      </c>
      <c r="D27" s="36">
        <f ca="1">Hofm3_ВАНТАНІ!C4</f>
        <v>773</v>
      </c>
      <c r="E27" s="439">
        <f ca="1">Hofm3_ВАНТАНІ!D4</f>
        <v>809</v>
      </c>
      <c r="F27" s="440"/>
      <c r="G27" s="36">
        <f ca="1">Hofm3_ВАНТАНІ!E4</f>
        <v>942</v>
      </c>
      <c r="H27" s="36"/>
      <c r="I27" s="39"/>
      <c r="J27" s="39"/>
      <c r="K27" s="39"/>
      <c r="L27" s="39"/>
      <c r="M27" s="39"/>
      <c r="N27" s="38"/>
    </row>
    <row r="28" spans="1:14" ht="11.1" customHeight="1">
      <c r="A28" s="443" t="s">
        <v>5</v>
      </c>
      <c r="B28" s="444"/>
      <c r="C28" s="34" t="s">
        <v>6</v>
      </c>
      <c r="D28" s="36"/>
      <c r="E28" s="439"/>
      <c r="F28" s="440"/>
      <c r="G28" s="36"/>
      <c r="H28" s="36"/>
      <c r="I28" s="39"/>
      <c r="J28" s="39"/>
      <c r="K28" s="39"/>
      <c r="L28" s="39"/>
      <c r="M28" s="39"/>
      <c r="N28" s="38"/>
    </row>
    <row r="29" spans="1:14" ht="11.1" customHeight="1">
      <c r="A29" s="443" t="s">
        <v>7</v>
      </c>
      <c r="B29" s="444"/>
      <c r="C29" s="35" t="s">
        <v>6</v>
      </c>
      <c r="D29" s="103" t="s">
        <v>134</v>
      </c>
      <c r="E29" s="482" t="s">
        <v>134</v>
      </c>
      <c r="F29" s="440"/>
      <c r="G29" s="103" t="s">
        <v>134</v>
      </c>
      <c r="H29" s="36"/>
      <c r="I29" s="39"/>
      <c r="J29" s="39"/>
      <c r="K29" s="39"/>
      <c r="L29" s="39"/>
      <c r="M29" s="39"/>
      <c r="N29" s="38"/>
    </row>
    <row r="30" spans="1:14" ht="11.1" customHeight="1">
      <c r="A30" s="443" t="s">
        <v>8</v>
      </c>
      <c r="B30" s="444"/>
      <c r="C30" s="35" t="s">
        <v>6</v>
      </c>
      <c r="D30" s="103" t="s">
        <v>143</v>
      </c>
      <c r="E30" s="482" t="s">
        <v>145</v>
      </c>
      <c r="F30" s="440"/>
      <c r="G30" s="103" t="s">
        <v>144</v>
      </c>
      <c r="H30" s="36"/>
      <c r="I30" s="39"/>
      <c r="J30" s="39"/>
      <c r="K30" s="39"/>
      <c r="L30" s="39"/>
      <c r="M30" s="39"/>
      <c r="N30" s="38"/>
    </row>
    <row r="31" spans="1:14" ht="11.1" customHeight="1">
      <c r="A31" s="443" t="s">
        <v>9</v>
      </c>
      <c r="B31" s="444"/>
      <c r="C31" s="34" t="s">
        <v>1</v>
      </c>
      <c r="D31" s="36">
        <f ca="1">Hofm3_ВАНТАНІ!C8</f>
        <v>179</v>
      </c>
      <c r="E31" s="439">
        <f ca="1">Hofm3_ВАНТАНІ!D8</f>
        <v>380</v>
      </c>
      <c r="F31" s="440"/>
      <c r="G31" s="36">
        <f ca="1">Hofm3_ВАНТАНІ!E8</f>
        <v>297</v>
      </c>
      <c r="H31" s="36"/>
      <c r="I31" s="39"/>
      <c r="J31" s="39"/>
      <c r="K31" s="39"/>
      <c r="L31" s="39"/>
      <c r="M31" s="39"/>
      <c r="N31" s="34" t="s">
        <v>59</v>
      </c>
    </row>
    <row r="32" spans="1:14" ht="11.1" customHeight="1">
      <c r="A32" s="443" t="s">
        <v>10</v>
      </c>
      <c r="B32" s="444"/>
      <c r="C32" s="35" t="s">
        <v>6</v>
      </c>
      <c r="D32" s="36">
        <f>Hofmann!C9</f>
        <v>6.5</v>
      </c>
      <c r="E32" s="439">
        <f>Hofmann!D9</f>
        <v>6.5</v>
      </c>
      <c r="F32" s="440"/>
      <c r="G32" s="36">
        <v>6.5</v>
      </c>
      <c r="H32" s="36"/>
      <c r="I32" s="39"/>
      <c r="J32" s="39"/>
      <c r="K32" s="39"/>
      <c r="L32" s="39"/>
      <c r="M32" s="39"/>
      <c r="N32" s="40"/>
    </row>
    <row r="33" spans="1:14" ht="11.1" customHeight="1">
      <c r="A33" s="443" t="s">
        <v>11</v>
      </c>
      <c r="B33" s="444"/>
      <c r="C33" s="35" t="s">
        <v>12</v>
      </c>
      <c r="D33" s="389">
        <f ca="1">Hofm3_ВАНТАНІ!C11</f>
        <v>1</v>
      </c>
      <c r="E33" s="447">
        <f ca="1">Hofm3_ВАНТАНІ!D11</f>
        <v>9</v>
      </c>
      <c r="F33" s="448"/>
      <c r="G33" s="389">
        <f ca="1">Hofm3_ВАНТАНІ!E11</f>
        <v>17</v>
      </c>
      <c r="H33" s="36"/>
      <c r="I33" s="39"/>
      <c r="J33" s="39"/>
      <c r="K33" s="39"/>
      <c r="L33" s="39"/>
      <c r="M33" s="39"/>
      <c r="N33" s="34" t="s">
        <v>33</v>
      </c>
    </row>
    <row r="34" spans="1:14" ht="11.1" customHeight="1">
      <c r="A34" s="443" t="s">
        <v>13</v>
      </c>
      <c r="B34" s="444"/>
      <c r="C34" s="35" t="s">
        <v>12</v>
      </c>
      <c r="D34" s="36">
        <f ca="1">ROUND(D33*RANDBETWEEN(12,14)/10,0)</f>
        <v>1</v>
      </c>
      <c r="E34" s="439">
        <f ca="1">ROUND(E33*RANDBETWEEN(12,14)/10,0)</f>
        <v>13</v>
      </c>
      <c r="F34" s="440"/>
      <c r="G34" s="36">
        <f ca="1">ROUND(G33*RANDBETWEEN(12,14)/10,0)</f>
        <v>24</v>
      </c>
      <c r="H34" s="36"/>
      <c r="I34" s="39"/>
      <c r="J34" s="39"/>
      <c r="K34" s="39"/>
      <c r="L34" s="39"/>
      <c r="M34" s="39"/>
      <c r="N34" s="34" t="s">
        <v>33</v>
      </c>
    </row>
    <row r="35" spans="1:14" ht="11.1" customHeight="1">
      <c r="A35" s="443" t="s">
        <v>14</v>
      </c>
      <c r="B35" s="444"/>
      <c r="C35" s="35" t="s">
        <v>12</v>
      </c>
      <c r="D35" s="36"/>
      <c r="E35" s="439"/>
      <c r="F35" s="440"/>
      <c r="G35" s="36"/>
      <c r="H35" s="36"/>
      <c r="I35" s="39"/>
      <c r="J35" s="39"/>
      <c r="K35" s="39"/>
      <c r="L35" s="39"/>
      <c r="M35" s="39"/>
      <c r="N35" s="34" t="s">
        <v>60</v>
      </c>
    </row>
    <row r="36" spans="1:14" ht="11.1" customHeight="1">
      <c r="A36" s="443" t="s">
        <v>15</v>
      </c>
      <c r="B36" s="444"/>
      <c r="C36" s="35" t="s">
        <v>12</v>
      </c>
      <c r="D36" s="36"/>
      <c r="E36" s="439"/>
      <c r="F36" s="440"/>
      <c r="G36" s="36"/>
      <c r="H36" s="36"/>
      <c r="I36" s="39"/>
      <c r="J36" s="39"/>
      <c r="K36" s="39"/>
      <c r="L36" s="39"/>
      <c r="M36" s="39"/>
      <c r="N36" s="34" t="s">
        <v>60</v>
      </c>
    </row>
    <row r="37" spans="1:14" ht="11.1" customHeight="1">
      <c r="A37" s="443" t="s">
        <v>16</v>
      </c>
      <c r="B37" s="444"/>
      <c r="C37" s="35" t="s">
        <v>17</v>
      </c>
      <c r="D37" s="36">
        <f ca="1">Hofm3_ВАНТАНІ!C14</f>
        <v>4462</v>
      </c>
      <c r="E37" s="439">
        <f ca="1">Hofm3_ВАНТАНІ!D14</f>
        <v>4644</v>
      </c>
      <c r="F37" s="440"/>
      <c r="G37" s="36">
        <f ca="1">Hofm3_ВАНТАНІ!E14</f>
        <v>3878</v>
      </c>
      <c r="H37" s="36"/>
      <c r="I37" s="39"/>
      <c r="J37" s="39"/>
      <c r="K37" s="39"/>
      <c r="L37" s="39"/>
      <c r="M37" s="39"/>
      <c r="N37" s="40"/>
    </row>
    <row r="38" spans="1:14" ht="11.1" customHeight="1">
      <c r="A38" s="443" t="s">
        <v>74</v>
      </c>
      <c r="B38" s="444"/>
      <c r="C38" s="35" t="s">
        <v>17</v>
      </c>
      <c r="D38" s="36">
        <f ca="1">Hofm3_ВАНТАНІ!C15</f>
        <v>4503</v>
      </c>
      <c r="E38" s="439">
        <f ca="1">Hofm3_ВАНТАНІ!D15</f>
        <v>4207</v>
      </c>
      <c r="F38" s="440"/>
      <c r="G38" s="36">
        <f ca="1">Hofm3_ВАНТАНІ!E15</f>
        <v>4654</v>
      </c>
      <c r="H38" s="36"/>
      <c r="I38" s="39"/>
      <c r="J38" s="39"/>
      <c r="K38" s="39"/>
      <c r="L38" s="39"/>
      <c r="M38" s="39"/>
      <c r="N38" s="40"/>
    </row>
    <row r="39" spans="1:14" ht="11.1" customHeight="1">
      <c r="A39" s="443" t="s">
        <v>76</v>
      </c>
      <c r="B39" s="444"/>
      <c r="C39" s="35" t="s">
        <v>17</v>
      </c>
      <c r="D39" s="36">
        <f>Hofm3_ВАНТАНІ!C16</f>
        <v>8965</v>
      </c>
      <c r="E39" s="439">
        <f>Hofm3_ВАНТАНІ!D16</f>
        <v>8851</v>
      </c>
      <c r="F39" s="440"/>
      <c r="G39" s="36">
        <f>Hofm3_ВАНТАНІ!E16</f>
        <v>8532</v>
      </c>
      <c r="H39" s="36"/>
      <c r="I39" s="39"/>
      <c r="J39" s="39"/>
      <c r="K39" s="39"/>
      <c r="L39" s="39"/>
      <c r="M39" s="39"/>
      <c r="N39" s="40"/>
    </row>
    <row r="40" spans="1:14" ht="11.1" customHeight="1">
      <c r="A40" s="443" t="s">
        <v>20</v>
      </c>
      <c r="B40" s="444"/>
      <c r="C40" s="35" t="s">
        <v>21</v>
      </c>
      <c r="D40" s="53">
        <f ca="1">Hofmann!C17</f>
        <v>0.126</v>
      </c>
      <c r="E40" s="441">
        <f ca="1">Hofmann!D17</f>
        <v>0.14499999999999999</v>
      </c>
      <c r="F40" s="442"/>
      <c r="G40" s="175">
        <f ca="1">Hofm3_ВАНТАНІ!E17</f>
        <v>0.26800000000000002</v>
      </c>
      <c r="H40" s="39"/>
      <c r="I40" s="39"/>
      <c r="J40" s="39"/>
      <c r="K40" s="39"/>
      <c r="L40" s="39"/>
      <c r="M40" s="39"/>
      <c r="N40" s="102" t="s">
        <v>147</v>
      </c>
    </row>
    <row r="41" spans="1:14" ht="11.1" customHeight="1">
      <c r="A41" s="443" t="s">
        <v>22</v>
      </c>
      <c r="B41" s="444"/>
      <c r="C41" s="35" t="s">
        <v>21</v>
      </c>
      <c r="D41" s="53">
        <f ca="1">Hofmann!C18</f>
        <v>0.161</v>
      </c>
      <c r="E41" s="441">
        <f ca="1">Hofmann!D18</f>
        <v>0.16700000000000001</v>
      </c>
      <c r="F41" s="442"/>
      <c r="G41" s="175">
        <f ca="1">Hofm3_ВАНТАНІ!E18</f>
        <v>0.111</v>
      </c>
      <c r="H41" s="39"/>
      <c r="I41" s="39"/>
      <c r="J41" s="39"/>
      <c r="K41" s="39"/>
      <c r="L41" s="39"/>
      <c r="M41" s="39"/>
      <c r="N41" s="102" t="s">
        <v>147</v>
      </c>
    </row>
    <row r="42" spans="1:14" ht="11.1" customHeight="1">
      <c r="A42" s="443" t="s">
        <v>23</v>
      </c>
      <c r="B42" s="444"/>
      <c r="C42" s="35" t="s">
        <v>21</v>
      </c>
      <c r="D42" s="53">
        <f ca="1">Hofmann!C19</f>
        <v>0.1</v>
      </c>
      <c r="E42" s="441">
        <f ca="1">Hofmann!D19</f>
        <v>0.05</v>
      </c>
      <c r="F42" s="442"/>
      <c r="G42" s="175">
        <f ca="1">Hofm3_ВАНТАНІ!E19</f>
        <v>0.2</v>
      </c>
      <c r="H42" s="39"/>
      <c r="I42" s="39"/>
      <c r="J42" s="39"/>
      <c r="K42" s="39"/>
      <c r="L42" s="39"/>
      <c r="M42" s="39"/>
      <c r="N42" s="102" t="s">
        <v>146</v>
      </c>
    </row>
    <row r="43" spans="1:14" ht="10.35" customHeight="1">
      <c r="A43" s="22"/>
      <c r="B43" s="22"/>
      <c r="C43" s="22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ht="10.35" customHeight="1">
      <c r="A44" s="30"/>
      <c r="B44" s="30"/>
    </row>
    <row r="45" spans="1:14" ht="11.1" customHeight="1">
      <c r="A45" s="470" t="s">
        <v>24</v>
      </c>
      <c r="B45" s="470"/>
      <c r="C45" s="470"/>
      <c r="D45" s="437">
        <f ca="1">Hofm3_ВАНТАНІ!B21</f>
        <v>165992</v>
      </c>
      <c r="E45" s="495"/>
      <c r="F45" s="495"/>
      <c r="G45" s="43"/>
      <c r="H45" s="43"/>
      <c r="I45" s="43"/>
      <c r="J45" s="43"/>
      <c r="K45" s="43"/>
      <c r="L45" s="43"/>
      <c r="M45" s="43"/>
      <c r="N45" s="44"/>
    </row>
    <row r="46" spans="1:14" ht="11.1" customHeight="1">
      <c r="A46" s="470" t="s">
        <v>68</v>
      </c>
      <c r="B46" s="470"/>
      <c r="C46" s="470"/>
      <c r="D46" s="54">
        <f ca="1">Hofm3_ВАНТАНІ!B22</f>
        <v>0.642200287317233</v>
      </c>
      <c r="E46" s="54"/>
      <c r="F46" s="43"/>
      <c r="G46" s="43"/>
      <c r="H46" s="43"/>
      <c r="I46" s="43"/>
      <c r="J46" s="43"/>
      <c r="K46" s="43"/>
      <c r="L46" s="43"/>
      <c r="M46" s="44"/>
      <c r="N46" s="46" t="s">
        <v>112</v>
      </c>
    </row>
    <row r="47" spans="1:14" ht="11.1" customHeight="1">
      <c r="A47" s="470" t="s">
        <v>69</v>
      </c>
      <c r="B47" s="470"/>
      <c r="C47" s="470"/>
      <c r="D47" s="43" t="str">
        <f>Hofmann!B23</f>
        <v>%</v>
      </c>
      <c r="E47" s="43"/>
      <c r="F47" s="43"/>
      <c r="G47" s="43"/>
      <c r="H47" s="43"/>
      <c r="I47" s="43"/>
      <c r="J47" s="43"/>
      <c r="K47" s="43"/>
      <c r="L47" s="43"/>
      <c r="M47" s="44"/>
      <c r="N47" s="51"/>
    </row>
    <row r="48" spans="1:14" ht="10.35" customHeight="1">
      <c r="A48" s="32"/>
      <c r="B48" s="32"/>
      <c r="C48" s="481"/>
      <c r="D48" s="481"/>
      <c r="E48" s="176"/>
      <c r="F48" s="33"/>
      <c r="G48" s="33"/>
      <c r="H48" s="33"/>
      <c r="I48" s="33"/>
      <c r="J48" s="33"/>
      <c r="K48" s="33"/>
      <c r="L48" s="33"/>
      <c r="M48" s="33"/>
      <c r="N48" s="52"/>
    </row>
    <row r="49" spans="1:14" ht="10.35" customHeight="1">
      <c r="A49" s="30"/>
      <c r="B49" s="30"/>
    </row>
    <row r="50" spans="1:14" ht="10.5" customHeight="1">
      <c r="A50" s="478" t="s">
        <v>28</v>
      </c>
      <c r="B50" s="478"/>
      <c r="C50" s="48"/>
      <c r="D50" s="49">
        <v>1</v>
      </c>
      <c r="E50" s="49"/>
      <c r="F50" s="49" t="s">
        <v>71</v>
      </c>
      <c r="G50" s="49">
        <v>3</v>
      </c>
      <c r="H50" s="49">
        <v>4</v>
      </c>
      <c r="I50" s="49">
        <v>5</v>
      </c>
      <c r="J50" s="49">
        <v>6</v>
      </c>
      <c r="K50" s="49">
        <v>7</v>
      </c>
      <c r="L50" s="49">
        <v>8</v>
      </c>
      <c r="M50" s="49">
        <v>9</v>
      </c>
      <c r="N50" s="47" t="s">
        <v>29</v>
      </c>
    </row>
    <row r="51" spans="1:14" ht="11.1" customHeight="1">
      <c r="A51" s="443" t="s">
        <v>30</v>
      </c>
      <c r="B51" s="444"/>
      <c r="C51" s="34" t="s">
        <v>1</v>
      </c>
      <c r="D51" s="36"/>
      <c r="E51" s="439">
        <f ca="1">Hofm3_ВАНТАНІ!D26</f>
        <v>18022</v>
      </c>
      <c r="F51" s="440"/>
      <c r="G51" s="36">
        <f ca="1">Hofm3_ВАНТАНІ!E26</f>
        <v>15049</v>
      </c>
      <c r="H51" s="36"/>
      <c r="I51" s="37"/>
      <c r="J51" s="35"/>
      <c r="K51" s="35"/>
      <c r="L51" s="35"/>
      <c r="M51" s="35"/>
      <c r="N51" s="38"/>
    </row>
    <row r="52" spans="1:14" ht="11.1" customHeight="1">
      <c r="A52" s="443" t="s">
        <v>31</v>
      </c>
      <c r="B52" s="444"/>
      <c r="C52" s="34" t="s">
        <v>1</v>
      </c>
      <c r="D52" s="36"/>
      <c r="E52" s="439">
        <f ca="1">Hofm3_ВАНТАНІ!D27</f>
        <v>16326</v>
      </c>
      <c r="F52" s="440"/>
      <c r="G52" s="36">
        <f ca="1">Hofm3_ВАНТАНІ!E27</f>
        <v>18060</v>
      </c>
      <c r="H52" s="35"/>
      <c r="I52" s="35"/>
      <c r="J52" s="35"/>
      <c r="K52" s="35"/>
      <c r="L52" s="35"/>
      <c r="M52" s="35"/>
      <c r="N52" s="38"/>
    </row>
    <row r="53" spans="1:14" ht="11.1" customHeight="1">
      <c r="A53" s="443" t="s">
        <v>32</v>
      </c>
      <c r="B53" s="444"/>
      <c r="C53" s="34" t="s">
        <v>12</v>
      </c>
      <c r="D53" s="35"/>
      <c r="E53" s="483"/>
      <c r="F53" s="484"/>
      <c r="G53" s="35"/>
      <c r="H53" s="35"/>
      <c r="I53" s="35"/>
      <c r="J53" s="35"/>
      <c r="K53" s="35"/>
      <c r="L53" s="35"/>
      <c r="M53" s="35"/>
      <c r="N53" s="35" t="s">
        <v>33</v>
      </c>
    </row>
    <row r="54" spans="1:14" ht="11.1" customHeight="1">
      <c r="A54" s="30"/>
      <c r="B54" s="3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1.1" customHeight="1">
      <c r="A55" s="480" t="s">
        <v>25</v>
      </c>
      <c r="B55" s="480"/>
      <c r="C55" s="480"/>
      <c r="D55" s="489">
        <f ca="1">Hofm3_ВАНТАНІ!B31</f>
        <v>0.26098188335316513</v>
      </c>
      <c r="E55" s="489"/>
      <c r="F55" s="489"/>
      <c r="G55" s="489"/>
      <c r="H55" s="489"/>
      <c r="I55" s="489"/>
      <c r="J55" s="489"/>
      <c r="K55" s="489"/>
      <c r="L55" s="489"/>
      <c r="M55" s="489"/>
      <c r="N55" s="34" t="s">
        <v>34</v>
      </c>
    </row>
    <row r="56" spans="1:14" ht="11.1" customHeight="1">
      <c r="A56" s="480" t="s">
        <v>27</v>
      </c>
      <c r="B56" s="480"/>
      <c r="C56" s="480"/>
      <c r="D56" s="470" t="str">
        <f>Hofmann!B32</f>
        <v>%</v>
      </c>
      <c r="E56" s="470"/>
      <c r="F56" s="470"/>
      <c r="G56" s="470"/>
      <c r="H56" s="470"/>
      <c r="I56" s="470"/>
      <c r="J56" s="470"/>
      <c r="K56" s="470"/>
      <c r="L56" s="470"/>
      <c r="M56" s="470"/>
      <c r="N56" s="51"/>
    </row>
    <row r="57" spans="1:14">
      <c r="A57" s="476"/>
      <c r="B57" s="476"/>
      <c r="C57" s="476"/>
      <c r="D57" s="476"/>
      <c r="E57" s="476"/>
      <c r="F57" s="476"/>
      <c r="G57" s="476"/>
      <c r="H57" s="476"/>
      <c r="I57" s="476"/>
      <c r="J57" s="476"/>
    </row>
    <row r="58" spans="1:14" ht="10.35" customHeight="1" thickBot="1">
      <c r="A58" s="490" t="s">
        <v>70</v>
      </c>
      <c r="B58" s="490"/>
      <c r="C58" s="491"/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</row>
    <row r="59" spans="1:14" ht="13.5" customHeight="1" thickTop="1">
      <c r="A59" s="476"/>
      <c r="B59" s="476"/>
      <c r="C59" s="476"/>
      <c r="D59" s="476"/>
      <c r="E59" s="476"/>
      <c r="F59" s="476"/>
      <c r="G59" s="476"/>
      <c r="H59" s="476"/>
      <c r="I59" s="476"/>
      <c r="J59" s="476"/>
    </row>
    <row r="60" spans="1:14" ht="24" customHeight="1">
      <c r="A60" s="139" t="s">
        <v>111</v>
      </c>
      <c r="B60" s="139"/>
      <c r="C60" s="140"/>
      <c r="D60" s="140"/>
      <c r="E60" s="140"/>
      <c r="F60" s="140"/>
      <c r="G60" s="140"/>
      <c r="H60" s="140"/>
      <c r="I60" s="140"/>
      <c r="J60" s="140"/>
      <c r="K60" s="141"/>
      <c r="L60" s="141"/>
      <c r="M60" s="141"/>
      <c r="N60" s="141"/>
    </row>
    <row r="61" spans="1:14" ht="24" customHeight="1">
      <c r="A61" s="133"/>
      <c r="B61" s="133"/>
      <c r="C61" s="133"/>
      <c r="D61" s="133"/>
      <c r="E61" s="133"/>
      <c r="F61" s="133"/>
      <c r="G61" s="133"/>
      <c r="H61" s="134"/>
      <c r="I61" s="134"/>
      <c r="J61" s="134"/>
      <c r="K61" s="52"/>
      <c r="L61" s="52"/>
      <c r="M61" s="52"/>
      <c r="N61" s="52"/>
    </row>
    <row r="62" spans="1:14" ht="23.25" customHeight="1">
      <c r="A62" s="488" t="s">
        <v>61</v>
      </c>
      <c r="B62" s="488"/>
      <c r="C62" s="488"/>
      <c r="D62" s="133"/>
      <c r="E62" s="133"/>
      <c r="F62" s="133"/>
      <c r="G62" s="133"/>
      <c r="H62" s="134"/>
      <c r="I62" s="134"/>
      <c r="J62" s="487" t="s">
        <v>62</v>
      </c>
      <c r="K62" s="487"/>
      <c r="L62" s="487"/>
      <c r="M62" s="52"/>
      <c r="N62" s="52"/>
    </row>
    <row r="63" spans="1:14" ht="12" customHeight="1">
      <c r="A63" s="121" t="s">
        <v>63</v>
      </c>
      <c r="B63" s="121"/>
      <c r="C63" s="477" t="s">
        <v>64</v>
      </c>
      <c r="D63" s="477"/>
      <c r="E63" s="119"/>
      <c r="F63" s="119"/>
      <c r="G63" s="120" t="s">
        <v>103</v>
      </c>
      <c r="H63" s="120"/>
      <c r="J63" s="477" t="s">
        <v>65</v>
      </c>
      <c r="K63" s="477"/>
      <c r="L63" s="477"/>
      <c r="M63" s="486" t="s">
        <v>104</v>
      </c>
      <c r="N63" s="486"/>
    </row>
    <row r="64" spans="1:14" ht="12" customHeight="1">
      <c r="A64" s="121" t="s">
        <v>66</v>
      </c>
      <c r="B64" s="121"/>
      <c r="C64" s="477" t="s">
        <v>64</v>
      </c>
      <c r="D64" s="477"/>
      <c r="E64" s="119"/>
      <c r="F64" s="119"/>
      <c r="G64" s="120" t="s">
        <v>103</v>
      </c>
      <c r="H64" s="120"/>
      <c r="J64" s="485" t="s">
        <v>65</v>
      </c>
      <c r="K64" s="485"/>
      <c r="L64" s="485"/>
      <c r="M64" s="486" t="s">
        <v>67</v>
      </c>
      <c r="N64" s="486"/>
    </row>
    <row r="65" spans="1:14" ht="12" customHeight="1">
      <c r="A65" s="32"/>
      <c r="B65" s="32"/>
      <c r="C65" s="475"/>
      <c r="D65" s="475"/>
      <c r="E65" s="32"/>
      <c r="F65" s="32"/>
      <c r="G65" s="475"/>
      <c r="H65" s="475"/>
      <c r="I65" s="475"/>
      <c r="J65" s="475"/>
      <c r="K65" s="33"/>
      <c r="L65" s="33"/>
      <c r="M65" s="33"/>
      <c r="N65" s="33"/>
    </row>
    <row r="66" spans="1:14" ht="12" customHeight="1"/>
    <row r="67" spans="1:14" ht="12" customHeight="1"/>
  </sheetData>
  <mergeCells count="96">
    <mergeCell ref="A7:G7"/>
    <mergeCell ref="H7:J7"/>
    <mergeCell ref="H8:K8"/>
    <mergeCell ref="K11:L11"/>
    <mergeCell ref="B8:G8"/>
    <mergeCell ref="H10:J10"/>
    <mergeCell ref="B11:F11"/>
    <mergeCell ref="B9:C9"/>
    <mergeCell ref="B10:C10"/>
    <mergeCell ref="A2:M2"/>
    <mergeCell ref="G4:H4"/>
    <mergeCell ref="L4:N4"/>
    <mergeCell ref="D4:F4"/>
    <mergeCell ref="F6:G6"/>
    <mergeCell ref="M6:N6"/>
    <mergeCell ref="A5:B5"/>
    <mergeCell ref="C5:D5"/>
    <mergeCell ref="F5:G5"/>
    <mergeCell ref="K5:N5"/>
    <mergeCell ref="H16:J16"/>
    <mergeCell ref="A17:G17"/>
    <mergeCell ref="H17:J17"/>
    <mergeCell ref="H15:J15"/>
    <mergeCell ref="H12:J12"/>
    <mergeCell ref="B12:C12"/>
    <mergeCell ref="A25:B25"/>
    <mergeCell ref="A26:B26"/>
    <mergeCell ref="A27:B27"/>
    <mergeCell ref="A28:B28"/>
    <mergeCell ref="A18:G18"/>
    <mergeCell ref="A19:G19"/>
    <mergeCell ref="A23:B23"/>
    <mergeCell ref="A24:B24"/>
    <mergeCell ref="E24:F24"/>
    <mergeCell ref="E25:F25"/>
    <mergeCell ref="A33:B33"/>
    <mergeCell ref="A34:B34"/>
    <mergeCell ref="A35:B35"/>
    <mergeCell ref="A36:B36"/>
    <mergeCell ref="A29:B29"/>
    <mergeCell ref="A30:B30"/>
    <mergeCell ref="A31:B31"/>
    <mergeCell ref="A32:B32"/>
    <mergeCell ref="A41:B41"/>
    <mergeCell ref="A42:B42"/>
    <mergeCell ref="A45:C45"/>
    <mergeCell ref="A46:C46"/>
    <mergeCell ref="A37:B37"/>
    <mergeCell ref="A38:B38"/>
    <mergeCell ref="A39:B39"/>
    <mergeCell ref="A40:B40"/>
    <mergeCell ref="A52:B52"/>
    <mergeCell ref="A53:B53"/>
    <mergeCell ref="A55:C55"/>
    <mergeCell ref="D55:M55"/>
    <mergeCell ref="A47:C47"/>
    <mergeCell ref="C48:D48"/>
    <mergeCell ref="A50:B50"/>
    <mergeCell ref="A51:B51"/>
    <mergeCell ref="E52:F52"/>
    <mergeCell ref="E53:F53"/>
    <mergeCell ref="J62:L62"/>
    <mergeCell ref="C63:D63"/>
    <mergeCell ref="J63:L63"/>
    <mergeCell ref="A56:C56"/>
    <mergeCell ref="D56:M56"/>
    <mergeCell ref="A57:J57"/>
    <mergeCell ref="A58:N58"/>
    <mergeCell ref="A59:J59"/>
    <mergeCell ref="A62:C62"/>
    <mergeCell ref="C65:D65"/>
    <mergeCell ref="G65:H65"/>
    <mergeCell ref="I65:J65"/>
    <mergeCell ref="M63:N63"/>
    <mergeCell ref="C64:D64"/>
    <mergeCell ref="J64:L64"/>
    <mergeCell ref="M64:N64"/>
    <mergeCell ref="E34:F34"/>
    <mergeCell ref="E38:F38"/>
    <mergeCell ref="E39:F39"/>
    <mergeCell ref="E26:F26"/>
    <mergeCell ref="E27:F27"/>
    <mergeCell ref="E28:F28"/>
    <mergeCell ref="E29:F29"/>
    <mergeCell ref="E30:F30"/>
    <mergeCell ref="E31:F31"/>
    <mergeCell ref="E32:F32"/>
    <mergeCell ref="E33:F33"/>
    <mergeCell ref="E35:F35"/>
    <mergeCell ref="E36:F36"/>
    <mergeCell ref="E37:F37"/>
    <mergeCell ref="E40:F40"/>
    <mergeCell ref="E41:F41"/>
    <mergeCell ref="E42:F42"/>
    <mergeCell ref="E51:F51"/>
    <mergeCell ref="D45:F45"/>
  </mergeCells>
  <phoneticPr fontId="3" type="noConversion"/>
  <pageMargins left="0.39370078740157483" right="0.39370078740157483" top="0.19685039370078741" bottom="0.19685039370078741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H1" zoomScale="85" zoomScaleNormal="85" workbookViewId="0">
      <selection activeCell="N6" sqref="N6"/>
    </sheetView>
  </sheetViews>
  <sheetFormatPr defaultRowHeight="12.75"/>
  <cols>
    <col min="3" max="5" width="10.7109375" bestFit="1" customWidth="1"/>
    <col min="9" max="9" width="10.5703125" bestFit="1" customWidth="1"/>
  </cols>
  <sheetData>
    <row r="1" spans="1:28" ht="57" thickBot="1">
      <c r="A1" s="1" t="s">
        <v>0</v>
      </c>
      <c r="B1" s="2" t="s">
        <v>1</v>
      </c>
      <c r="C1" s="18">
        <f t="shared" ref="C1:E2" ca="1" si="0">Q20</f>
        <v>21443</v>
      </c>
      <c r="D1" s="18">
        <f t="shared" ca="1" si="0"/>
        <v>21017</v>
      </c>
      <c r="E1" s="18">
        <f t="shared" ca="1" si="0"/>
        <v>21865</v>
      </c>
      <c r="F1" s="4">
        <f ca="1">ROUND(F21*0.4+RAND()*0.14,0)</f>
        <v>44085</v>
      </c>
      <c r="G1" s="5"/>
      <c r="H1" s="6" t="s">
        <v>38</v>
      </c>
      <c r="I1" s="7" t="s">
        <v>39</v>
      </c>
      <c r="J1" s="7" t="s">
        <v>40</v>
      </c>
      <c r="K1" s="7" t="s">
        <v>41</v>
      </c>
      <c r="L1" s="5"/>
      <c r="M1" s="86" t="s">
        <v>93</v>
      </c>
      <c r="N1" s="502"/>
      <c r="O1" s="503"/>
      <c r="P1" s="152" t="str">
        <f>H1</f>
        <v>Технічно допустима маса</v>
      </c>
      <c r="Q1" s="152" t="str">
        <f>I1</f>
        <v>Допустиме навантаження на 1 вісь</v>
      </c>
      <c r="R1" s="152" t="str">
        <f>J1</f>
        <v>Допустиме навантаження на 2 вісь</v>
      </c>
      <c r="S1" s="152" t="str">
        <f>K1</f>
        <v>Допустиме навантаження на 3 вісь</v>
      </c>
    </row>
    <row r="2" spans="1:28" ht="24.75" thickBot="1">
      <c r="A2" s="8" t="s">
        <v>72</v>
      </c>
      <c r="B2" s="9" t="s">
        <v>1</v>
      </c>
      <c r="C2" s="19">
        <f t="shared" ca="1" si="0"/>
        <v>19057</v>
      </c>
      <c r="D2" s="19">
        <f t="shared" ca="1" si="0"/>
        <v>20137</v>
      </c>
      <c r="E2" s="19">
        <f t="shared" ca="1" si="0"/>
        <v>21076</v>
      </c>
      <c r="F2" s="4">
        <f ca="1">F21-F1</f>
        <v>66126</v>
      </c>
      <c r="G2" s="11">
        <f ca="1">ROUND(H2*(0.91+RAND()*0.1),0)</f>
        <v>24011</v>
      </c>
      <c r="H2" s="144">
        <v>25300</v>
      </c>
      <c r="I2" s="145">
        <v>6850</v>
      </c>
      <c r="J2" s="145">
        <v>6895</v>
      </c>
      <c r="K2" s="146">
        <v>6996</v>
      </c>
      <c r="L2" s="5"/>
      <c r="M2" s="87" t="s">
        <v>94</v>
      </c>
      <c r="N2" s="502"/>
      <c r="O2" s="503"/>
      <c r="P2">
        <f>Q2+R2+S2</f>
        <v>23073</v>
      </c>
      <c r="Q2" s="220">
        <v>7500</v>
      </c>
      <c r="R2" s="220">
        <v>7621</v>
      </c>
      <c r="S2" s="220">
        <v>7952</v>
      </c>
      <c r="T2" s="198" t="s">
        <v>157</v>
      </c>
      <c r="W2" s="151"/>
    </row>
    <row r="3" spans="1:28" ht="36.75" thickBot="1">
      <c r="A3" s="8" t="s">
        <v>3</v>
      </c>
      <c r="B3" s="9" t="s">
        <v>1</v>
      </c>
      <c r="C3" s="19">
        <f ca="1">ROUND((RAND()*180+570),0)</f>
        <v>666</v>
      </c>
      <c r="D3" s="19">
        <f ca="1">ROUND((RAND()*180+570),0)</f>
        <v>703</v>
      </c>
      <c r="E3" s="19">
        <f ca="1">ROUND((RAND()*380+570),0)</f>
        <v>799</v>
      </c>
      <c r="F3" s="12">
        <f>ROUND(J5*20*9.81/100,0)</f>
        <v>13636</v>
      </c>
      <c r="G3" s="59" t="s">
        <v>73</v>
      </c>
      <c r="H3" s="432"/>
      <c r="I3" s="432"/>
      <c r="J3" s="432"/>
      <c r="K3" s="432"/>
      <c r="L3" s="433" t="s">
        <v>95</v>
      </c>
      <c r="M3" s="433"/>
      <c r="N3" s="502"/>
      <c r="O3" s="503"/>
      <c r="W3" s="151"/>
    </row>
    <row r="4" spans="1:28" ht="36.75" thickBot="1">
      <c r="A4" s="8" t="s">
        <v>4</v>
      </c>
      <c r="B4" s="9" t="s">
        <v>1</v>
      </c>
      <c r="C4" s="19">
        <f ca="1">ROUND((RAND()*290+550),0)</f>
        <v>803</v>
      </c>
      <c r="D4" s="19">
        <f ca="1">ROUND((RAND()*490+350),0)</f>
        <v>373</v>
      </c>
      <c r="E4" s="19">
        <f ca="1">ROUND((RAND()*490+550),0)</f>
        <v>587</v>
      </c>
      <c r="F4" s="4">
        <f>ROUND(K5*20*9.81/100,0)</f>
        <v>13285</v>
      </c>
      <c r="G4" s="5"/>
      <c r="H4" s="5"/>
      <c r="I4" s="5" t="s">
        <v>44</v>
      </c>
      <c r="J4" s="5" t="s">
        <v>45</v>
      </c>
      <c r="K4" s="5" t="s">
        <v>101</v>
      </c>
      <c r="L4" s="5"/>
      <c r="M4" s="87" t="s">
        <v>99</v>
      </c>
      <c r="N4" s="502">
        <v>0.5</v>
      </c>
      <c r="O4" s="503"/>
      <c r="Q4">
        <f ca="1">ROUND(Q2*(0.45+RAND()*0.1),0)</f>
        <v>3971</v>
      </c>
      <c r="R4">
        <f ca="1">ROUND(R2*(0.45+RAND()*0.1),0)</f>
        <v>3892</v>
      </c>
      <c r="S4">
        <f ca="1">ROUND(S2*(0.45+RAND()*0.1),0)</f>
        <v>4049</v>
      </c>
      <c r="W4" s="151"/>
    </row>
    <row r="5" spans="1:28" ht="24.75" thickBot="1">
      <c r="A5" s="8" t="s">
        <v>5</v>
      </c>
      <c r="B5" s="9" t="s">
        <v>6</v>
      </c>
      <c r="C5" s="19">
        <v>0</v>
      </c>
      <c r="D5" s="19">
        <v>0</v>
      </c>
      <c r="E5" s="19">
        <v>0</v>
      </c>
      <c r="F5" s="4"/>
      <c r="G5" s="5"/>
      <c r="H5" s="5" t="s">
        <v>42</v>
      </c>
      <c r="I5" s="143">
        <v>5755</v>
      </c>
      <c r="J5" s="143">
        <v>6950</v>
      </c>
      <c r="K5" s="143">
        <v>6771</v>
      </c>
      <c r="L5" s="492" t="s">
        <v>102</v>
      </c>
      <c r="M5" s="493"/>
      <c r="N5" s="509" t="s">
        <v>259</v>
      </c>
      <c r="O5" s="510"/>
      <c r="P5" s="198" t="s">
        <v>157</v>
      </c>
      <c r="Q5">
        <f ca="1">Q2-Q4</f>
        <v>3529</v>
      </c>
      <c r="R5">
        <f ca="1">R2-R4</f>
        <v>3729</v>
      </c>
      <c r="S5">
        <f ca="1">S2-S4</f>
        <v>3903</v>
      </c>
      <c r="W5" s="151"/>
    </row>
    <row r="6" spans="1:28" ht="12" customHeight="1" thickBot="1">
      <c r="A6" s="8" t="s">
        <v>7</v>
      </c>
      <c r="B6" s="13" t="s">
        <v>6</v>
      </c>
      <c r="C6" s="19">
        <v>0</v>
      </c>
      <c r="D6" s="19">
        <v>0</v>
      </c>
      <c r="E6" s="19">
        <v>0</v>
      </c>
      <c r="F6" s="5"/>
      <c r="G6" s="5" t="s">
        <v>43</v>
      </c>
      <c r="H6" s="5" t="s">
        <v>35</v>
      </c>
      <c r="I6" s="5">
        <f ca="1">ROUND(I5*(0.45+RAND()*0.1),0)</f>
        <v>2969</v>
      </c>
      <c r="J6" s="5">
        <f ca="1">ROUND(J5*(0.45+RAND()*0.1),0)</f>
        <v>3664</v>
      </c>
      <c r="K6" s="5">
        <f ca="1">ROUND(K5*(0.45+RAND()*0.1),0)</f>
        <v>3073</v>
      </c>
      <c r="L6" s="5"/>
      <c r="M6" s="5"/>
      <c r="N6" s="5"/>
      <c r="O6" s="5"/>
      <c r="W6" s="151"/>
    </row>
    <row r="7" spans="1:28" ht="12" customHeight="1" thickBot="1">
      <c r="A7" s="8" t="s">
        <v>8</v>
      </c>
      <c r="B7" s="13" t="s">
        <v>6</v>
      </c>
      <c r="C7" s="173">
        <f ca="1">(RAND()*3+1.3)</f>
        <v>2.2860126277806714</v>
      </c>
      <c r="D7" s="173">
        <f ca="1">(RAND()*3+1.4)</f>
        <v>4.064733948030657</v>
      </c>
      <c r="E7" s="173">
        <f ca="1">(RAND()*3+1.6)</f>
        <v>2.9474161843737878</v>
      </c>
      <c r="F7" s="5"/>
      <c r="G7" s="5"/>
      <c r="H7" s="5" t="s">
        <v>36</v>
      </c>
      <c r="I7" s="5">
        <f ca="1">I5-I6</f>
        <v>2786</v>
      </c>
      <c r="J7" s="5">
        <f ca="1">J5-J6</f>
        <v>3286</v>
      </c>
      <c r="K7" s="5">
        <f ca="1">K5-K6</f>
        <v>3698</v>
      </c>
      <c r="L7" s="5"/>
      <c r="M7" s="5"/>
      <c r="N7" s="5"/>
      <c r="O7" s="5"/>
      <c r="Q7" t="s">
        <v>46</v>
      </c>
      <c r="W7" s="168"/>
    </row>
    <row r="8" spans="1:28" ht="12" customHeight="1" thickBot="1">
      <c r="A8" s="8" t="s">
        <v>9</v>
      </c>
      <c r="B8" s="9" t="s">
        <v>1</v>
      </c>
      <c r="C8" s="19">
        <f ca="1">RANDBETWEEN(121,379)</f>
        <v>218</v>
      </c>
      <c r="D8" s="19">
        <f ca="1">RANDBETWEEN(121,412)</f>
        <v>242</v>
      </c>
      <c r="E8" s="19">
        <f ca="1">RANDBETWEEN(121,359)</f>
        <v>285</v>
      </c>
      <c r="F8" s="5"/>
      <c r="G8" s="5"/>
      <c r="H8" s="5"/>
      <c r="I8" s="5"/>
      <c r="J8" s="5"/>
      <c r="K8" s="5"/>
      <c r="L8" s="5"/>
      <c r="M8" s="5"/>
      <c r="N8" s="5">
        <f ca="1">I21</f>
        <v>112988</v>
      </c>
      <c r="O8" s="5"/>
      <c r="Q8">
        <f ca="1">ROUND(ABS((Q9-Q10)/MAX(Q9:Q10))*100,0)</f>
        <v>6</v>
      </c>
      <c r="R8">
        <f ca="1">ROUND(ABS((R9-R10)/MAX(R9:R10))*100,0)</f>
        <v>13</v>
      </c>
      <c r="S8">
        <f ca="1">ROUND(ABS((S9-S10)/MAX(S9:S10))*100,0)</f>
        <v>4</v>
      </c>
      <c r="W8" s="168"/>
    </row>
    <row r="9" spans="1:28" ht="12" customHeight="1" thickBot="1">
      <c r="A9" s="8" t="s">
        <v>10</v>
      </c>
      <c r="B9" s="13" t="s">
        <v>6</v>
      </c>
      <c r="C9" s="19">
        <v>6.5</v>
      </c>
      <c r="D9" s="19">
        <v>6.5</v>
      </c>
      <c r="E9" s="19">
        <v>6.5</v>
      </c>
      <c r="F9" s="5"/>
      <c r="G9" s="5"/>
      <c r="H9" s="5"/>
      <c r="I9" s="5"/>
      <c r="J9" s="5"/>
      <c r="K9" s="5"/>
      <c r="L9" s="5"/>
      <c r="M9" s="5"/>
      <c r="N9" s="5">
        <f>I5+J5+K5</f>
        <v>19476</v>
      </c>
      <c r="O9" s="5">
        <v>9.81</v>
      </c>
      <c r="Q9">
        <f ca="1">ROUND(Q4*RANDBETWEEN(4.6,6)+RAND()*0.1,0)</f>
        <v>19855</v>
      </c>
      <c r="R9">
        <f ca="1">ROUND(R4*RANDBETWEEN(4.6,6)+RAND()*0.1,0)</f>
        <v>19460</v>
      </c>
      <c r="S9">
        <f ca="1">ROUND(S4*RANDBETWEEN(4.6,5.4)+RAND()*0.1,0)</f>
        <v>20245</v>
      </c>
      <c r="U9">
        <f ca="1">Q9+Q10+R9+R10+S9+S10</f>
        <v>122623</v>
      </c>
    </row>
    <row r="10" spans="1:28" ht="12" customHeight="1" thickBot="1">
      <c r="A10" s="8" t="s">
        <v>11</v>
      </c>
      <c r="B10" s="13" t="s">
        <v>12</v>
      </c>
      <c r="C10" s="19"/>
      <c r="D10" s="19"/>
      <c r="E10" s="19"/>
      <c r="F10" s="5"/>
      <c r="G10" s="5"/>
      <c r="H10" s="5"/>
      <c r="I10" s="5" t="s">
        <v>46</v>
      </c>
      <c r="J10" s="5"/>
      <c r="K10" s="5"/>
      <c r="L10" s="5"/>
      <c r="M10" s="5"/>
      <c r="N10" s="5"/>
      <c r="O10" s="5"/>
      <c r="Q10">
        <f ca="1">ROUND(Q5*RANDBETWEEN(4.6,6)+RAND()*0.1,0)</f>
        <v>21174</v>
      </c>
      <c r="R10">
        <f ca="1">ROUND(R5*RANDBETWEEN(4.6,6)+RAND()*0.1,0)</f>
        <v>22374</v>
      </c>
      <c r="S10">
        <f ca="1">ROUND(S5*RANDBETWEEN(4.6,5.4)+RAND()*0.1,0)</f>
        <v>19515</v>
      </c>
      <c r="U10">
        <f>P2</f>
        <v>23073</v>
      </c>
      <c r="V10">
        <f ca="1">ROUND(U9/U10*9.81,0)</f>
        <v>52</v>
      </c>
    </row>
    <row r="11" spans="1:28" ht="12" customHeight="1" thickBot="1">
      <c r="A11" s="8" t="s">
        <v>13</v>
      </c>
      <c r="B11" s="13" t="s">
        <v>12</v>
      </c>
      <c r="C11" s="19">
        <f ca="1">Q18</f>
        <v>11</v>
      </c>
      <c r="D11" s="19">
        <f ca="1">R18</f>
        <v>4</v>
      </c>
      <c r="E11" s="19">
        <f ca="1">S18</f>
        <v>4</v>
      </c>
      <c r="F11" s="5"/>
      <c r="G11" s="5"/>
      <c r="H11" s="5"/>
      <c r="I11" s="5">
        <f ca="1">ROUND(ABS((C1-C2)/MAX(C1:C2))*100,0)</f>
        <v>11</v>
      </c>
      <c r="J11" s="5">
        <f ca="1">ROUND(ABS((D1-D2)/MAX(D1:D2))*100,0)</f>
        <v>4</v>
      </c>
      <c r="K11" s="5">
        <f ca="1">ROUND(ABS((E1-E2)/MAX(E1:E2))*100,0)</f>
        <v>4</v>
      </c>
      <c r="L11" s="5"/>
      <c r="M11" s="5"/>
      <c r="N11" s="5"/>
      <c r="O11" s="5"/>
    </row>
    <row r="12" spans="1:28" ht="12" customHeight="1" thickBot="1">
      <c r="A12" s="8" t="s">
        <v>14</v>
      </c>
      <c r="B12" s="13" t="s">
        <v>12</v>
      </c>
      <c r="C12" s="19"/>
      <c r="D12" s="19"/>
      <c r="E12" s="19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28" ht="12" customHeight="1" thickBot="1">
      <c r="A13" s="8" t="s">
        <v>15</v>
      </c>
      <c r="B13" s="13" t="s">
        <v>12</v>
      </c>
      <c r="C13" s="19"/>
      <c r="D13" s="19"/>
      <c r="E13" s="19"/>
      <c r="F13" s="5"/>
      <c r="G13" s="84"/>
      <c r="H13" s="5"/>
      <c r="I13" s="5"/>
      <c r="J13" s="5"/>
      <c r="K13" s="5"/>
      <c r="L13" s="5"/>
      <c r="M13" s="5"/>
      <c r="N13" s="5">
        <f>S16</f>
        <v>0</v>
      </c>
      <c r="O13" s="5"/>
      <c r="X13" s="504" t="s">
        <v>158</v>
      </c>
      <c r="Y13" s="504"/>
      <c r="Z13" s="504"/>
      <c r="AA13" s="504"/>
      <c r="AB13" s="504"/>
    </row>
    <row r="14" spans="1:28" ht="12" customHeight="1" thickBot="1">
      <c r="A14" s="8" t="s">
        <v>16</v>
      </c>
      <c r="B14" s="13" t="s">
        <v>17</v>
      </c>
      <c r="C14" s="19">
        <f t="shared" ref="C14:E15" ca="1" si="1">Q4</f>
        <v>3971</v>
      </c>
      <c r="D14" s="19">
        <f t="shared" ca="1" si="1"/>
        <v>3892</v>
      </c>
      <c r="E14" s="19">
        <f t="shared" ca="1" si="1"/>
        <v>4049</v>
      </c>
      <c r="F14" s="5"/>
      <c r="G14" s="5"/>
      <c r="I14" s="5">
        <f ca="1">ROUND(C14*4.8+RAND()*0.1,0)</f>
        <v>19061</v>
      </c>
      <c r="J14" s="5">
        <f ca="1">ROUND(D14*4.8+RAND()+300,0)</f>
        <v>18982</v>
      </c>
      <c r="K14" s="5">
        <f ca="1">ROUND(E14*4.88+RAND()+500,0)</f>
        <v>20259</v>
      </c>
      <c r="L14" s="5"/>
      <c r="M14" s="5"/>
      <c r="N14" s="5">
        <f>N9</f>
        <v>19476</v>
      </c>
      <c r="O14" s="5">
        <v>9.81</v>
      </c>
      <c r="X14" s="504"/>
      <c r="Y14" s="504"/>
      <c r="Z14" s="504"/>
      <c r="AA14" s="504"/>
      <c r="AB14" s="504"/>
    </row>
    <row r="15" spans="1:28" ht="12" customHeight="1" thickBot="1">
      <c r="A15" s="8" t="s">
        <v>18</v>
      </c>
      <c r="B15" s="13" t="s">
        <v>17</v>
      </c>
      <c r="C15" s="19">
        <f t="shared" ca="1" si="1"/>
        <v>3529</v>
      </c>
      <c r="D15" s="19">
        <f t="shared" ca="1" si="1"/>
        <v>3729</v>
      </c>
      <c r="E15" s="19">
        <f t="shared" ca="1" si="1"/>
        <v>3903</v>
      </c>
      <c r="F15" s="5"/>
      <c r="G15" s="5"/>
      <c r="I15" s="5">
        <f ca="1">ROUND(C15*4.8+RAND()*0.1,0)</f>
        <v>16939</v>
      </c>
      <c r="J15" s="5">
        <f ca="1">ROUND(D15*4.8+RAND()+300,0)</f>
        <v>18200</v>
      </c>
      <c r="K15" s="5">
        <f ca="1">ROUND(E15*4.88+RAND()+500,0)</f>
        <v>19547</v>
      </c>
      <c r="L15" s="5"/>
      <c r="M15" s="5"/>
      <c r="N15" s="5"/>
      <c r="O15" s="5"/>
      <c r="X15" s="504"/>
      <c r="Y15" s="504"/>
      <c r="Z15" s="504"/>
      <c r="AA15" s="504"/>
      <c r="AB15" s="504"/>
    </row>
    <row r="16" spans="1:28" ht="12" customHeight="1" thickBot="1">
      <c r="A16" s="8" t="s">
        <v>19</v>
      </c>
      <c r="B16" s="13" t="s">
        <v>17</v>
      </c>
      <c r="C16" s="19">
        <f>Q2</f>
        <v>7500</v>
      </c>
      <c r="D16" s="19">
        <f>R2</f>
        <v>7621</v>
      </c>
      <c r="E16" s="19">
        <f>S2</f>
        <v>7952</v>
      </c>
      <c r="F16" s="5"/>
      <c r="G16" s="5"/>
      <c r="I16" s="5"/>
      <c r="J16" s="5"/>
      <c r="K16" s="5"/>
      <c r="L16" s="5"/>
      <c r="M16" s="5"/>
      <c r="N16" s="5"/>
      <c r="O16" s="5"/>
      <c r="X16" s="504"/>
      <c r="Y16" s="504"/>
      <c r="Z16" s="504"/>
      <c r="AA16" s="504"/>
      <c r="AB16" s="504"/>
    </row>
    <row r="17" spans="1:29" ht="12" customHeight="1" thickBot="1">
      <c r="A17" s="8" t="s">
        <v>20</v>
      </c>
      <c r="B17" s="13" t="s">
        <v>21</v>
      </c>
      <c r="C17" s="20">
        <f ca="1">RANDBETWEEN(111,287)/1000</f>
        <v>0.27500000000000002</v>
      </c>
      <c r="D17" s="20">
        <f ca="1">RANDBETWEEN(111,279)/1000</f>
        <v>0.13500000000000001</v>
      </c>
      <c r="E17" s="20">
        <f ca="1">RANDBETWEEN(111,292)/1000</f>
        <v>0.128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153"/>
      <c r="Q17" s="154" t="s">
        <v>46</v>
      </c>
      <c r="R17" s="154"/>
      <c r="S17" s="154"/>
      <c r="T17" s="154"/>
      <c r="U17" s="154"/>
      <c r="V17" s="155"/>
      <c r="X17" s="504"/>
      <c r="Y17" s="504"/>
      <c r="Z17" s="504"/>
      <c r="AA17" s="504"/>
      <c r="AB17" s="504"/>
    </row>
    <row r="18" spans="1:29" ht="12" customHeight="1" thickBot="1">
      <c r="A18" s="8" t="s">
        <v>22</v>
      </c>
      <c r="B18" s="13" t="s">
        <v>21</v>
      </c>
      <c r="C18" s="20">
        <f ca="1">RANDBETWEEN(111,300)/1000</f>
        <v>0.19500000000000001</v>
      </c>
      <c r="D18" s="20">
        <f ca="1">RANDBETWEEN(111,296)/1000</f>
        <v>0.28699999999999998</v>
      </c>
      <c r="E18" s="20">
        <f ca="1">RANDBETWEEN(111,286)/1000</f>
        <v>0.11899999999999999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156"/>
      <c r="Q18" s="149">
        <f ca="1">ROUND(ABS((Q20-Q21)/MAX(Q20:Q21))*100,0)</f>
        <v>11</v>
      </c>
      <c r="R18" s="149">
        <f ca="1">ROUND(ABS((R20-R21)/MAX(R20:R21))*100,0)</f>
        <v>4</v>
      </c>
      <c r="S18" s="149">
        <f ca="1">ROUND(ABS((S20-S21)/MAX(S20:S21))*100,0)</f>
        <v>4</v>
      </c>
      <c r="T18" s="149"/>
      <c r="U18" s="149"/>
      <c r="V18" s="157"/>
      <c r="X18" s="504"/>
      <c r="Y18" s="504"/>
      <c r="Z18" s="504"/>
      <c r="AA18" s="504"/>
      <c r="AB18" s="504"/>
    </row>
    <row r="19" spans="1:29" ht="12" customHeight="1" thickBot="1">
      <c r="A19" s="8" t="s">
        <v>23</v>
      </c>
      <c r="B19" s="13" t="s">
        <v>21</v>
      </c>
      <c r="C19" s="20">
        <f ca="1">0.05+ROUND(RAND()*1,0)*0.05</f>
        <v>0.05</v>
      </c>
      <c r="D19" s="20">
        <f ca="1">0.05+ROUND(RAND()*2,0)*0.05</f>
        <v>0.1</v>
      </c>
      <c r="E19" s="20">
        <f ca="1">0.05+ROUND(RAND()*2.5,0)*0.05</f>
        <v>0.05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156" t="s">
        <v>118</v>
      </c>
      <c r="Q19" s="149"/>
      <c r="R19" s="149"/>
      <c r="S19" s="149"/>
      <c r="T19" s="149"/>
      <c r="U19" s="149"/>
      <c r="V19" s="157"/>
      <c r="X19" s="504"/>
      <c r="Y19" s="504"/>
      <c r="Z19" s="504"/>
      <c r="AA19" s="504"/>
      <c r="AB19" s="504"/>
    </row>
    <row r="20" spans="1:29" ht="12" customHeight="1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56"/>
      <c r="Q20" s="149">
        <f ca="1">ROUND(Q4*V20/10+RAND()*0.1,0)</f>
        <v>21443</v>
      </c>
      <c r="R20" s="149">
        <f ca="1">ROUND(R4*V20/10+RAND()*0.1,0)</f>
        <v>21017</v>
      </c>
      <c r="S20" s="149">
        <f ca="1">ROUND(S4*V20/10+RAND()*0.1,0)</f>
        <v>21865</v>
      </c>
      <c r="T20" s="149"/>
      <c r="U20" s="149">
        <f ca="1">Q20+Q21+R20+R21+S20+S21</f>
        <v>124595</v>
      </c>
      <c r="V20" s="221">
        <v>54</v>
      </c>
      <c r="W20" s="198" t="s">
        <v>157</v>
      </c>
      <c r="X20" s="504"/>
      <c r="Y20" s="504"/>
      <c r="Z20" s="504"/>
      <c r="AA20" s="504"/>
      <c r="AB20" s="504"/>
      <c r="AC20" s="31"/>
    </row>
    <row r="21" spans="1:29" ht="12" customHeight="1" thickBot="1">
      <c r="A21" s="1" t="s">
        <v>24</v>
      </c>
      <c r="B21" s="500">
        <f ca="1">U20</f>
        <v>124595</v>
      </c>
      <c r="C21" s="501"/>
      <c r="F21" s="430">
        <f ca="1">ROUND((G2*B22*9.81/100)*0.85,0)</f>
        <v>110211</v>
      </c>
      <c r="G21" s="431"/>
      <c r="I21" s="5">
        <f ca="1">I14+J14+K14+I15+J15+K15</f>
        <v>112988</v>
      </c>
      <c r="J21" s="5"/>
      <c r="K21" s="5"/>
      <c r="L21" s="5"/>
      <c r="M21" s="5"/>
      <c r="N21" s="5"/>
      <c r="O21" s="5"/>
      <c r="P21" s="156" t="s">
        <v>116</v>
      </c>
      <c r="Q21" s="149">
        <f ca="1">ROUND(Q5*V20/10+RAND()*0.1,0)</f>
        <v>19057</v>
      </c>
      <c r="R21" s="149">
        <f ca="1">ROUND(R5*V20/10+RAND()*0.1,0)</f>
        <v>20137</v>
      </c>
      <c r="S21" s="149">
        <f ca="1">ROUND(S5*V20/10+RAND()*0.1,0)</f>
        <v>21076</v>
      </c>
      <c r="T21" s="149"/>
      <c r="U21" s="149">
        <f>Q2+R2+S2</f>
        <v>23073</v>
      </c>
      <c r="V21" s="170">
        <f ca="1">(U20/U21/9.81)*100</f>
        <v>55.046225000621831</v>
      </c>
    </row>
    <row r="22" spans="1:29" ht="12" customHeight="1" thickBot="1">
      <c r="A22" s="8" t="s">
        <v>25</v>
      </c>
      <c r="B22" s="147">
        <f ca="1">V21</f>
        <v>55.046225000621831</v>
      </c>
      <c r="C22" s="9" t="s">
        <v>112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56"/>
      <c r="Q22" s="149"/>
      <c r="R22" s="149"/>
      <c r="S22" s="149"/>
      <c r="T22" s="149"/>
      <c r="U22" s="149"/>
      <c r="V22" s="157"/>
    </row>
    <row r="23" spans="1:29" ht="12" customHeight="1" thickBot="1">
      <c r="A23" s="8" t="s">
        <v>27</v>
      </c>
      <c r="B23" s="13" t="s">
        <v>12</v>
      </c>
      <c r="C23" s="15"/>
      <c r="D23" s="5"/>
      <c r="E23" s="5"/>
      <c r="F23" s="5"/>
      <c r="G23" s="5"/>
      <c r="H23" s="5"/>
      <c r="I23" s="5"/>
      <c r="J23" s="5"/>
      <c r="K23" s="5"/>
      <c r="L23" s="5"/>
      <c r="M23" s="5"/>
      <c r="N23" s="5">
        <f ca="1">D26+D27+E26+E27</f>
        <v>41838</v>
      </c>
      <c r="O23" s="5"/>
      <c r="P23" s="156"/>
      <c r="Q23" s="149"/>
      <c r="R23" s="149"/>
      <c r="S23" s="149"/>
      <c r="T23" s="149"/>
      <c r="U23" s="149"/>
      <c r="V23" s="157"/>
    </row>
    <row r="24" spans="1:29" ht="12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f>J5+K5</f>
        <v>13721</v>
      </c>
      <c r="O24" s="5">
        <v>9.81</v>
      </c>
      <c r="P24" s="505" t="s">
        <v>160</v>
      </c>
      <c r="Q24" s="506"/>
      <c r="R24" s="149">
        <f ca="1">ROUND(R4*V24/6.7+RAND()*0.1,0)</f>
        <v>10456</v>
      </c>
      <c r="S24" s="149">
        <f ca="1">ROUND(S4*V24/6.7+RAND()*0.1,0)</f>
        <v>10878</v>
      </c>
      <c r="T24" s="149"/>
      <c r="U24" s="149">
        <f ca="1">R24+R25+S24+S25</f>
        <v>41838</v>
      </c>
      <c r="V24" s="221">
        <v>18</v>
      </c>
      <c r="W24" s="198" t="s">
        <v>157</v>
      </c>
    </row>
    <row r="25" spans="1:29" ht="17.45" customHeight="1" thickBot="1">
      <c r="A25" s="16" t="s">
        <v>28</v>
      </c>
      <c r="B25" s="16"/>
      <c r="C25" s="16">
        <v>1</v>
      </c>
      <c r="D25" s="16">
        <v>2</v>
      </c>
      <c r="E25" s="16"/>
      <c r="F25" s="16">
        <v>4</v>
      </c>
      <c r="G25" s="16">
        <v>5</v>
      </c>
      <c r="H25" s="16">
        <v>6</v>
      </c>
      <c r="I25" s="16">
        <v>7</v>
      </c>
      <c r="J25" s="16">
        <v>8</v>
      </c>
      <c r="K25" s="16">
        <v>9</v>
      </c>
      <c r="L25" s="17" t="s">
        <v>29</v>
      </c>
      <c r="M25" s="5"/>
      <c r="N25" s="5"/>
      <c r="O25" s="5"/>
      <c r="P25" s="507"/>
      <c r="Q25" s="508"/>
      <c r="R25" s="159">
        <f ca="1">ROUND(R5*V24/6.7+RAND()*0.1,0)</f>
        <v>10018</v>
      </c>
      <c r="S25" s="159">
        <f ca="1">ROUND(S5*V24/6.7+RAND()*0.1,0)</f>
        <v>10486</v>
      </c>
      <c r="T25" s="159"/>
      <c r="U25" s="159">
        <f>U21</f>
        <v>23073</v>
      </c>
      <c r="V25" s="171">
        <f ca="1">(U24/U25/9.81)*100</f>
        <v>18.484080112171565</v>
      </c>
    </row>
    <row r="26" spans="1:29" ht="12" customHeight="1" thickBot="1">
      <c r="A26" s="8" t="s">
        <v>30</v>
      </c>
      <c r="B26" s="9" t="s">
        <v>1</v>
      </c>
      <c r="C26" s="13"/>
      <c r="D26" s="88">
        <f ca="1">R24</f>
        <v>10456</v>
      </c>
      <c r="E26" s="89">
        <f ca="1">S24</f>
        <v>10878</v>
      </c>
      <c r="F26" s="13"/>
      <c r="G26" s="13"/>
      <c r="H26" s="13"/>
      <c r="I26" s="13"/>
      <c r="J26" s="13"/>
      <c r="K26" s="13"/>
      <c r="L26" s="15"/>
      <c r="M26" s="5"/>
      <c r="N26" s="5"/>
      <c r="O26" s="5"/>
      <c r="P26" s="261"/>
      <c r="Q26" s="261"/>
    </row>
    <row r="27" spans="1:29" ht="14.45" customHeight="1" thickBot="1">
      <c r="A27" s="8" t="s">
        <v>31</v>
      </c>
      <c r="B27" s="9" t="s">
        <v>1</v>
      </c>
      <c r="C27" s="13"/>
      <c r="D27" s="19">
        <f ca="1">R25</f>
        <v>10018</v>
      </c>
      <c r="E27" s="89">
        <f ca="1">S25</f>
        <v>10486</v>
      </c>
      <c r="F27" s="13"/>
      <c r="G27" s="13"/>
      <c r="H27" s="13"/>
      <c r="I27" s="13"/>
      <c r="J27" s="13"/>
      <c r="K27" s="13"/>
      <c r="L27" s="15"/>
      <c r="M27" s="5"/>
      <c r="N27" s="5"/>
      <c r="O27" s="5"/>
      <c r="P27" s="505" t="s">
        <v>161</v>
      </c>
      <c r="Q27" s="506"/>
      <c r="R27" s="154">
        <f ca="1">ROUND(Q4*V27/10+RAND()*0.1,0)</f>
        <v>8339</v>
      </c>
      <c r="S27" s="154">
        <f ca="1">ROUND(R4*V27/10+RAND()*0.1,0)</f>
        <v>8173</v>
      </c>
      <c r="T27" s="154">
        <f ca="1">ROUND(S4*V27/10+RAND()*0.1,0)</f>
        <v>8503</v>
      </c>
      <c r="U27" s="154">
        <f ca="1">R27+R28+S27+S28+T27+T28</f>
        <v>48453</v>
      </c>
      <c r="V27" s="258">
        <v>21</v>
      </c>
      <c r="W27" s="198" t="s">
        <v>157</v>
      </c>
    </row>
    <row r="28" spans="1:29" ht="16.899999999999999" customHeight="1" thickBot="1">
      <c r="A28" s="8" t="s">
        <v>32</v>
      </c>
      <c r="B28" s="9" t="s">
        <v>12</v>
      </c>
      <c r="C28" s="13"/>
      <c r="D28" s="13"/>
      <c r="E28" s="90"/>
      <c r="F28" s="13"/>
      <c r="G28" s="13"/>
      <c r="H28" s="13"/>
      <c r="I28" s="13"/>
      <c r="J28" s="13"/>
      <c r="K28" s="13"/>
      <c r="L28" s="13" t="s">
        <v>33</v>
      </c>
      <c r="M28" s="5"/>
      <c r="N28" s="5"/>
      <c r="O28" s="5"/>
      <c r="P28" s="507"/>
      <c r="Q28" s="508"/>
      <c r="R28" s="159">
        <f ca="1">ROUND(Q5*V27/10+RAND()*0.1,0)</f>
        <v>7411</v>
      </c>
      <c r="S28" s="159">
        <f ca="1">ROUND(R5*V27/10+RAND()*0.1,0)</f>
        <v>7831</v>
      </c>
      <c r="T28" s="159">
        <f ca="1">ROUND(S5*V27/10+RAND()*0.1,0)</f>
        <v>8196</v>
      </c>
      <c r="U28" s="159">
        <f>P2</f>
        <v>23073</v>
      </c>
      <c r="V28" s="257">
        <f ca="1">(U27/U28/9.81)*100</f>
        <v>21.406595288375371</v>
      </c>
    </row>
    <row r="29" spans="1:29" ht="12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49"/>
      <c r="Q29" s="149"/>
      <c r="R29" s="149"/>
      <c r="S29" s="149"/>
      <c r="T29" s="149"/>
      <c r="U29" s="149"/>
      <c r="V29" s="149"/>
    </row>
    <row r="30" spans="1:29" ht="12" customHeight="1" thickBo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49"/>
      <c r="Q30" s="149"/>
      <c r="R30" s="149"/>
      <c r="S30" s="149"/>
      <c r="T30" s="149"/>
      <c r="U30" s="149"/>
      <c r="V30" s="149"/>
    </row>
    <row r="31" spans="1:29" ht="12" customHeight="1" thickBot="1">
      <c r="A31" s="1" t="s">
        <v>25</v>
      </c>
      <c r="B31" s="14">
        <f ca="1">V25</f>
        <v>18.484080112171565</v>
      </c>
      <c r="C31" s="2" t="s">
        <v>34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9" ht="12" customHeight="1" thickBot="1">
      <c r="A32" s="8" t="s">
        <v>27</v>
      </c>
      <c r="B32" s="13" t="s">
        <v>12</v>
      </c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ht="12" customHeight="1"/>
    <row r="34" ht="12" customHeight="1"/>
  </sheetData>
  <mergeCells count="13">
    <mergeCell ref="X13:AB20"/>
    <mergeCell ref="P24:Q25"/>
    <mergeCell ref="P27:Q28"/>
    <mergeCell ref="L5:M5"/>
    <mergeCell ref="N5:O5"/>
    <mergeCell ref="B21:C21"/>
    <mergeCell ref="F21:G21"/>
    <mergeCell ref="N4:O4"/>
    <mergeCell ref="N1:O1"/>
    <mergeCell ref="N2:O2"/>
    <mergeCell ref="H3:K3"/>
    <mergeCell ref="L3:M3"/>
    <mergeCell ref="N3:O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4</vt:i4>
      </vt:variant>
    </vt:vector>
  </HeadingPairs>
  <TitlesOfParts>
    <vt:vector size="20" baseType="lpstr">
      <vt:lpstr>Токсичність</vt:lpstr>
      <vt:lpstr>Димомір_ТЕХА</vt:lpstr>
      <vt:lpstr>Hofmann</vt:lpstr>
      <vt:lpstr>Word2осі_1СГС</vt:lpstr>
      <vt:lpstr>Hofm2осі_2СГС</vt:lpstr>
      <vt:lpstr>Word2осі_2СГС</vt:lpstr>
      <vt:lpstr>Hofm3_ВАНТАНІ</vt:lpstr>
      <vt:lpstr>Word 3осі_2СГС</vt:lpstr>
      <vt:lpstr>Hofm3 осі</vt:lpstr>
      <vt:lpstr>Word3осі_СГС2осі</vt:lpstr>
      <vt:lpstr>Word 3осі_СГС3осі</vt:lpstr>
      <vt:lpstr>Hofm 4осі</vt:lpstr>
      <vt:lpstr>Word 4осі_СГС2осі</vt:lpstr>
      <vt:lpstr>Word 4осі_СГС3осі</vt:lpstr>
      <vt:lpstr>Лист6</vt:lpstr>
      <vt:lpstr>Лист3</vt:lpstr>
      <vt:lpstr>Word2осі_1СГС!Область_печати</vt:lpstr>
      <vt:lpstr>Word2осі_2СГС!Область_печати</vt:lpstr>
      <vt:lpstr>Димомір_ТЕХА!Область_печати</vt:lpstr>
      <vt:lpstr>Токсичність!Область_печати</vt:lpstr>
    </vt:vector>
  </TitlesOfParts>
  <Company>VAMS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Kolya</dc:creator>
  <cp:lastModifiedBy>Vital</cp:lastModifiedBy>
  <cp:lastPrinted>2022-09-27T14:15:07Z</cp:lastPrinted>
  <dcterms:created xsi:type="dcterms:W3CDTF">2011-06-09T09:27:49Z</dcterms:created>
  <dcterms:modified xsi:type="dcterms:W3CDTF">2022-09-30T20:56:01Z</dcterms:modified>
</cp:coreProperties>
</file>