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0c8436bbcd5584/Repositórios/Processos-de-automatiza-o-de-empresa/arquivos/"/>
    </mc:Choice>
  </mc:AlternateContent>
  <xr:revisionPtr revIDLastSave="473" documentId="8_{A562AF58-1E3A-4136-9F04-8BF052029766}" xr6:coauthVersionLast="47" xr6:coauthVersionMax="47" xr10:uidLastSave="{5B87483E-46A6-4080-8065-F6CE764A8EA5}"/>
  <bookViews>
    <workbookView xWindow="-108" yWindow="-108" windowWidth="23256" windowHeight="12720" tabRatio="601" firstSheet="7" activeTab="7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Categoria">[1]Auxiliar!$K$2:$S$2</definedName>
    <definedName name="Categoria_Ambiente">[1]Auxiliar!$K$2:$S$12</definedName>
    <definedName name="_xlnm.Print_Area" localSheetId="0">'CARGA ESTIMADA 1'!$A$1:$C$124</definedName>
    <definedName name="_xlnm.Print_Area" localSheetId="4">PC!$A$1:$Q$123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34" l="1"/>
  <c r="N14" i="34"/>
  <c r="N12" i="34"/>
  <c r="N10" i="34"/>
  <c r="N11" i="34"/>
  <c r="N9" i="34"/>
  <c r="N4" i="34"/>
  <c r="N5" i="34"/>
  <c r="N6" i="34"/>
  <c r="N7" i="34"/>
  <c r="N8" i="34"/>
  <c r="N3" i="34"/>
  <c r="M13" i="34" l="1"/>
  <c r="M14" i="34"/>
  <c r="M12" i="34"/>
  <c r="M10" i="34"/>
  <c r="M11" i="34"/>
  <c r="M9" i="34"/>
  <c r="M4" i="34"/>
  <c r="M5" i="34"/>
  <c r="M6" i="34"/>
  <c r="M7" i="34"/>
  <c r="M8" i="34"/>
  <c r="M3" i="34"/>
  <c r="L4" i="34"/>
  <c r="L5" i="34"/>
  <c r="L6" i="34"/>
  <c r="L7" i="34"/>
  <c r="L8" i="34"/>
  <c r="L9" i="34"/>
  <c r="L10" i="34"/>
  <c r="L11" i="34"/>
  <c r="L12" i="34"/>
  <c r="L13" i="34"/>
  <c r="L14" i="34"/>
  <c r="L3" i="34"/>
  <c r="K13" i="34"/>
  <c r="K14" i="34"/>
  <c r="K12" i="34"/>
  <c r="K11" i="34"/>
  <c r="K10" i="34"/>
  <c r="K9" i="34"/>
  <c r="K8" i="34"/>
  <c r="K7" i="34"/>
  <c r="K6" i="34"/>
  <c r="K4" i="34"/>
  <c r="K5" i="34"/>
  <c r="K3" i="34"/>
  <c r="J14" i="34"/>
  <c r="J13" i="34"/>
  <c r="J12" i="34"/>
  <c r="J11" i="34"/>
  <c r="J10" i="34"/>
  <c r="J9" i="34"/>
  <c r="J8" i="34"/>
  <c r="J7" i="34"/>
  <c r="J6" i="34"/>
  <c r="J5" i="34"/>
  <c r="J4" i="34"/>
  <c r="J3" i="34"/>
  <c r="I13" i="34"/>
  <c r="I14" i="34"/>
  <c r="I12" i="34"/>
  <c r="I10" i="34"/>
  <c r="I11" i="34"/>
  <c r="I9" i="34"/>
  <c r="I7" i="34"/>
  <c r="I8" i="34"/>
  <c r="I6" i="34"/>
  <c r="I4" i="34"/>
  <c r="I5" i="34"/>
  <c r="I3" i="34"/>
  <c r="C14" i="34"/>
  <c r="H4" i="34"/>
  <c r="H12" i="34"/>
  <c r="G4" i="34"/>
  <c r="G5" i="34"/>
  <c r="H5" i="34" s="1"/>
  <c r="G6" i="34"/>
  <c r="H6" i="34" s="1"/>
  <c r="G7" i="34"/>
  <c r="H7" i="34" s="1"/>
  <c r="G8" i="34"/>
  <c r="H8" i="34" s="1"/>
  <c r="G9" i="34"/>
  <c r="H9" i="34" s="1"/>
  <c r="G10" i="34"/>
  <c r="H10" i="34" s="1"/>
  <c r="G11" i="34"/>
  <c r="H11" i="34" s="1"/>
  <c r="G12" i="34"/>
  <c r="G13" i="34"/>
  <c r="H13" i="34" s="1"/>
  <c r="G14" i="34"/>
  <c r="H14" i="34" s="1"/>
  <c r="G3" i="34"/>
  <c r="H3" i="34" s="1"/>
  <c r="F4" i="34"/>
  <c r="F5" i="34"/>
  <c r="F6" i="34"/>
  <c r="F7" i="34"/>
  <c r="F8" i="34"/>
  <c r="F9" i="34"/>
  <c r="F10" i="34"/>
  <c r="F11" i="34"/>
  <c r="F12" i="34"/>
  <c r="F13" i="34"/>
  <c r="F14" i="34"/>
  <c r="F3" i="34"/>
  <c r="E4" i="34"/>
  <c r="E5" i="34"/>
  <c r="E6" i="34"/>
  <c r="E7" i="34"/>
  <c r="E8" i="34"/>
  <c r="E9" i="34"/>
  <c r="E10" i="34"/>
  <c r="E11" i="34"/>
  <c r="E12" i="34"/>
  <c r="E13" i="34"/>
  <c r="E14" i="34"/>
  <c r="E3" i="34"/>
  <c r="D4" i="34"/>
  <c r="D5" i="34"/>
  <c r="D6" i="34"/>
  <c r="D7" i="34"/>
  <c r="D8" i="34"/>
  <c r="D9" i="34"/>
  <c r="D10" i="34"/>
  <c r="D3" i="34"/>
  <c r="B8" i="48"/>
  <c r="G17" i="47" l="1"/>
  <c r="C13" i="34"/>
  <c r="C12" i="34"/>
  <c r="C11" i="34"/>
  <c r="O11" i="34" s="1"/>
  <c r="C10" i="34"/>
  <c r="C9" i="34"/>
  <c r="O9" i="34" s="1"/>
  <c r="C8" i="34"/>
  <c r="C7" i="34"/>
  <c r="O7" i="34" s="1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28" i="31"/>
  <c r="AC34" i="31"/>
  <c r="M51" i="26" s="1"/>
  <c r="AD34" i="31"/>
  <c r="N51" i="26" s="1"/>
  <c r="AE34" i="31"/>
  <c r="O51" i="26" s="1"/>
  <c r="AF34" i="31"/>
  <c r="P51" i="26" s="1"/>
  <c r="AG34" i="31"/>
  <c r="Q51" i="26" s="1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 s="1"/>
  <c r="N29" i="31"/>
  <c r="AE29" i="31"/>
  <c r="O46" i="26" s="1"/>
  <c r="N30" i="31"/>
  <c r="Z30" i="31"/>
  <c r="N31" i="31"/>
  <c r="T31" i="31"/>
  <c r="N32" i="31"/>
  <c r="AE32" i="31"/>
  <c r="O49" i="26" s="1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 s="1"/>
  <c r="AD32" i="31"/>
  <c r="N49" i="26" s="1"/>
  <c r="P33" i="31"/>
  <c r="S29" i="31"/>
  <c r="T33" i="31"/>
  <c r="W29" i="31"/>
  <c r="AE28" i="31"/>
  <c r="O45" i="26" s="1"/>
  <c r="O29" i="31"/>
  <c r="P29" i="31"/>
  <c r="T28" i="31"/>
  <c r="X28" i="31"/>
  <c r="Y29" i="31"/>
  <c r="P28" i="31"/>
  <c r="U29" i="31"/>
  <c r="Y28" i="31"/>
  <c r="Z33" i="31"/>
  <c r="U28" i="31"/>
  <c r="V33" i="31"/>
  <c r="Z32" i="31"/>
  <c r="Q29" i="31"/>
  <c r="R32" i="31"/>
  <c r="V29" i="31"/>
  <c r="Z29" i="31"/>
  <c r="AG33" i="31"/>
  <c r="Q50" i="26" s="1"/>
  <c r="Q28" i="31"/>
  <c r="Q32" i="31"/>
  <c r="R29" i="31"/>
  <c r="V28" i="31"/>
  <c r="W33" i="31"/>
  <c r="Z28" i="31"/>
  <c r="AC33" i="31"/>
  <c r="M50" i="26" s="1"/>
  <c r="R28" i="31"/>
  <c r="S33" i="31"/>
  <c r="W32" i="31"/>
  <c r="AF33" i="31"/>
  <c r="P50" i="26" s="1"/>
  <c r="X33" i="31"/>
  <c r="AE33" i="31"/>
  <c r="O50" i="26" s="1"/>
  <c r="U33" i="31"/>
  <c r="AD33" i="31"/>
  <c r="N50" i="26" s="1"/>
  <c r="Q33" i="31"/>
  <c r="R33" i="31"/>
  <c r="O32" i="31"/>
  <c r="P32" i="31"/>
  <c r="U32" i="31"/>
  <c r="X32" i="31"/>
  <c r="S32" i="31"/>
  <c r="AG32" i="31"/>
  <c r="Q49" i="26" s="1"/>
  <c r="V32" i="31"/>
  <c r="AF32" i="31"/>
  <c r="P49" i="26" s="1"/>
  <c r="T32" i="31"/>
  <c r="Y32" i="31"/>
  <c r="R31" i="31"/>
  <c r="V31" i="31"/>
  <c r="X31" i="31"/>
  <c r="Z31" i="31"/>
  <c r="AG31" i="31"/>
  <c r="Q48" i="26" s="1"/>
  <c r="AF31" i="31"/>
  <c r="P48" i="26" s="1"/>
  <c r="AE31" i="31"/>
  <c r="O48" i="26" s="1"/>
  <c r="AD31" i="31"/>
  <c r="N48" i="26" s="1"/>
  <c r="S31" i="31"/>
  <c r="U31" i="31"/>
  <c r="W31" i="31"/>
  <c r="Y31" i="31"/>
  <c r="AC31" i="31"/>
  <c r="M48" i="26" s="1"/>
  <c r="O31" i="31"/>
  <c r="Q31" i="31"/>
  <c r="AC30" i="31"/>
  <c r="M47" i="26" s="1"/>
  <c r="T30" i="31"/>
  <c r="W30" i="31"/>
  <c r="O30" i="31"/>
  <c r="V30" i="31"/>
  <c r="AG30" i="31"/>
  <c r="Q47" i="26" s="1"/>
  <c r="S30" i="31"/>
  <c r="Y30" i="31"/>
  <c r="AF30" i="31"/>
  <c r="P47" i="26" s="1"/>
  <c r="P30" i="31"/>
  <c r="Q30" i="31"/>
  <c r="X30" i="31"/>
  <c r="AE30" i="31"/>
  <c r="O47" i="26" s="1"/>
  <c r="U30" i="31"/>
  <c r="AD30" i="31"/>
  <c r="N47" i="26" s="1"/>
  <c r="R30" i="31"/>
  <c r="AC29" i="31"/>
  <c r="M46" i="26" s="1"/>
  <c r="AD29" i="31"/>
  <c r="N46" i="26" s="1"/>
  <c r="AG29" i="31"/>
  <c r="Q46" i="26" s="1"/>
  <c r="AF29" i="31"/>
  <c r="P46" i="26" s="1"/>
  <c r="AD28" i="31"/>
  <c r="N45" i="26" s="1"/>
  <c r="AC28" i="31"/>
  <c r="M45" i="26" s="1"/>
  <c r="AG28" i="31"/>
  <c r="Q45" i="26" s="1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33" i="17"/>
  <c r="B44" i="52"/>
  <c r="AJ4" i="34"/>
  <c r="AJ5" i="34"/>
  <c r="AJ6" i="34"/>
  <c r="AJ7" i="34"/>
  <c r="AJ8" i="34"/>
  <c r="AJ9" i="34"/>
  <c r="AJ10" i="34"/>
  <c r="AJ11" i="34"/>
  <c r="AJ12" i="34"/>
  <c r="AJ13" i="34"/>
  <c r="AJ14" i="34"/>
  <c r="AJ3" i="34"/>
  <c r="AI4" i="34"/>
  <c r="AI5" i="34"/>
  <c r="AI6" i="34"/>
  <c r="AI7" i="34"/>
  <c r="AI8" i="34"/>
  <c r="AI9" i="34"/>
  <c r="AI10" i="34"/>
  <c r="AI11" i="34"/>
  <c r="AI12" i="34"/>
  <c r="AI13" i="34"/>
  <c r="AI14" i="34"/>
  <c r="AI3" i="34"/>
  <c r="AH4" i="34"/>
  <c r="AH5" i="34"/>
  <c r="AH6" i="34"/>
  <c r="AH7" i="34"/>
  <c r="AH8" i="34"/>
  <c r="AH9" i="34"/>
  <c r="AH10" i="34"/>
  <c r="AH11" i="34"/>
  <c r="AH12" i="34"/>
  <c r="AH13" i="34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D4" i="34" a="1"/>
  <c r="AD4" i="34" s="1"/>
  <c r="AD5" i="34" a="1"/>
  <c r="AD5" i="34" s="1"/>
  <c r="AD6" i="34" a="1"/>
  <c r="AD6" i="34" s="1"/>
  <c r="AD7" i="34" a="1"/>
  <c r="AD7" i="34" s="1"/>
  <c r="AD8" i="34" a="1"/>
  <c r="AD8" i="34" s="1"/>
  <c r="AD9" i="34" a="1"/>
  <c r="AD9" i="34" s="1"/>
  <c r="AD10" i="34" a="1"/>
  <c r="AD10" i="34" s="1"/>
  <c r="AD11" i="34" a="1"/>
  <c r="AD11" i="34" s="1"/>
  <c r="AD12" i="34" a="1"/>
  <c r="AD12" i="34" s="1"/>
  <c r="AD13" i="34" a="1"/>
  <c r="AD13" i="34" s="1"/>
  <c r="AD14" i="34" a="1"/>
  <c r="AD14" i="34" s="1"/>
  <c r="AD3" i="34" a="1"/>
  <c r="AD3" i="34" s="1"/>
  <c r="AB4" i="34"/>
  <c r="AB5" i="34"/>
  <c r="AB6" i="34"/>
  <c r="AB7" i="34"/>
  <c r="AB8" i="34"/>
  <c r="AB9" i="34"/>
  <c r="AB10" i="34"/>
  <c r="AB11" i="34"/>
  <c r="AB12" i="34"/>
  <c r="AB13" i="34"/>
  <c r="AB14" i="34"/>
  <c r="AB3" i="34"/>
  <c r="Y4" i="34"/>
  <c r="Y5" i="34"/>
  <c r="Y6" i="34"/>
  <c r="Y7" i="34"/>
  <c r="Y8" i="34"/>
  <c r="Y9" i="34"/>
  <c r="Y10" i="34"/>
  <c r="Y11" i="34"/>
  <c r="Y12" i="34"/>
  <c r="Y13" i="34"/>
  <c r="Y14" i="34"/>
  <c r="Y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B66" i="26"/>
  <c r="B65" i="26"/>
  <c r="B71" i="26"/>
  <c r="L63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C62" i="34"/>
  <c r="C59" i="34"/>
  <c r="C61" i="34"/>
  <c r="D61" i="34" s="1"/>
  <c r="C58" i="34"/>
  <c r="C60" i="34"/>
  <c r="C57" i="34"/>
  <c r="D57" i="34" s="1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C63" i="34"/>
  <c r="D63" i="34" s="1"/>
  <c r="I54" i="26"/>
  <c r="K54" i="26" s="1"/>
  <c r="I55" i="26"/>
  <c r="K55" i="26" s="1"/>
  <c r="I53" i="26"/>
  <c r="K53" i="26" s="1"/>
  <c r="AC8" i="31"/>
  <c r="M25" i="26" s="1"/>
  <c r="AC11" i="31"/>
  <c r="M28" i="26" s="1"/>
  <c r="AC19" i="31"/>
  <c r="M36" i="26" s="1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K71" i="26"/>
  <c r="J71" i="26"/>
  <c r="K70" i="26"/>
  <c r="J70" i="26"/>
  <c r="D3" i="26"/>
  <c r="D2" i="26"/>
  <c r="J56" i="26"/>
  <c r="L56" i="26" s="1"/>
  <c r="K23" i="26"/>
  <c r="K24" i="26"/>
  <c r="K25" i="26"/>
  <c r="K26" i="26"/>
  <c r="K27" i="26"/>
  <c r="K28" i="26"/>
  <c r="O14" i="34"/>
  <c r="AE14" i="34"/>
  <c r="O13" i="34"/>
  <c r="AE13" i="34"/>
  <c r="O12" i="34"/>
  <c r="AE12" i="34"/>
  <c r="AE11" i="34"/>
  <c r="O10" i="34"/>
  <c r="AE10" i="34"/>
  <c r="AE9" i="34"/>
  <c r="AE8" i="34"/>
  <c r="AE7" i="34"/>
  <c r="O6" i="34"/>
  <c r="AE6" i="34"/>
  <c r="O5" i="34"/>
  <c r="AE5" i="34"/>
  <c r="O4" i="34"/>
  <c r="AE4" i="34"/>
  <c r="O3" i="34"/>
  <c r="AE3" i="34"/>
  <c r="AF9" i="31"/>
  <c r="P26" i="26" s="1"/>
  <c r="AE17" i="31"/>
  <c r="O34" i="26" s="1"/>
  <c r="AE9" i="31"/>
  <c r="O26" i="26" s="1"/>
  <c r="AD17" i="31"/>
  <c r="N34" i="26" s="1"/>
  <c r="AD9" i="31"/>
  <c r="N26" i="26" s="1"/>
  <c r="AF24" i="31"/>
  <c r="P41" i="26" s="1"/>
  <c r="AE16" i="31"/>
  <c r="O33" i="26" s="1"/>
  <c r="AG16" i="31"/>
  <c r="Q33" i="26" s="1"/>
  <c r="AE21" i="31"/>
  <c r="O38" i="26" s="1"/>
  <c r="AF13" i="31"/>
  <c r="P30" i="26" s="1"/>
  <c r="AF17" i="31"/>
  <c r="P34" i="26" s="1"/>
  <c r="AG26" i="31"/>
  <c r="Q43" i="26" s="1"/>
  <c r="Z27" i="31"/>
  <c r="V27" i="31"/>
  <c r="Q27" i="31"/>
  <c r="AC27" i="31"/>
  <c r="M44" i="26" s="1"/>
  <c r="AD27" i="31"/>
  <c r="N44" i="26" s="1"/>
  <c r="U27" i="31"/>
  <c r="AE27" i="31"/>
  <c r="O44" i="26" s="1"/>
  <c r="Y27" i="31"/>
  <c r="P27" i="31"/>
  <c r="AF27" i="31"/>
  <c r="P44" i="26" s="1"/>
  <c r="X27" i="31"/>
  <c r="T27" i="31"/>
  <c r="AG27" i="31"/>
  <c r="Q44" i="26" s="1"/>
  <c r="W27" i="31"/>
  <c r="S27" i="31"/>
  <c r="R27" i="31"/>
  <c r="O27" i="31"/>
  <c r="AG20" i="31"/>
  <c r="Q37" i="26" s="1"/>
  <c r="AG12" i="31"/>
  <c r="Q29" i="26" s="1"/>
  <c r="AF26" i="31"/>
  <c r="P43" i="26" s="1"/>
  <c r="AE26" i="31"/>
  <c r="O43" i="26" s="1"/>
  <c r="AC26" i="31"/>
  <c r="M43" i="26" s="1"/>
  <c r="AD26" i="31"/>
  <c r="N43" i="26" s="1"/>
  <c r="AE25" i="31"/>
  <c r="O42" i="26" s="1"/>
  <c r="AC25" i="31"/>
  <c r="M42" i="26" s="1"/>
  <c r="AG25" i="31"/>
  <c r="Q42" i="26" s="1"/>
  <c r="AF25" i="31"/>
  <c r="P42" i="26" s="1"/>
  <c r="AD25" i="31"/>
  <c r="N42" i="26" s="1"/>
  <c r="AE24" i="31"/>
  <c r="O41" i="26" s="1"/>
  <c r="AG24" i="31"/>
  <c r="Q41" i="26" s="1"/>
  <c r="AD24" i="31"/>
  <c r="N41" i="26" s="1"/>
  <c r="AC24" i="31"/>
  <c r="M41" i="26" s="1"/>
  <c r="AG23" i="31"/>
  <c r="Q40" i="26" s="1"/>
  <c r="AF23" i="31"/>
  <c r="P40" i="26" s="1"/>
  <c r="AD23" i="31"/>
  <c r="N40" i="26" s="1"/>
  <c r="AC23" i="31"/>
  <c r="M40" i="26" s="1"/>
  <c r="AE23" i="31"/>
  <c r="O40" i="26" s="1"/>
  <c r="AE22" i="31"/>
  <c r="O39" i="26" s="1"/>
  <c r="AD22" i="31"/>
  <c r="N39" i="26" s="1"/>
  <c r="AG22" i="31"/>
  <c r="Q39" i="26" s="1"/>
  <c r="AF22" i="31"/>
  <c r="P39" i="26" s="1"/>
  <c r="AC22" i="31"/>
  <c r="M39" i="26" s="1"/>
  <c r="AG21" i="31"/>
  <c r="Q38" i="26" s="1"/>
  <c r="AF21" i="31"/>
  <c r="P38" i="26" s="1"/>
  <c r="AD21" i="31"/>
  <c r="N38" i="26" s="1"/>
  <c r="AC21" i="31"/>
  <c r="M38" i="26" s="1"/>
  <c r="AF20" i="31"/>
  <c r="P37" i="26" s="1"/>
  <c r="AE20" i="31"/>
  <c r="O37" i="26" s="1"/>
  <c r="AD20" i="31"/>
  <c r="N37" i="26" s="1"/>
  <c r="AC20" i="31"/>
  <c r="M37" i="26" s="1"/>
  <c r="AG19" i="31"/>
  <c r="Q36" i="26" s="1"/>
  <c r="AF19" i="31"/>
  <c r="P36" i="26" s="1"/>
  <c r="AE19" i="31"/>
  <c r="O36" i="26" s="1"/>
  <c r="AD19" i="31"/>
  <c r="N36" i="26" s="1"/>
  <c r="AC18" i="31"/>
  <c r="M35" i="26" s="1"/>
  <c r="AG18" i="31"/>
  <c r="Q35" i="26" s="1"/>
  <c r="AF18" i="31"/>
  <c r="P35" i="26" s="1"/>
  <c r="AE18" i="31"/>
  <c r="O35" i="26" s="1"/>
  <c r="AD18" i="31"/>
  <c r="N35" i="26" s="1"/>
  <c r="AC17" i="31"/>
  <c r="M34" i="26" s="1"/>
  <c r="AG17" i="31"/>
  <c r="Q34" i="26" s="1"/>
  <c r="AF16" i="31"/>
  <c r="P33" i="26" s="1"/>
  <c r="AD16" i="31"/>
  <c r="N33" i="26" s="1"/>
  <c r="AC16" i="31"/>
  <c r="M33" i="26" s="1"/>
  <c r="AE15" i="31"/>
  <c r="O32" i="26" s="1"/>
  <c r="AD15" i="31"/>
  <c r="N32" i="26" s="1"/>
  <c r="AG15" i="31"/>
  <c r="Q32" i="26" s="1"/>
  <c r="AC15" i="31"/>
  <c r="M32" i="26" s="1"/>
  <c r="AF15" i="31"/>
  <c r="P32" i="26" s="1"/>
  <c r="AG14" i="31"/>
  <c r="Q31" i="26" s="1"/>
  <c r="AF14" i="31"/>
  <c r="P31" i="26" s="1"/>
  <c r="AD14" i="31"/>
  <c r="N31" i="26" s="1"/>
  <c r="AC14" i="31"/>
  <c r="M31" i="26" s="1"/>
  <c r="AE14" i="31"/>
  <c r="O31" i="26" s="1"/>
  <c r="AG13" i="31"/>
  <c r="Q30" i="26" s="1"/>
  <c r="AE13" i="31"/>
  <c r="O30" i="26" s="1"/>
  <c r="AD13" i="31"/>
  <c r="N30" i="26" s="1"/>
  <c r="AC13" i="31"/>
  <c r="M30" i="26" s="1"/>
  <c r="AF12" i="31"/>
  <c r="P29" i="26" s="1"/>
  <c r="AE12" i="31"/>
  <c r="O29" i="26" s="1"/>
  <c r="AD12" i="31"/>
  <c r="N29" i="26" s="1"/>
  <c r="AC12" i="31"/>
  <c r="M29" i="26" s="1"/>
  <c r="AG11" i="31"/>
  <c r="Q28" i="26" s="1"/>
  <c r="AF11" i="31"/>
  <c r="P28" i="26" s="1"/>
  <c r="AE11" i="31"/>
  <c r="O28" i="26" s="1"/>
  <c r="AD11" i="31"/>
  <c r="N28" i="26" s="1"/>
  <c r="AC10" i="31"/>
  <c r="M27" i="26" s="1"/>
  <c r="AG10" i="31"/>
  <c r="Q27" i="26" s="1"/>
  <c r="AF10" i="31"/>
  <c r="P27" i="26" s="1"/>
  <c r="AE10" i="31"/>
  <c r="O27" i="26" s="1"/>
  <c r="AD10" i="31"/>
  <c r="N27" i="26" s="1"/>
  <c r="AC9" i="31"/>
  <c r="M26" i="26" s="1"/>
  <c r="AG9" i="31"/>
  <c r="Q26" i="26" s="1"/>
  <c r="AG8" i="31"/>
  <c r="Q25" i="26" s="1"/>
  <c r="AF8" i="31"/>
  <c r="P25" i="26" s="1"/>
  <c r="AD8" i="31"/>
  <c r="N25" i="26" s="1"/>
  <c r="AE8" i="31"/>
  <c r="O25" i="26" s="1"/>
  <c r="L71" i="26"/>
  <c r="L73" i="26"/>
  <c r="V6" i="31"/>
  <c r="AD6" i="31"/>
  <c r="N23" i="26" s="1"/>
  <c r="AC6" i="31"/>
  <c r="M23" i="26" s="1"/>
  <c r="AC5" i="31"/>
  <c r="M22" i="26" s="1"/>
  <c r="AD5" i="31"/>
  <c r="N22" i="26" s="1"/>
  <c r="X4" i="31"/>
  <c r="AD4" i="31"/>
  <c r="N21" i="26" s="1"/>
  <c r="AC4" i="31"/>
  <c r="M21" i="26" s="1"/>
  <c r="AG6" i="31"/>
  <c r="Q23" i="26" s="1"/>
  <c r="AE7" i="31"/>
  <c r="O24" i="26" s="1"/>
  <c r="AD7" i="31"/>
  <c r="N24" i="26" s="1"/>
  <c r="AG7" i="31"/>
  <c r="Q24" i="26" s="1"/>
  <c r="AC7" i="31"/>
  <c r="M24" i="26" s="1"/>
  <c r="AF7" i="31"/>
  <c r="P24" i="26" s="1"/>
  <c r="Y5" i="31"/>
  <c r="H55" i="26"/>
  <c r="J55" i="26" s="1"/>
  <c r="H54" i="26"/>
  <c r="J54" i="26" s="1"/>
  <c r="AF6" i="31"/>
  <c r="P23" i="26" s="1"/>
  <c r="AE6" i="31"/>
  <c r="O23" i="26" s="1"/>
  <c r="AG5" i="31"/>
  <c r="Q22" i="26" s="1"/>
  <c r="AF5" i="31"/>
  <c r="P22" i="26" s="1"/>
  <c r="AE5" i="31"/>
  <c r="O22" i="26" s="1"/>
  <c r="AG2" i="31"/>
  <c r="Q19" i="26" s="1"/>
  <c r="AF2" i="31"/>
  <c r="P19" i="26" s="1"/>
  <c r="AE4" i="31"/>
  <c r="O21" i="26" s="1"/>
  <c r="AG4" i="31"/>
  <c r="Q21" i="26" s="1"/>
  <c r="AF4" i="31"/>
  <c r="P21" i="26" s="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2" i="26"/>
  <c r="L70" i="26"/>
  <c r="L74" i="26"/>
  <c r="L69" i="26"/>
  <c r="H53" i="26"/>
  <c r="J53" i="26" s="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J121" i="26"/>
  <c r="K121" i="26"/>
  <c r="K119" i="26"/>
  <c r="J119" i="26"/>
  <c r="K117" i="26"/>
  <c r="J117" i="26"/>
  <c r="H115" i="26"/>
  <c r="K115" i="26"/>
  <c r="H114" i="26"/>
  <c r="H113" i="26"/>
  <c r="G114" i="26"/>
  <c r="K114" i="26"/>
  <c r="K112" i="26"/>
  <c r="H112" i="26"/>
  <c r="J112" i="26"/>
  <c r="G111" i="26"/>
  <c r="J111" i="26"/>
  <c r="K107" i="26"/>
  <c r="H107" i="26"/>
  <c r="J107" i="26"/>
  <c r="K105" i="26"/>
  <c r="J105" i="26"/>
  <c r="K103" i="26"/>
  <c r="H103" i="26"/>
  <c r="J103" i="26"/>
  <c r="K102" i="26"/>
  <c r="H101" i="26"/>
  <c r="K101" i="26"/>
  <c r="K99" i="26"/>
  <c r="H99" i="26"/>
  <c r="J99" i="26"/>
  <c r="H98" i="26"/>
  <c r="H97" i="26"/>
  <c r="G97" i="26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K84" i="26"/>
  <c r="J84" i="26"/>
  <c r="K83" i="26"/>
  <c r="J83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22" i="26"/>
  <c r="E11" i="26"/>
  <c r="F11" i="26" s="1"/>
  <c r="D5" i="26"/>
  <c r="C1" i="26"/>
  <c r="K97" i="26"/>
  <c r="B81" i="19" a="1"/>
  <c r="B81" i="19"/>
  <c r="L86" i="26"/>
  <c r="L88" i="26"/>
  <c r="L81" i="26"/>
  <c r="L76" i="26"/>
  <c r="L78" i="26"/>
  <c r="L87" i="26"/>
  <c r="L117" i="26"/>
  <c r="L116" i="26"/>
  <c r="L84" i="26"/>
  <c r="K91" i="26"/>
  <c r="L91" i="26"/>
  <c r="J115" i="26"/>
  <c r="L115" i="26"/>
  <c r="L90" i="26"/>
  <c r="J113" i="26"/>
  <c r="G98" i="26"/>
  <c r="L103" i="26"/>
  <c r="L107" i="26"/>
  <c r="L106" i="26"/>
  <c r="L99" i="26"/>
  <c r="L112" i="26"/>
  <c r="L121" i="26"/>
  <c r="L120" i="26"/>
  <c r="AB142" i="26"/>
  <c r="AO140" i="26"/>
  <c r="L77" i="26"/>
  <c r="L79" i="26"/>
  <c r="L85" i="26"/>
  <c r="J101" i="26"/>
  <c r="L101" i="26"/>
  <c r="K113" i="26"/>
  <c r="AB146" i="26"/>
  <c r="AB138" i="26"/>
  <c r="AO139" i="26"/>
  <c r="L80" i="26"/>
  <c r="L83" i="26"/>
  <c r="J97" i="26"/>
  <c r="J102" i="26"/>
  <c r="L105" i="26"/>
  <c r="L104" i="26"/>
  <c r="K111" i="26"/>
  <c r="L111" i="26"/>
  <c r="L119" i="26"/>
  <c r="L118" i="26"/>
  <c r="J114" i="26"/>
  <c r="L114" i="26"/>
  <c r="L97" i="26"/>
  <c r="L75" i="26"/>
  <c r="L82" i="26"/>
  <c r="K98" i="26"/>
  <c r="L102" i="26"/>
  <c r="L100" i="26"/>
  <c r="J98" i="26"/>
  <c r="L113" i="26"/>
  <c r="L98" i="26"/>
  <c r="L96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C62" i="19"/>
  <c r="B106" i="19" s="1"/>
  <c r="G105" i="19" s="1"/>
  <c r="G106" i="19" s="1"/>
  <c r="C61" i="19"/>
  <c r="B102" i="19" s="1"/>
  <c r="G101" i="19" s="1"/>
  <c r="G102" i="19" s="1"/>
  <c r="C60" i="19"/>
  <c r="B98" i="19" s="1"/>
  <c r="G97" i="19" s="1"/>
  <c r="G98" i="19" s="1"/>
  <c r="B62" i="19"/>
  <c r="B67" i="19" s="1"/>
  <c r="B61" i="19"/>
  <c r="B66" i="19" s="1"/>
  <c r="B60" i="19"/>
  <c r="B65" i="19" s="1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D62" i="19"/>
  <c r="B88" i="19" s="1"/>
  <c r="G87" i="19" s="1"/>
  <c r="G88" i="19" s="1"/>
  <c r="E62" i="19" s="1"/>
  <c r="D60" i="19"/>
  <c r="B80" i="19" s="1"/>
  <c r="G79" i="19" s="1"/>
  <c r="G80" i="19" s="1"/>
  <c r="E60" i="19" s="1"/>
  <c r="G83" i="20"/>
  <c r="D83" i="20"/>
  <c r="D61" i="19"/>
  <c r="B84" i="19" s="1"/>
  <c r="G83" i="19" s="1"/>
  <c r="G84" i="19" s="1"/>
  <c r="E61" i="19" s="1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D30" i="19"/>
  <c r="C30" i="19"/>
  <c r="D23" i="19"/>
  <c r="C23" i="19"/>
  <c r="D15" i="19"/>
  <c r="C15" i="19"/>
  <c r="D8" i="19"/>
  <c r="C8" i="19"/>
  <c r="E23" i="19"/>
  <c r="E15" i="19"/>
  <c r="E30" i="19"/>
  <c r="F56" i="19"/>
  <c r="E8" i="19"/>
  <c r="C43" i="19"/>
  <c r="F43" i="19"/>
  <c r="C37" i="19"/>
  <c r="F37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X3" i="34" l="1"/>
  <c r="X4" i="34"/>
  <c r="X14" i="34"/>
  <c r="X6" i="34"/>
  <c r="X13" i="34"/>
  <c r="X5" i="34"/>
  <c r="X12" i="34"/>
  <c r="X10" i="34"/>
  <c r="X11" i="34"/>
  <c r="AB46" i="31"/>
  <c r="AB38" i="31"/>
  <c r="AB36" i="31"/>
  <c r="AB42" i="31"/>
  <c r="AB40" i="31"/>
  <c r="AB4" i="31"/>
  <c r="H21" i="26" s="1"/>
  <c r="J21" i="26" s="1"/>
  <c r="L21" i="26" s="1"/>
  <c r="AB11" i="31"/>
  <c r="H28" i="26" s="1"/>
  <c r="J28" i="26" s="1"/>
  <c r="L28" i="26" s="1"/>
  <c r="AB35" i="31"/>
  <c r="AB17" i="31"/>
  <c r="H34" i="26" s="1"/>
  <c r="J34" i="26" s="1"/>
  <c r="L34" i="26" s="1"/>
  <c r="AB30" i="31"/>
  <c r="H47" i="26" s="1"/>
  <c r="J47" i="26" s="1"/>
  <c r="L47" i="26" s="1"/>
  <c r="AB32" i="31"/>
  <c r="H49" i="26" s="1"/>
  <c r="J49" i="26" s="1"/>
  <c r="L49" i="26" s="1"/>
  <c r="AB43" i="31"/>
  <c r="AB41" i="31"/>
  <c r="AB47" i="31"/>
  <c r="X8" i="34"/>
  <c r="X9" i="34"/>
  <c r="AB34" i="31"/>
  <c r="H51" i="26" s="1"/>
  <c r="J51" i="26" s="1"/>
  <c r="L51" i="26" s="1"/>
  <c r="AB29" i="31"/>
  <c r="H46" i="26" s="1"/>
  <c r="J46" i="26" s="1"/>
  <c r="L46" i="26" s="1"/>
  <c r="AB24" i="31"/>
  <c r="H41" i="26" s="1"/>
  <c r="J41" i="26" s="1"/>
  <c r="L41" i="26" s="1"/>
  <c r="AB37" i="31"/>
  <c r="AB26" i="31"/>
  <c r="H43" i="26" s="1"/>
  <c r="J43" i="26" s="1"/>
  <c r="L43" i="26" s="1"/>
  <c r="AB25" i="31"/>
  <c r="H42" i="26" s="1"/>
  <c r="J42" i="26" s="1"/>
  <c r="L42" i="26" s="1"/>
  <c r="AB10" i="31"/>
  <c r="H27" i="26" s="1"/>
  <c r="J27" i="26" s="1"/>
  <c r="L27" i="26" s="1"/>
  <c r="AB21" i="31"/>
  <c r="H38" i="26" s="1"/>
  <c r="J38" i="26" s="1"/>
  <c r="L38" i="26" s="1"/>
  <c r="AB45" i="31"/>
  <c r="AB39" i="31"/>
  <c r="AB5" i="31"/>
  <c r="H22" i="26" s="1"/>
  <c r="J22" i="26" s="1"/>
  <c r="L22" i="26" s="1"/>
  <c r="AB13" i="31"/>
  <c r="H30" i="26" s="1"/>
  <c r="J30" i="26" s="1"/>
  <c r="L30" i="26" s="1"/>
  <c r="AB23" i="31"/>
  <c r="H40" i="26" s="1"/>
  <c r="J40" i="26" s="1"/>
  <c r="L40" i="26" s="1"/>
  <c r="AB14" i="31"/>
  <c r="H31" i="26" s="1"/>
  <c r="J31" i="26" s="1"/>
  <c r="L31" i="26" s="1"/>
  <c r="AB20" i="31"/>
  <c r="H37" i="26" s="1"/>
  <c r="J37" i="26" s="1"/>
  <c r="L37" i="26" s="1"/>
  <c r="AB8" i="31"/>
  <c r="H25" i="26" s="1"/>
  <c r="J25" i="26" s="1"/>
  <c r="L25" i="26" s="1"/>
  <c r="AB18" i="31"/>
  <c r="H35" i="26" s="1"/>
  <c r="J35" i="26" s="1"/>
  <c r="L35" i="26" s="1"/>
  <c r="AB9" i="31"/>
  <c r="H26" i="26" s="1"/>
  <c r="J26" i="26" s="1"/>
  <c r="L26" i="26" s="1"/>
  <c r="AB19" i="31"/>
  <c r="H36" i="26" s="1"/>
  <c r="J36" i="26" s="1"/>
  <c r="L36" i="26" s="1"/>
  <c r="AB6" i="31"/>
  <c r="H23" i="26" s="1"/>
  <c r="J23" i="26" s="1"/>
  <c r="L23" i="26" s="1"/>
  <c r="AB28" i="31"/>
  <c r="H45" i="26" s="1"/>
  <c r="J45" i="26" s="1"/>
  <c r="L45" i="26" s="1"/>
  <c r="AB16" i="31"/>
  <c r="H33" i="26" s="1"/>
  <c r="J33" i="26" s="1"/>
  <c r="L33" i="26" s="1"/>
  <c r="AB7" i="31"/>
  <c r="H24" i="26" s="1"/>
  <c r="J24" i="26" s="1"/>
  <c r="L24" i="26" s="1"/>
  <c r="AB12" i="31"/>
  <c r="H29" i="26" s="1"/>
  <c r="J29" i="26" s="1"/>
  <c r="L29" i="26" s="1"/>
  <c r="AB22" i="31"/>
  <c r="H39" i="26" s="1"/>
  <c r="J39" i="26" s="1"/>
  <c r="L39" i="26" s="1"/>
  <c r="AB15" i="31"/>
  <c r="H32" i="26" s="1"/>
  <c r="J32" i="26" s="1"/>
  <c r="L32" i="26" s="1"/>
  <c r="AB31" i="31"/>
  <c r="H48" i="26" s="1"/>
  <c r="J48" i="26" s="1"/>
  <c r="L48" i="26" s="1"/>
  <c r="AB44" i="31"/>
  <c r="AB33" i="31"/>
  <c r="H50" i="26" s="1"/>
  <c r="J50" i="26" s="1"/>
  <c r="L50" i="26" s="1"/>
  <c r="AB27" i="31"/>
  <c r="H44" i="26" s="1"/>
  <c r="J44" i="26" s="1"/>
  <c r="L44" i="26" s="1"/>
  <c r="O8" i="34"/>
  <c r="X7" i="34"/>
  <c r="L55" i="26"/>
  <c r="L54" i="26"/>
  <c r="E66" i="19"/>
  <c r="F66" i="19" s="1"/>
  <c r="G66" i="19" s="1"/>
  <c r="E67" i="19"/>
  <c r="C67" i="19" s="1"/>
  <c r="L53" i="26"/>
  <c r="E65" i="19"/>
  <c r="F65" i="19" s="1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AB3" i="31" l="1"/>
  <c r="H20" i="26" s="1"/>
  <c r="J20" i="26" s="1"/>
  <c r="F67" i="19"/>
  <c r="G67" i="19" s="1"/>
  <c r="C66" i="19"/>
  <c r="C65" i="19"/>
  <c r="L52" i="26"/>
  <c r="F38" i="4"/>
  <c r="H38" i="4" s="1"/>
  <c r="N37" i="4"/>
  <c r="N43" i="4"/>
  <c r="G65" i="19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A18" i="26"/>
  <c r="B16" i="17"/>
  <c r="B1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17" authorId="2" shapeId="0" xr:uid="{A5EC8880-040C-4CE3-992B-6FEDE1F7EF6A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com veios = 0,25mmCA
k médio cotovelo = 0,85mmCA</t>
      </text>
    </comment>
    <comment ref="R18" authorId="3" shapeId="0" xr:uid="{33084FAD-F762-4DDC-974E-F5902D608C93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= 0,1mmCA
K médio cotovelo = 0,5mmCA</t>
      </text>
    </comment>
    <comment ref="R20" authorId="4" shapeId="0" xr:uid="{FF4853F3-A9E4-43A5-91F0-488C24CA2D56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25" authorId="6" shapeId="0" xr:uid="{7FDB785E-E98B-446F-A652-E87C5B0EF7BB}">
      <text>
        <t>[Threaded comment]
Your version of Excel allows you to read this threaded comment; however, any edits to it will get removed if the file is opened in a newer version of Excel. Learn more: https://go.microsoft.com/fwlink/?linkid=870924
Comment: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a ser passado para a IHM</t>
      </text>
    </comment>
    <comment ref="J124" authorId="3" shapeId="0" xr:uid="{2A289E30-9B21-4724-9A2D-63C4B4F2B22B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  <comment ref="K124" authorId="4" shapeId="0" xr:uid="{28C55936-DD86-4755-AFA8-0C55D1542317}">
      <text>
        <t>[Threaded comment]
Your version of Excel allows you to read this threaded comment; however, any edits to it will get removed if the file is opened in a newer version of Excel. Learn more: https://go.microsoft.com/fwlink/?linkid=870924
Comment:
    **Não Alterar** Lucro Líquido em % do Total de venda. Calculado automaticamente.</t>
      </text>
    </comment>
    <comment ref="K125" authorId="5" shapeId="0" xr:uid="{D658F0A4-2BBB-4D04-8D97-CB2FA32918B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Impostos pagos pela empresa. 18%</t>
      </text>
    </comment>
    <comment ref="K126" authorId="6" shapeId="0" xr:uid="{DE329302-2551-4CB1-9B9F-09A0DB93830A}">
      <text>
        <t>[Threaded comment]
Your version of Excel allows you to read this threaded comment; however, any edits to it will get removed if the file is opened in a newer version of Excel. Learn more: https://go.microsoft.com/fwlink/?linkid=870924
Comment:
    Fator k em %. Exemplo: Fator k = 1,35 = 35%</t>
      </text>
    </comment>
    <comment ref="L126" authorId="7" shapeId="0" xr:uid="{E237B183-011C-4CAC-AB11-E06F607B5118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em caso de obra ESI</t>
      </text>
    </comment>
    <comment ref="J129" authorId="8" shapeId="0" xr:uid="{80663E15-4B8D-4A57-8C72-C0D3D19A9FA4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</t>
      </text>
    </comment>
    <comment ref="C1" authorId="1" shapeId="0" xr:uid="{770F9529-CB22-4F77-B746-C24E056DB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2</t>
      </text>
    </comment>
    <comment ref="E1" authorId="2" shapeId="0" xr:uid="{AA3E261B-7E84-41CE-92A8-B68145391949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3</t>
      </text>
    </comment>
    <comment ref="F1" authorId="3" shapeId="0" xr:uid="{8FAE7838-AF0F-4298-8C9D-FF69A595094D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4</t>
      </text>
    </comment>
    <comment ref="G1" authorId="4" shapeId="0" xr:uid="{3320F068-81E7-40C9-8FBE-539DC90B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5</t>
      </text>
    </comment>
    <comment ref="H1" authorId="5" shapeId="0" xr:uid="{AE25C204-8832-423B-A39D-8E88A86ACB10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6</t>
      </text>
    </comment>
    <comment ref="I1" authorId="6" shapeId="0" xr:uid="{29A214BC-DF8A-4330-B865-BEE9B3823431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7</t>
      </text>
    </comment>
    <comment ref="J1" authorId="7" shapeId="0" xr:uid="{0E7E9F56-56C1-4137-854C-A00434600AEF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8</t>
      </text>
    </comment>
    <comment ref="K1" authorId="8" shapeId="0" xr:uid="{1DB47F75-590E-43DB-AD0F-29F7AFF63B9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9</t>
      </text>
    </comment>
    <comment ref="L1" authorId="9" shapeId="0" xr:uid="{BDC354D5-3D11-4F77-99C2-EF9DD3820AD7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10</t>
      </text>
    </comment>
    <comment ref="O1" authorId="10" shapeId="0" xr:uid="{5B6E25C2-A71C-4BC2-A046-41FAF7FCD5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 Base</t>
      </text>
    </comment>
    <comment ref="P1" authorId="11" shapeId="0" xr:uid="{917ECA3A-6666-4A96-924D-C6119CAAE478}">
      <text>
        <t>[Threaded comment]
Your version of Excel allows you to read this threaded comment; however, any edits to it will get removed if the file is opened in a newer version of Excel. Learn more: https://go.microsoft.com/fwlink/?linkid=870924
Comment:
    Automação Embarcada</t>
      </text>
    </comment>
    <comment ref="Q1" authorId="12" shapeId="0" xr:uid="{1F061300-3F02-46A4-97D2-A9BC38742D47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Manual</t>
      </text>
    </comment>
    <comment ref="R1" authorId="13" shapeId="0" xr:uid="{822F9438-F51C-489B-9C51-A3D4220E2CE6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Manuais</t>
      </text>
    </comment>
    <comment ref="S1" authorId="14" shapeId="0" xr:uid="{225C7EAA-E75F-4682-830E-B492BBE259DA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com atuador on/off</t>
      </text>
    </comment>
    <comment ref="T1" authorId="15" shapeId="0" xr:uid="{64827351-1942-47C9-B784-B3000966EBF4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com atuadores on/off</t>
      </text>
    </comment>
    <comment ref="U1" authorId="16" shapeId="0" xr:uid="{4698BD48-FCCE-47E7-9961-6A818BC956B9}">
      <text>
        <t>[Threaded comment]
Your version of Excel allows you to read this threaded comment; however, any edits to it will get removed if the file is opened in a newer version of Excel. Learn more: https://go.microsoft.com/fwlink/?linkid=870924
Comment:
    Ventilador Eletrônico</t>
      </text>
    </comment>
    <comment ref="V1" authorId="17" shapeId="0" xr:uid="{81321174-8C0A-42FE-9B43-F86DFB45D1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W1" authorId="18" shapeId="0" xr:uid="{C107CE56-A13D-49FC-8954-D3533D7E821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X1" authorId="19" shapeId="0" xr:uid="{D1F61B7F-2381-4849-88E1-55BFE09089F3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 de Filtro Sujo</t>
      </text>
    </comment>
    <comment ref="Y1" authorId="20" shapeId="0" xr:uid="{C3AA4116-374D-40F7-98DB-4F1231B8589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58" authorId="1" shapeId="0" xr:uid="{8E543269-466B-410E-BABC-9FC13B9FA4B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estimado.</t>
      </text>
    </comment>
    <comment ref="D61" authorId="2" shapeId="0" xr:uid="{F9D2604F-792B-437E-A146-AE91504B3022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3" authorId="3" shapeId="0" xr:uid="{A0F6512C-C81B-444C-B512-CD52E7B36523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9" authorId="4" shapeId="0" xr:uid="{2FBEEC8A-98CD-495F-B939-22DFB174D8D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F69" authorId="5" shapeId="0" xr:uid="{48A81A7D-813B-4EB3-8F83-B8B0A175AB2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C71" authorId="6" shapeId="0" xr:uid="{0ABAA109-18FD-4308-A12F-F241BC44C8E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C73" authorId="7" shapeId="0" xr:uid="{C3B6F132-B021-44B3-9BDC-BE1CECF2A94B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9.000</t>
      </text>
    </comment>
    <comment ref="C76" authorId="8" shapeId="0" xr:uid="{A020368A-96F0-4F5D-9C7A-F86DD026EB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E76" authorId="9" shapeId="0" xr:uid="{846DF249-D2AE-498A-8DAB-A2455F442DC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A128" authorId="10" shapeId="0" xr:uid="{C89BC0B2-3308-4752-8989-1603A7576B9B}">
      <text>
        <t>[Threaded comment]
Your version of Excel allows you to read this threaded comment; however, any edits to it will get removed if the file is opened in a newer version of Excel. Learn more: https://go.microsoft.com/fwlink/?linkid=870924
Comment:
    Limit Load, pressão 40 mmCA, 15CV, 220V/380V, acionamento direto. 13/10/2022, Aeroville</t>
      </text>
    </comment>
    <comment ref="A130" authorId="11" shapeId="0" xr:uid="{96FFC34B-1840-4E21-93DF-23BD9953D042}">
      <text>
        <t>[Threaded comment]
Your version of Excel allows you to read this threaded comment; however, any edits to it will get removed if the file is opened in a newer version of Excel. Learn more: https://go.microsoft.com/fwlink/?linkid=870924
Comment: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<sst xmlns="http://schemas.openxmlformats.org/spreadsheetml/2006/main" count="3867" uniqueCount="1404">
  <si>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</si>
  <si>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</si>
  <si>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</si>
  <si>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</si>
  <si>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</si>
  <si>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</si>
  <si>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</si>
  <si>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</si>
  <si>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</si>
  <si>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</si>
  <si>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</si>
  <si>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</si>
  <si>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</si>
  <si>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</si>
  <si>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</si>
  <si>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</si>
  <si>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</si>
  <si>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</si>
  <si>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</si>
  <si>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</si>
  <si>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</si>
  <si>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</si>
  <si>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</si>
  <si>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</si>
  <si>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</si>
  <si>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</si>
  <si>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</si>
  <si>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</si>
  <si>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</si>
  <si>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</si>
  <si>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</si>
  <si>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</si>
  <si>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</si>
  <si>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</si>
  <si>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</si>
  <si>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</si>
  <si>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</si>
  <si>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</si>
  <si>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</si>
  <si>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</si>
  <si>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</si>
  <si>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</si>
  <si>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</si>
  <si>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</si>
  <si>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</si>
  <si>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</si>
  <si>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</si>
  <si>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</si>
  <si>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</si>
  <si>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</si>
  <si>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</si>
  <si>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</si>
  <si>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</si>
  <si>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</si>
  <si>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</si>
  <si>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</si>
  <si>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</si>
  <si>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</si>
  <si>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</si>
  <si>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</si>
  <si>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</si>
  <si>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</si>
  <si>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</si>
  <si>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</si>
  <si>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</si>
  <si>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</si>
  <si>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</si>
  <si>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</si>
  <si>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</si>
  <si>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</si>
  <si>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</si>
  <si>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</si>
  <si>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</si>
  <si>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</si>
  <si>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</si>
  <si>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</si>
  <si>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</si>
  <si>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</si>
  <si>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</si>
  <si>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</si>
  <si>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</si>
  <si>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</si>
  <si>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</si>
  <si>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</si>
  <si>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</si>
  <si>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</si>
  <si>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</si>
  <si>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</si>
  <si>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</si>
  <si>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</si>
  <si>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</si>
  <si>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</si>
  <si>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</si>
  <si>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</si>
  <si>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</si>
  <si>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</si>
  <si>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</si>
  <si>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</si>
  <si>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</si>
  <si>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</si>
  <si>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</si>
  <si>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</si>
  <si>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</si>
  <si>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</si>
  <si>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</si>
  <si>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</si>
  <si>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</si>
  <si>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</si>
  <si>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</si>
  <si>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</si>
  <si>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</si>
  <si>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</si>
  <si>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</si>
  <si>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</si>
  <si>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</si>
  <si>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</si>
  <si>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</si>
  <si>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</si>
  <si>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</si>
  <si>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</si>
  <si>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</si>
  <si>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</si>
  <si>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</si>
  <si>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</si>
  <si>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</si>
  <si>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</si>
  <si>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</si>
  <si>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</si>
  <si>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</si>
  <si>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</si>
  <si>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</si>
  <si>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</si>
  <si>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</si>
  <si>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</si>
  <si>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</si>
  <si>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</si>
  <si>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</si>
  <si>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</si>
  <si>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</si>
  <si>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</si>
  <si>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</si>
  <si>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</si>
  <si>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</si>
  <si>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</si>
  <si>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</si>
  <si>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</si>
  <si>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</si>
  <si>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</si>
  <si>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</si>
  <si>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</si>
  <si>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</si>
  <si>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</si>
  <si>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</si>
  <si>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</si>
  <si>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</si>
  <si>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</si>
  <si>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</si>
  <si>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</si>
  <si>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</si>
  <si>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</si>
  <si>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</si>
  <si>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</si>
  <si>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</si>
  <si>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</si>
  <si>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</si>
  <si>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</si>
  <si>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</si>
  <si>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</si>
  <si>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</si>
  <si>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</si>
  <si>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</si>
  <si>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</si>
  <si>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</si>
  <si>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</si>
  <si>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</si>
  <si>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</si>
  <si>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</si>
  <si>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</si>
  <si>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</si>
  <si>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</si>
  <si>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</si>
  <si>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</si>
  <si>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</si>
  <si>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</si>
  <si>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</si>
  <si>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</si>
  <si>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</si>
  <si>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</si>
  <si>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</si>
  <si>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</si>
  <si>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</si>
  <si>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</si>
  <si>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</si>
  <si>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</si>
  <si>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</si>
  <si>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</si>
  <si>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</si>
  <si>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</si>
  <si>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</si>
  <si>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</si>
  <si>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</si>
  <si>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</si>
  <si>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</si>
  <si>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</si>
  <si>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</si>
  <si>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</si>
  <si>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</si>
  <si>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</si>
  <si>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</si>
  <si>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</si>
  <si>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</si>
  <si>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</si>
  <si>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</si>
  <si>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</si>
  <si>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</si>
  <si>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</si>
  <si>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</si>
  <si>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</si>
  <si>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</si>
  <si>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</si>
  <si>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</si>
  <si>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</si>
  <si>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</si>
  <si>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</si>
  <si>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</si>
  <si>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</si>
  <si>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</si>
  <si>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</si>
  <si>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</si>
  <si>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</si>
  <si>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</si>
  <si>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</si>
  <si>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</si>
  <si>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</si>
  <si>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</si>
  <si>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</si>
  <si>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</si>
  <si>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</si>
  <si>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</si>
  <si>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</si>
  <si>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</si>
  <si>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</si>
  <si>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</si>
  <si>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</si>
  <si>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</si>
  <si>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</si>
  <si>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</si>
  <si>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</si>
  <si>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</si>
  <si>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</si>
  <si>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</si>
  <si>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</si>
  <si>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</si>
  <si>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</si>
  <si>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</si>
  <si>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</si>
  <si>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</si>
  <si>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</si>
  <si>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</si>
  <si>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</si>
  <si>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</si>
  <si>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</si>
  <si>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</si>
  <si>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</si>
  <si>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</si>
  <si>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</si>
  <si>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</si>
  <si>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</si>
  <si>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</si>
  <si>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</si>
  <si>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</si>
  <si>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</si>
  <si>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</si>
  <si>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</si>
  <si>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</si>
  <si>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</si>
  <si>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</si>
  <si>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</si>
  <si>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</si>
  <si>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</si>
  <si>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</si>
  <si>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</si>
  <si>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</si>
  <si>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</si>
  <si>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</si>
  <si>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</si>
  <si>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</si>
  <si>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</si>
  <si>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</si>
  <si>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</si>
  <si>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</si>
  <si>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</si>
  <si>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</si>
  <si>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</si>
  <si>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</si>
  <si>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</si>
  <si>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</si>
  <si>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</si>
  <si>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</si>
  <si>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</si>
  <si>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</si>
  <si>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</si>
  <si>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</si>
  <si>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</si>
  <si>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</si>
  <si>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</si>
  <si>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</si>
  <si>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</si>
  <si>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</si>
  <si>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</si>
  <si>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</si>
  <si>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</si>
  <si>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</si>
  <si>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</si>
  <si>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</si>
  <si>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</si>
  <si>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</si>
  <si>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</si>
  <si>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</si>
  <si>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</si>
  <si>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</si>
  <si>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</si>
  <si>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</si>
  <si>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</si>
  <si>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</si>
  <si>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</si>
  <si>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</si>
  <si>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</si>
  <si>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</si>
  <si>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</si>
  <si>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</si>
  <si>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</si>
  <si>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</si>
  <si>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</si>
  <si>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</si>
  <si>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</si>
  <si>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</si>
  <si>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</si>
  <si>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</si>
  <si>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</si>
  <si>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</si>
  <si>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</si>
  <si>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</si>
  <si>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</si>
  <si>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</si>
  <si>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</si>
  <si>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</si>
  <si>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</si>
  <si>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</si>
  <si>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</si>
  <si>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</si>
  <si>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</si>
  <si>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</si>
  <si>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</si>
  <si>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</si>
  <si>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</si>
  <si>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</si>
  <si>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</si>
  <si>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</si>
  <si>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</si>
  <si>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</si>
  <si>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</si>
  <si>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</si>
  <si>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</si>
  <si>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</si>
  <si>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</si>
  <si>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</si>
  <si>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</si>
  <si>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</si>
  <si>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</si>
  <si>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</si>
  <si>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</si>
  <si>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</si>
  <si>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</si>
  <si>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</si>
  <si>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</si>
  <si>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</si>
  <si>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</si>
  <si>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</si>
  <si>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</si>
  <si>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</si>
  <si>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</si>
  <si>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</si>
  <si>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</si>
  <si>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</si>
  <si>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</si>
  <si>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</si>
  <si>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</si>
  <si>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</si>
  <si>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</si>
  <si>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</si>
  <si>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</si>
  <si>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</si>
  <si>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</si>
  <si>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</si>
  <si>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</si>
  <si>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</si>
  <si>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</si>
  <si>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</si>
  <si>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</si>
  <si>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</si>
  <si>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</si>
  <si>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</si>
  <si>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</si>
  <si>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</si>
  <si>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</si>
  <si>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</si>
  <si>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</si>
  <si>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</si>
  <si>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</si>
  <si>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</si>
  <si>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</si>
  <si>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</si>
  <si>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</si>
  <si>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</si>
  <si>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</si>
  <si>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</si>
  <si>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</si>
  <si>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</si>
  <si>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</si>
  <si>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</si>
  <si>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</si>
  <si>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</si>
  <si>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</si>
  <si>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</si>
  <si>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</si>
  <si>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</si>
  <si>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</si>
  <si>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</si>
  <si>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</si>
  <si>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</si>
  <si>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</si>
  <si>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</si>
  <si>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</si>
  <si>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</si>
  <si>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</si>
  <si>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</si>
  <si>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</si>
  <si>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</si>
  <si>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</si>
  <si>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</si>
  <si>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</si>
  <si>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</si>
  <si>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</si>
  <si>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</si>
  <si>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</si>
  <si>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</si>
  <si>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</si>
  <si>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</si>
  <si>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</si>
  <si>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</si>
  <si>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</si>
  <si>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</si>
  <si>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</si>
  <si>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</si>
  <si>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</si>
  <si>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</si>
  <si>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</si>
  <si>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</si>
  <si>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</si>
  <si>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</si>
  <si>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</si>
  <si>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</si>
  <si>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</si>
  <si>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</si>
  <si>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</si>
  <si>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</si>
  <si>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</si>
  <si>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</si>
  <si>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</si>
  <si>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</si>
  <si>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</si>
  <si>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</si>
  <si>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</si>
  <si>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</si>
  <si>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</si>
  <si>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</si>
  <si>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</si>
  <si>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</si>
  <si>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</si>
  <si>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</si>
  <si>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</si>
  <si>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</si>
  <si>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</si>
  <si>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</si>
  <si>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</si>
  <si>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</si>
  <si>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</si>
  <si>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</si>
  <si>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</si>
  <si>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</si>
  <si>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</si>
  <si>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</si>
  <si>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</si>
  <si>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</si>
  <si>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</si>
  <si>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</si>
  <si>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</si>
  <si>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</si>
  <si>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</si>
  <si>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</si>
  <si>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</si>
  <si>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</si>
  <si>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</si>
  <si>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</si>
  <si>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</si>
  <si>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</si>
  <si>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</si>
  <si>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</si>
  <si>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</si>
  <si>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</si>
  <si>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</si>
  <si>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</si>
  <si>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</si>
  <si>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</si>
  <si>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</si>
  <si>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</si>
  <si>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</si>
  <si>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</si>
  <si>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</si>
  <si>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</si>
  <si>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</si>
  <si>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</si>
  <si>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</si>
  <si>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</si>
  <si>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</si>
  <si>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</si>
  <si>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</si>
  <si>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</si>
  <si>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</si>
  <si>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</si>
  <si>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</si>
  <si>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</si>
  <si>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</si>
  <si>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</si>
  <si>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</si>
  <si>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</si>
  <si>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</si>
  <si>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</si>
  <si>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</si>
  <si>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</si>
  <si>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</si>
  <si>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</si>
  <si>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</si>
  <si>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</si>
  <si>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</si>
  <si>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</si>
  <si>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</si>
  <si>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</si>
  <si>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</si>
  <si>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</si>
  <si>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</si>
  <si>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</si>
  <si>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</si>
  <si>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</si>
  <si>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</si>
  <si>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</si>
  <si>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</si>
  <si>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</si>
  <si>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</si>
  <si>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</si>
  <si>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</si>
  <si>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</si>
  <si>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</si>
  <si>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</si>
  <si>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</si>
  <si>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</si>
  <si>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</si>
  <si>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</si>
  <si>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</si>
  <si>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</si>
  <si>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</si>
  <si>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</si>
  <si>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</si>
  <si>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</si>
  <si>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</si>
  <si>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</si>
  <si>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</si>
  <si>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</si>
  <si>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</si>
  <si>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</si>
  <si>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</si>
  <si>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</si>
  <si>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</si>
  <si>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</si>
  <si>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</si>
  <si>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</si>
  <si>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</si>
  <si>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</si>
  <si>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</si>
  <si>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</si>
  <si>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</si>
  <si>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</si>
  <si>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</si>
  <si>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</si>
  <si>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</si>
  <si>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</si>
  <si>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</si>
  <si>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</si>
  <si>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</si>
  <si>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</si>
  <si>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</si>
  <si>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</si>
  <si>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</si>
  <si>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</si>
  <si>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</si>
  <si>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</si>
  <si>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</si>
  <si>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</si>
  <si>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</si>
  <si>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</si>
  <si>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</si>
  <si>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</si>
  <si>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</si>
  <si>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</si>
  <si>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</si>
  <si>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</si>
  <si>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</si>
  <si>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</si>
  <si>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</si>
  <si>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</si>
  <si>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</si>
  <si>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</si>
  <si>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</si>
  <si>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</si>
  <si>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</si>
  <si>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</si>
  <si>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</si>
  <si>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</si>
  <si>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</si>
  <si>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</si>
  <si>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</si>
  <si>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</si>
  <si>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</si>
  <si>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</si>
  <si>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</si>
  <si>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</si>
  <si>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</si>
  <si>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</si>
  <si>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</si>
  <si>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</si>
  <si>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</si>
  <si>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</si>
  <si>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</si>
  <si>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</si>
  <si>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</si>
  <si>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</si>
  <si>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</si>
  <si>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</si>
  <si>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</si>
  <si>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</si>
  <si>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</si>
  <si>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</si>
  <si>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</si>
  <si>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</si>
  <si>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</si>
  <si>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</si>
  <si>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</si>
  <si>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</si>
  <si>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</si>
  <si>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</si>
  <si>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</si>
  <si>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</si>
  <si>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</si>
  <si>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</si>
  <si>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</si>
  <si>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</si>
  <si>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</si>
  <si>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</si>
  <si>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</si>
  <si>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</si>
  <si>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</si>
  <si>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</si>
  <si>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</si>
  <si>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</si>
  <si>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</si>
  <si>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</si>
  <si>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</si>
  <si>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</si>
  <si>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</si>
  <si>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</si>
  <si>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</si>
  <si>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</si>
  <si>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</si>
  <si>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</si>
  <si>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</si>
  <si>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</si>
  <si>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</si>
  <si>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</si>
  <si>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</si>
  <si>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</si>
  <si>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</si>
  <si>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</si>
  <si>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</si>
  <si>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</si>
  <si>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</si>
  <si>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</si>
  <si>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</si>
  <si>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</si>
  <si>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</si>
  <si>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</si>
  <si>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</si>
  <si>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</si>
  <si>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</si>
  <si>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</si>
  <si>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</si>
  <si>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</si>
  <si>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</si>
  <si>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</si>
  <si>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</si>
  <si>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</si>
  <si>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</si>
  <si>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</si>
  <si>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</si>
  <si>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</si>
  <si>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</si>
  <si>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</si>
  <si>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</si>
  <si>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</si>
  <si>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</si>
  <si>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</si>
  <si>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</si>
  <si>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</si>
  <si>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</si>
  <si>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</si>
  <si>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</si>
  <si>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</si>
  <si>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</si>
  <si>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</si>
  <si>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</si>
  <si>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</si>
  <si>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</si>
  <si>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</si>
  <si>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</si>
  <si>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</si>
  <si>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</si>
  <si>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</si>
  <si>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</si>
  <si>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</si>
  <si>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</si>
  <si>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</si>
  <si>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</si>
  <si>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</si>
  <si>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</si>
  <si>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</si>
  <si>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</si>
  <si>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</si>
  <si>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</si>
  <si>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</si>
  <si>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</si>
  <si>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</si>
  <si>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</si>
  <si>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</si>
  <si>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</si>
  <si>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</si>
  <si>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</si>
  <si>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</si>
  <si>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</si>
  <si>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</si>
  <si>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</si>
  <si>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</si>
  <si>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</si>
  <si>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</si>
  <si>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</si>
  <si>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</si>
  <si>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</si>
  <si>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</si>
  <si>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</si>
  <si>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</si>
  <si>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</si>
  <si>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</si>
  <si>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</si>
  <si>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</si>
  <si>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</si>
  <si>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</si>
  <si>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</si>
  <si>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</si>
  <si>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</si>
  <si>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</si>
  <si>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</si>
  <si>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</si>
  <si>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</si>
  <si>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</si>
  <si>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</si>
  <si>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</si>
  <si>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</si>
  <si>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</si>
  <si>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</si>
  <si>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</si>
  <si>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</si>
  <si>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</si>
  <si>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</si>
  <si>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</si>
  <si>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</si>
  <si>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</si>
  <si>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</si>
  <si>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</si>
  <si>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</si>
  <si>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</si>
  <si>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</si>
  <si>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</si>
  <si>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</si>
  <si>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</si>
  <si>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</si>
  <si>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</si>
  <si>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</si>
  <si>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</si>
  <si>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</si>
  <si>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</si>
  <si>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</si>
  <si>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</si>
  <si>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</si>
  <si>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</si>
  <si>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</si>
  <si>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</si>
  <si>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</si>
  <si>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</si>
  <si>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</si>
  <si>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</si>
  <si>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</si>
  <si>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</si>
  <si>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</si>
  <si>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</si>
  <si>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</si>
  <si>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</si>
  <si>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</si>
  <si>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</si>
  <si>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</si>
  <si>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</si>
  <si>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</si>
  <si>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</si>
  <si>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</si>
  <si>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</si>
  <si>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</si>
  <si>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</si>
  <si>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</si>
  <si>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</si>
  <si>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</si>
  <si>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</si>
  <si>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</si>
  <si>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</si>
  <si>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</si>
  <si>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</si>
  <si>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</si>
  <si>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</si>
  <si>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</si>
  <si>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</si>
  <si>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</si>
  <si>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</si>
  <si>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</si>
  <si>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</si>
  <si>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</si>
  <si>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</si>
  <si>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</si>
  <si>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</si>
  <si>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</si>
  <si>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</si>
  <si>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</si>
  <si>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</si>
  <si>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</si>
  <si>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</si>
  <si>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</si>
  <si>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</si>
  <si>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</si>
  <si>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</si>
  <si>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</si>
  <si>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</si>
  <si>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</si>
  <si>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</si>
  <si>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</si>
  <si>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</si>
  <si>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</si>
  <si>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</si>
  <si>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</si>
  <si>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</si>
  <si>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</si>
  <si>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</si>
  <si>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</si>
  <si>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</si>
  <si>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</si>
  <si>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</si>
  <si>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</si>
  <si>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</si>
  <si>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</si>
  <si>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</si>
  <si>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</si>
  <si>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</si>
  <si>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</si>
  <si>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</si>
  <si>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</si>
  <si>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</si>
  <si>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</si>
  <si>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</si>
  <si>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</si>
  <si>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</si>
  <si>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</si>
  <si>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</si>
  <si>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</si>
  <si>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</si>
  <si>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</si>
  <si>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</si>
  <si>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</si>
  <si>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</si>
  <si>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</si>
  <si>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</si>
  <si>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</si>
  <si>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</si>
  <si>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</si>
  <si>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</si>
  <si>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</si>
  <si>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</si>
  <si>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</si>
  <si>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</si>
  <si>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</si>
  <si>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</si>
  <si>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</si>
  <si>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</si>
  <si>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</si>
  <si>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</si>
  <si>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</si>
  <si>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</si>
  <si>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</si>
  <si>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</si>
  <si>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</si>
  <si>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</si>
  <si>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</si>
  <si>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</si>
  <si>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</si>
  <si>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</si>
  <si>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</si>
  <si>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</si>
  <si>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</si>
  <si>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</si>
  <si>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</si>
  <si>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</si>
  <si>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</si>
  <si>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</si>
  <si>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</si>
  <si>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</si>
  <si>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</si>
  <si>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</si>
  <si>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</si>
  <si>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</si>
  <si>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</si>
  <si>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</si>
  <si>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</si>
  <si>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</si>
  <si>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</si>
  <si>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</si>
  <si>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</si>
  <si>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</si>
  <si>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</si>
  <si>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</si>
  <si>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</si>
  <si>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</si>
  <si>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</si>
  <si>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</si>
  <si>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</si>
  <si>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</si>
  <si>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</si>
  <si>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</si>
  <si>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</si>
  <si>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</si>
  <si>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</si>
  <si>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</si>
  <si>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</si>
  <si>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</si>
  <si>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</si>
  <si>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</si>
  <si>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</si>
  <si>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</si>
  <si>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</si>
  <si>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</si>
  <si>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</si>
  <si>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</si>
  <si>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</si>
  <si>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</si>
  <si>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</si>
  <si>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</si>
  <si>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</si>
  <si>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</si>
  <si>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</si>
  <si>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</si>
  <si>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</si>
  <si>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</si>
  <si>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</si>
  <si>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</si>
  <si>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</si>
  <si>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</si>
  <si>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</si>
  <si>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</si>
  <si>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</si>
  <si>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</si>
  <si>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</si>
  <si>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</si>
  <si>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</si>
  <si>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</si>
  <si>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</si>
  <si>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</si>
  <si>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</si>
  <si>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</si>
  <si>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</si>
  <si>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</si>
  <si>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</si>
  <si>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</si>
  <si>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</si>
  <si>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</si>
  <si>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</si>
  <si>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</si>
  <si>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</si>
  <si>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</si>
  <si>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</si>
  <si>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</si>
  <si>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</si>
  <si>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</si>
  <si>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</si>
  <si>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</si>
  <si>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</si>
  <si>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</si>
  <si>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</si>
  <si>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</si>
  <si>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</si>
  <si>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</si>
  <si>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</si>
  <si>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</si>
  <si>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</si>
  <si>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</si>
  <si>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</si>
  <si>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</si>
  <si>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</si>
  <si>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</si>
  <si>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</si>
  <si>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</si>
  <si>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</si>
  <si>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</si>
  <si>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</si>
  <si>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</si>
  <si>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</si>
  <si>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</si>
  <si>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</si>
  <si>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</si>
  <si>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</si>
  <si>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</si>
  <si>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</si>
  <si>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</si>
  <si>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</si>
  <si>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</si>
  <si>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</si>
  <si>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</si>
  <si>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</si>
  <si>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</si>
  <si>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</si>
  <si>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</si>
  <si>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</si>
  <si>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</si>
  <si>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</si>
  <si>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</si>
  <si>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</si>
  <si>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</si>
  <si>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</si>
  <si>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</si>
  <si>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</si>
  <si>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</si>
  <si>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</si>
  <si>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</si>
  <si>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</si>
  <si>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</si>
  <si>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</si>
  <si>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</si>
  <si>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</si>
  <si>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</si>
  <si>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</si>
  <si>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</si>
  <si>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</si>
  <si>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</si>
  <si>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</si>
  <si>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</si>
  <si>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</si>
  <si>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</si>
  <si>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</si>
  <si>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</si>
  <si>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</si>
  <si>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</si>
  <si>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</si>
  <si>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</si>
  <si>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</si>
  <si>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</si>
  <si>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</si>
  <si>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</si>
  <si>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</si>
  <si>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</si>
  <si>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</si>
  <si>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</si>
  <si>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</si>
  <si>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</si>
  <si>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</si>
  <si>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</si>
  <si>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</si>
  <si>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</si>
  <si>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</si>
  <si>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</si>
  <si>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</si>
  <si>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</si>
  <si>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</si>
  <si>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</si>
  <si>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</si>
  <si>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</si>
  <si>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</si>
  <si>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</si>
  <si>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</si>
  <si>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</si>
  <si>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</si>
  <si>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</si>
  <si>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</si>
  <si>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</si>
  <si>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</si>
  <si>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</si>
  <si>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</si>
  <si>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</si>
  <si>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</si>
  <si>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</si>
  <si>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</si>
  <si>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</si>
  <si>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</si>
  <si>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</si>
  <si>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</si>
  <si>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</si>
  <si>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</si>
  <si>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</si>
  <si>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</si>
  <si>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</si>
  <si>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</si>
  <si>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</si>
  <si>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</si>
  <si>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</si>
  <si>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</si>
  <si>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</si>
  <si>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</si>
  <si>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</si>
  <si>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</si>
  <si>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</si>
  <si>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</si>
  <si>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</si>
  <si>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</si>
  <si>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</si>
  <si>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</si>
  <si>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</si>
  <si>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</si>
  <si>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</si>
  <si>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</si>
  <si>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</si>
  <si>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</si>
  <si>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</si>
  <si>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</si>
  <si>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</si>
  <si>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</si>
  <si>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</si>
  <si>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</si>
  <si>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</si>
  <si>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</si>
  <si>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</si>
  <si>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</si>
  <si>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</si>
  <si>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</si>
  <si>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</si>
  <si>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</si>
  <si>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</si>
  <si>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</si>
  <si>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</si>
  <si>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</si>
  <si>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</si>
  <si>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</si>
  <si>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</si>
  <si>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</si>
  <si>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</si>
  <si>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</si>
  <si>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</si>
  <si>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</si>
  <si>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</si>
  <si>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</si>
  <si>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</si>
  <si>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</si>
  <si>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</si>
  <si>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</si>
  <si>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</si>
  <si>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</si>
  <si>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</si>
  <si>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</si>
  <si>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</si>
  <si>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</si>
  <si>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</si>
  <si>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</si>
  <si>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</si>
  <si>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</si>
  <si>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</si>
  <si>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</si>
  <si>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</si>
  <si>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</si>
  <si>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</si>
  <si>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</si>
  <si>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</si>
  <si>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</si>
  <si>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</si>
  <si>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</si>
  <si>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</si>
  <si>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</si>
  <si>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</si>
  <si>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</si>
  <si>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</si>
  <si>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</si>
  <si>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</si>
  <si>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</si>
  <si>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</si>
  <si>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</si>
  <si>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</si>
  <si>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</si>
  <si>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</si>
  <si>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</si>
  <si>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</si>
  <si>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</si>
  <si>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</si>
  <si>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</si>
  <si>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</si>
  <si>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</si>
  <si>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</si>
  <si>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</si>
  <si>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</si>
  <si>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</si>
  <si>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</si>
  <si>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</si>
  <si>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</si>
  <si>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</si>
  <si>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</si>
  <si>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</si>
  <si>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</si>
  <si>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</si>
  <si>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</si>
  <si>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</si>
  <si>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</si>
  <si>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</si>
  <si>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</si>
  <si>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</si>
  <si>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</si>
  <si>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</si>
  <si>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</si>
  <si>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</si>
  <si>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</si>
  <si>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</si>
  <si>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</si>
  <si>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</si>
  <si>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</si>
  <si>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</si>
  <si>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</si>
  <si>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</si>
  <si>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</si>
  <si>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</si>
  <si>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</si>
  <si>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</si>
  <si>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</si>
  <si>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</si>
  <si>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</si>
  <si>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</si>
  <si>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</si>
  <si>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</si>
  <si>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</si>
  <si>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</si>
  <si>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</si>
  <si>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</si>
  <si>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</si>
  <si>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</si>
  <si>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</si>
  <si>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</si>
  <si>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</si>
  <si>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</si>
  <si>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</si>
  <si>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</si>
  <si>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</si>
  <si>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</si>
  <si>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</si>
  <si>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</si>
  <si>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</si>
  <si>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</si>
  <si>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</si>
  <si>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</si>
  <si>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</si>
  <si>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</si>
  <si>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</si>
  <si>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</si>
  <si>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</si>
  <si>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</si>
  <si>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</si>
  <si>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</si>
  <si>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</si>
  <si>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</si>
  <si>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</si>
  <si>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</si>
  <si>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</si>
  <si>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</si>
  <si>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</si>
  <si>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</si>
  <si>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</si>
  <si>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</si>
  <si>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</si>
  <si>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</si>
  <si>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</si>
  <si>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</si>
  <si>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</si>
  <si>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</si>
  <si>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</si>
  <si>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</si>
  <si>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</si>
  <si>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</si>
  <si>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</si>
  <si>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</si>
  <si>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</si>
  <si>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</si>
  <si>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</si>
  <si>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</si>
  <si>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</si>
  <si>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</si>
  <si>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</si>
  <si>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</si>
  <si>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</si>
  <si>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</si>
  <si>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</si>
  <si>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</si>
  <si>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</si>
  <si>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</si>
  <si>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</si>
  <si>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</si>
  <si>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</si>
  <si>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</si>
  <si>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</si>
  <si>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</si>
  <si>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</si>
  <si>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</si>
  <si>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</si>
  <si>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</si>
  <si>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</si>
  <si>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</si>
  <si>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</si>
  <si>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</si>
  <si>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</si>
  <si>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</si>
  <si>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</si>
  <si>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</si>
  <si>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</si>
  <si>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</si>
  <si>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</si>
  <si>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</si>
  <si>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</si>
  <si>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</si>
  <si>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</si>
  <si>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</si>
  <si>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</si>
  <si>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</si>
  <si>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</si>
  <si>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</si>
  <si>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</si>
  <si>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</si>
  <si>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</si>
  <si>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</si>
  <si>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</si>
  <si>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</si>
  <si>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</si>
  <si>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</si>
  <si>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</si>
  <si>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</si>
  <si>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</si>
  <si>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</si>
  <si>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</si>
  <si>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</si>
  <si>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</si>
  <si>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</si>
  <si>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</si>
  <si>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</si>
  <si>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</si>
  <si>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</si>
  <si>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</si>
  <si>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</si>
  <si>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</si>
  <si>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</si>
  <si>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</si>
  <si>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</si>
  <si>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</si>
  <si>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</si>
  <si>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</si>
  <si>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</si>
  <si>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</si>
  <si>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</si>
  <si>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</si>
  <si>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</si>
  <si>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</si>
  <si>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</si>
  <si>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</si>
  <si>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</si>
  <si>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</si>
  <si>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</si>
  <si>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</si>
  <si>
    <t>Tensão</t>
  </si>
  <si>
    <t>220V/1F; 220V/3F; 380V/3F; 440V/3F; 460V/3F; 480V/3F</t>
  </si>
  <si>
    <t>Damper Corta-Fogo</t>
  </si>
  <si>
    <t>?</t>
  </si>
  <si>
    <t>65 a 75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</si>
</sst>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0" formatCode="General\ &quot;l/s&quot;"/>
    <numFmt numFmtId="181" formatCode="General\ &quot;m²&quot;"/>
    <numFmt numFmtId="182" formatCode="General&quot;°&quot;"/>
    <numFmt numFmtId="183" formatCode="&quot;#&quot;General"/>
    <numFmt numFmtId="184" formatCode="General\ &quot;kg&quot;"/>
    <numFmt numFmtId="185" formatCode="General\ &quot;W&quot;"/>
    <numFmt numFmtId="186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4" fontId="4" fillId="5" borderId="20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4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85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86" fontId="0" fillId="0" borderId="0" xfId="0" applyNumberFormat="1"/>
    <xf numFmtId="186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0" fontId="0" fillId="0" borderId="0" xfId="0" applyNumberFormat="1" applyAlignment="1">
      <alignment horizontal="center" vertical="center"/>
    </xf>
    <xf numFmtId="186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86" fontId="0" fillId="3" borderId="0" xfId="0" applyNumberFormat="1" applyFill="1" applyAlignment="1">
      <alignment horizontal="center"/>
    </xf>
    <xf numFmtId="186" fontId="0" fillId="20" borderId="15" xfId="0" applyNumberFormat="1" applyFill="1" applyBorder="1" applyAlignment="1">
      <alignment horizontal="center"/>
    </xf>
    <xf numFmtId="181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1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85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2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0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86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85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 vertical="center"/>
    </xf>
    <xf numFmtId="185" fontId="3" fillId="17" borderId="29" xfId="0" applyNumberFormat="1" applyFont="1" applyFill="1" applyBorder="1" applyAlignment="1">
      <alignment horizontal="center"/>
    </xf>
    <xf numFmtId="185" fontId="3" fillId="17" borderId="20" xfId="0" applyNumberFormat="1" applyFont="1" applyFill="1" applyBorder="1" applyAlignment="1">
      <alignment horizontal="center"/>
    </xf>
    <xf numFmtId="185" fontId="3" fillId="17" borderId="14" xfId="0" applyNumberFormat="1" applyFont="1" applyFill="1" applyBorder="1" applyAlignment="1">
      <alignment horizontal="center"/>
    </xf>
    <xf numFmtId="185" fontId="3" fillId="17" borderId="23" xfId="0" applyNumberFormat="1" applyFont="1" applyFill="1" applyBorder="1" applyAlignment="1">
      <alignment horizontal="center"/>
    </xf>
    <xf numFmtId="185" fontId="3" fillId="17" borderId="24" xfId="0" applyNumberFormat="1" applyFont="1" applyFill="1" applyBorder="1" applyAlignment="1">
      <alignment horizontal="center"/>
    </xf>
    <xf numFmtId="186" fontId="3" fillId="4" borderId="15" xfId="0" applyNumberFormat="1" applyFont="1" applyFill="1" applyBorder="1" applyAlignment="1">
      <alignment horizontal="center"/>
    </xf>
    <xf numFmtId="185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85" fontId="3" fillId="0" borderId="15" xfId="0" applyNumberFormat="1" applyFont="1" applyBorder="1" applyAlignment="1">
      <alignment horizontal="center" vertical="center"/>
    </xf>
    <xf numFmtId="185" fontId="3" fillId="0" borderId="15" xfId="0" applyNumberFormat="1" applyFont="1" applyBorder="1" applyAlignment="1">
      <alignment horizontal="center"/>
    </xf>
    <xf numFmtId="185" fontId="3" fillId="4" borderId="15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46" fillId="0" borderId="29" xfId="7" applyNumberFormat="1" applyFont="1" applyBorder="1" applyAlignment="1">
      <alignment horizontal="left" vertical="center" wrapText="1" indent="1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15" xfId="7" applyNumberFormat="1" applyFont="1" applyFill="1" applyBorder="1" applyAlignment="1">
      <alignment horizontal="left" vertical="center" wrapTex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4" fontId="0" fillId="0" borderId="15" xfId="1" applyNumberFormat="1" applyFont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183" fontId="0" fillId="0" borderId="13" xfId="1" applyNumberFormat="1" applyFont="1" applyBorder="1" applyAlignment="1">
      <alignment horizontal="center" vertical="center"/>
    </xf>
    <xf numFmtId="183" fontId="0" fillId="0" borderId="15" xfId="1" applyNumberFormat="1" applyFont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4" fontId="12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>
      <alignment horizontal="center" vertical="center"/>
    </xf>
    <xf numFmtId="0" fontId="0" fillId="3" borderId="10" xfId="0" applyFill="1" applyBorder="1" applyAlignment="1" applyProtection="1">
      <alignment horizontal="center" vertical="center"/>
      <protection hidden="1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15" xfId="1" applyNumberFormat="1" applyFont="1" applyFill="1" applyBorder="1" applyAlignment="1">
      <alignment horizontal="center" vertical="center"/>
    </xf>
    <xf numFmtId="4" fontId="0" fillId="3" borderId="16" xfId="1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0" borderId="13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34" xfId="0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3" fillId="3" borderId="37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1" fillId="0" borderId="15" xfId="1" applyNumberFormat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2" fillId="0" borderId="15" xfId="0" applyFont="1" applyBorder="1" applyAlignment="1" applyProtection="1">
      <alignment horizontal="left" vertical="center" wrapText="1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12" fontId="0" fillId="0" borderId="15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3" fontId="2" fillId="0" borderId="0" xfId="1" applyNumberFormat="1" applyFont="1" applyBorder="1" applyAlignment="1">
      <alignment horizontal="center" vertical="center"/>
    </xf>
  </cellXfs>
  <cellStyles count="8">
    <cellStyle name="Comma" xfId="1" builtinId="3"/>
    <cellStyle name="Hy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ercent" xfId="4" builtinId="5"/>
    <cellStyle name="Separador de milhares_AG. TUPINAMBÁS - 2º PAVTO." xfId="5" xr:uid="{E1F2BAE5-98EC-4A19-8DCA-E06A1782CFCC}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5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127000</xdr:colOff>
      <xdr:row>1</xdr:row>
      <xdr:rowOff>16933</xdr:rowOff>
    </xdr:from>
    <xdr:to>
      <xdr:col>56</xdr:col>
      <xdr:colOff>27083</xdr:colOff>
      <xdr:row>14</xdr:row>
      <xdr:rowOff>32173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21" zoomScaleNormal="100" zoomScaleSheetLayoutView="100" workbookViewId="0">
      <selection activeCell="H104" sqref="H104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87" t="s">
        <v>1172</v>
      </c>
      <c r="B1" s="687"/>
      <c r="C1" s="316"/>
      <c r="D1" s="59"/>
      <c r="E1" s="59"/>
      <c r="F1" s="59"/>
    </row>
    <row r="2" spans="1:6" x14ac:dyDescent="0.3">
      <c r="A2" s="673" t="s">
        <v>96</v>
      </c>
      <c r="B2" s="674"/>
      <c r="C2" s="316"/>
      <c r="D2" s="59"/>
      <c r="E2" s="59"/>
      <c r="F2" s="59"/>
    </row>
    <row r="3" spans="1:6" x14ac:dyDescent="0.3">
      <c r="A3" s="606" t="s">
        <v>1072</v>
      </c>
      <c r="B3" s="609"/>
      <c r="C3" s="316"/>
      <c r="D3" s="59"/>
      <c r="E3" s="59"/>
      <c r="F3" s="59"/>
    </row>
    <row r="4" spans="1:6" x14ac:dyDescent="0.3">
      <c r="A4" s="607" t="s">
        <v>832</v>
      </c>
      <c r="B4" s="601"/>
      <c r="C4" s="672"/>
      <c r="D4" s="59"/>
      <c r="E4" s="59"/>
      <c r="F4" s="59"/>
    </row>
    <row r="5" spans="1:6" x14ac:dyDescent="0.3">
      <c r="A5" s="607" t="s">
        <v>1257</v>
      </c>
      <c r="B5" s="515"/>
      <c r="C5" s="29"/>
      <c r="D5" s="59"/>
      <c r="E5" s="59"/>
      <c r="F5" s="59"/>
    </row>
    <row r="6" spans="1:6" x14ac:dyDescent="0.3">
      <c r="A6" s="607"/>
      <c r="B6" s="515"/>
      <c r="C6" s="29"/>
      <c r="D6" s="59"/>
      <c r="E6" s="59"/>
      <c r="F6" s="59"/>
    </row>
    <row r="7" spans="1:6" x14ac:dyDescent="0.3">
      <c r="A7" s="607" t="s">
        <v>1173</v>
      </c>
      <c r="B7" s="602"/>
      <c r="C7" s="29"/>
      <c r="D7" s="59"/>
      <c r="E7" s="59"/>
      <c r="F7" s="59"/>
    </row>
    <row r="8" spans="1:6" x14ac:dyDescent="0.3">
      <c r="A8" s="607" t="s">
        <v>1174</v>
      </c>
      <c r="B8" s="602">
        <f>B7</f>
        <v>0</v>
      </c>
      <c r="C8" s="29"/>
      <c r="D8" s="59"/>
      <c r="E8" s="59"/>
      <c r="F8" s="59"/>
    </row>
    <row r="9" spans="1:6" x14ac:dyDescent="0.3">
      <c r="A9" s="607" t="s">
        <v>1175</v>
      </c>
      <c r="B9" s="602"/>
      <c r="C9" s="29"/>
      <c r="D9" s="59"/>
      <c r="E9" s="59"/>
      <c r="F9" s="59"/>
    </row>
    <row r="10" spans="1:6" x14ac:dyDescent="0.3">
      <c r="A10" s="607" t="s">
        <v>1176</v>
      </c>
      <c r="B10" s="602"/>
      <c r="C10" s="29"/>
      <c r="D10" s="59"/>
      <c r="E10" s="59"/>
      <c r="F10" s="59"/>
    </row>
    <row r="11" spans="1:6" x14ac:dyDescent="0.3">
      <c r="A11" s="607"/>
      <c r="B11" s="515"/>
      <c r="C11" s="29"/>
      <c r="D11" s="59"/>
      <c r="E11" s="59"/>
      <c r="F11" s="59"/>
    </row>
    <row r="12" spans="1:6" x14ac:dyDescent="0.3">
      <c r="A12" s="607" t="s">
        <v>1177</v>
      </c>
      <c r="B12" s="602"/>
      <c r="C12" s="29"/>
      <c r="D12" s="59"/>
      <c r="E12" s="59"/>
      <c r="F12" s="59"/>
    </row>
    <row r="13" spans="1:6" x14ac:dyDescent="0.3">
      <c r="A13" s="608"/>
      <c r="B13" s="515"/>
      <c r="C13" s="29"/>
      <c r="D13" s="59"/>
      <c r="E13" s="59"/>
      <c r="F13" s="59"/>
    </row>
    <row r="14" spans="1:6" x14ac:dyDescent="0.3">
      <c r="A14" s="607" t="s">
        <v>1189</v>
      </c>
      <c r="B14" s="602"/>
      <c r="C14" s="29"/>
      <c r="D14" s="59"/>
      <c r="E14" s="59"/>
      <c r="F14" s="59"/>
    </row>
    <row r="15" spans="1:6" x14ac:dyDescent="0.3">
      <c r="A15" s="607" t="s">
        <v>1190</v>
      </c>
      <c r="B15" s="602"/>
      <c r="C15" s="29"/>
      <c r="D15" s="59"/>
      <c r="E15" s="59"/>
      <c r="F15" s="59"/>
    </row>
    <row r="16" spans="1:6" x14ac:dyDescent="0.3">
      <c r="A16" s="607" t="s">
        <v>1191</v>
      </c>
      <c r="B16" s="602"/>
      <c r="C16" s="29"/>
      <c r="D16" s="59"/>
      <c r="E16" s="59"/>
      <c r="F16" s="59"/>
    </row>
    <row r="17" spans="1:6" x14ac:dyDescent="0.3">
      <c r="A17" s="607" t="s">
        <v>1191</v>
      </c>
      <c r="B17" s="602"/>
      <c r="C17" s="29"/>
      <c r="D17" s="59"/>
      <c r="E17" s="59"/>
      <c r="F17" s="59"/>
    </row>
    <row r="18" spans="1:6" x14ac:dyDescent="0.3">
      <c r="A18" s="608"/>
      <c r="B18" s="515"/>
      <c r="C18" s="29"/>
    </row>
    <row r="19" spans="1:6" x14ac:dyDescent="0.3">
      <c r="A19" s="607" t="s">
        <v>1070</v>
      </c>
      <c r="B19" s="603"/>
      <c r="C19" s="29"/>
    </row>
    <row r="20" spans="1:6" x14ac:dyDescent="0.3">
      <c r="A20" s="607"/>
      <c r="B20" s="515"/>
      <c r="C20" s="29"/>
    </row>
    <row r="21" spans="1:6" x14ac:dyDescent="0.3">
      <c r="A21" s="607" t="s">
        <v>1244</v>
      </c>
      <c r="B21" s="515"/>
      <c r="C21" s="29"/>
    </row>
    <row r="22" spans="1:6" x14ac:dyDescent="0.3">
      <c r="A22" s="607"/>
      <c r="B22" s="515"/>
      <c r="C22" s="29"/>
    </row>
    <row r="23" spans="1:6" x14ac:dyDescent="0.3">
      <c r="A23" s="607" t="s">
        <v>1245</v>
      </c>
      <c r="B23" s="640">
        <f>ROUNDUP(SUM(B39:B40)/3.6*1.25*1,0)</f>
        <v>0</v>
      </c>
      <c r="C23" s="29"/>
    </row>
    <row r="24" spans="1:6" x14ac:dyDescent="0.3">
      <c r="A24" s="607"/>
      <c r="B24" s="515"/>
      <c r="C24" s="29"/>
    </row>
    <row r="25" spans="1:6" x14ac:dyDescent="0.3">
      <c r="A25" s="607" t="s">
        <v>1098</v>
      </c>
      <c r="B25" s="515"/>
      <c r="C25" s="29"/>
    </row>
    <row r="26" spans="1:6" x14ac:dyDescent="0.3">
      <c r="A26" s="607" t="s">
        <v>1099</v>
      </c>
      <c r="B26" s="515"/>
      <c r="C26" s="29"/>
    </row>
    <row r="27" spans="1:6" x14ac:dyDescent="0.3">
      <c r="A27" s="607"/>
      <c r="B27" s="515"/>
      <c r="C27" s="29"/>
    </row>
    <row r="28" spans="1:6" x14ac:dyDescent="0.3">
      <c r="A28" s="607" t="s">
        <v>1178</v>
      </c>
      <c r="B28" s="604"/>
      <c r="C28" s="29"/>
    </row>
    <row r="29" spans="1:6" x14ac:dyDescent="0.3">
      <c r="A29" s="607" t="s">
        <v>1156</v>
      </c>
      <c r="B29" s="605"/>
      <c r="C29" s="29"/>
    </row>
    <row r="30" spans="1:6" x14ac:dyDescent="0.3">
      <c r="A30" s="607" t="s">
        <v>1071</v>
      </c>
      <c r="B30" s="515" t="s">
        <v>1344</v>
      </c>
      <c r="C30" s="29"/>
    </row>
    <row r="31" spans="1:6" hidden="1" x14ac:dyDescent="0.3">
      <c r="A31" s="60"/>
      <c r="B31" s="537"/>
      <c r="C31" s="29"/>
    </row>
    <row r="32" spans="1:6" hidden="1" x14ac:dyDescent="0.3">
      <c r="A32" s="18" t="s">
        <v>1246</v>
      </c>
      <c r="B32" s="3">
        <v>3.9609999999999999</v>
      </c>
      <c r="C32" s="29"/>
    </row>
    <row r="33" spans="1:3" hidden="1" x14ac:dyDescent="0.3">
      <c r="A33" s="18" t="s">
        <v>1247</v>
      </c>
      <c r="B33" s="3">
        <v>2.5459999999999998</v>
      </c>
      <c r="C33" s="29"/>
    </row>
    <row r="34" spans="1:3" hidden="1" x14ac:dyDescent="0.3">
      <c r="A34" s="18" t="s">
        <v>1248</v>
      </c>
      <c r="B34" s="3">
        <v>1.145</v>
      </c>
      <c r="C34" s="29"/>
    </row>
    <row r="35" spans="1:3" hidden="1" x14ac:dyDescent="0.3">
      <c r="A35" s="18" t="s">
        <v>1249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1259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1258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1260</v>
      </c>
      <c r="B39" s="588">
        <f>(0.827*B25*0.0402*(POWER(B28,0.5))*3600)</f>
        <v>0</v>
      </c>
      <c r="C39" s="29"/>
    </row>
    <row r="40" spans="1:3" hidden="1" x14ac:dyDescent="0.3">
      <c r="A40" t="s">
        <v>1261</v>
      </c>
      <c r="B40" s="588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1250</v>
      </c>
      <c r="C42" s="29"/>
    </row>
    <row r="43" spans="1:3" hidden="1" x14ac:dyDescent="0.3">
      <c r="A43" t="s">
        <v>1255</v>
      </c>
      <c r="C43" s="29"/>
    </row>
    <row r="44" spans="1:3" hidden="1" x14ac:dyDescent="0.3">
      <c r="A44" t="s">
        <v>1256</v>
      </c>
      <c r="C44" s="29"/>
    </row>
    <row r="45" spans="1:3" hidden="1" x14ac:dyDescent="0.3">
      <c r="A45" t="s">
        <v>1251</v>
      </c>
      <c r="C45" s="29"/>
    </row>
    <row r="46" spans="1:3" hidden="1" x14ac:dyDescent="0.3">
      <c r="A46" t="s">
        <v>1252</v>
      </c>
      <c r="C46" s="29"/>
    </row>
    <row r="47" spans="1:3" hidden="1" x14ac:dyDescent="0.3">
      <c r="A47" t="s">
        <v>1253</v>
      </c>
      <c r="C47" s="29"/>
    </row>
    <row r="48" spans="1:3" hidden="1" x14ac:dyDescent="0.3">
      <c r="A48" t="s">
        <v>1254</v>
      </c>
      <c r="C48" s="29"/>
    </row>
    <row r="49" spans="1:7" hidden="1" x14ac:dyDescent="0.3">
      <c r="C49" s="29"/>
    </row>
    <row r="50" spans="1:7" hidden="1" x14ac:dyDescent="0.3">
      <c r="A50" t="s">
        <v>1262</v>
      </c>
      <c r="C50" s="29"/>
    </row>
    <row r="51" spans="1:7" hidden="1" x14ac:dyDescent="0.3">
      <c r="A51" t="s">
        <v>1263</v>
      </c>
      <c r="C51" s="29"/>
    </row>
    <row r="52" spans="1:7" hidden="1" x14ac:dyDescent="0.3">
      <c r="A52" t="s">
        <v>1264</v>
      </c>
      <c r="C52" s="29"/>
    </row>
    <row r="53" spans="1:7" hidden="1" x14ac:dyDescent="0.3">
      <c r="C53" s="29"/>
    </row>
    <row r="54" spans="1:7" hidden="1" x14ac:dyDescent="0.3">
      <c r="A54" t="s">
        <v>1265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76" t="s">
        <v>1179</v>
      </c>
      <c r="B58" s="676"/>
      <c r="C58" s="676"/>
      <c r="D58" s="676"/>
      <c r="E58" s="676"/>
      <c r="F58" s="676"/>
    </row>
    <row r="59" spans="1:7" ht="32.4" customHeight="1" x14ac:dyDescent="0.3">
      <c r="A59" s="571"/>
      <c r="B59" s="572" t="s">
        <v>218</v>
      </c>
      <c r="C59" s="572" t="s">
        <v>1180</v>
      </c>
      <c r="D59" s="572" t="s">
        <v>1181</v>
      </c>
      <c r="E59" s="573" t="s">
        <v>1182</v>
      </c>
      <c r="F59" s="573" t="s">
        <v>1183</v>
      </c>
    </row>
    <row r="60" spans="1:7" x14ac:dyDescent="0.3">
      <c r="A60" s="18" t="s">
        <v>1184</v>
      </c>
      <c r="B60" s="18"/>
      <c r="C60" s="277">
        <f>B4</f>
        <v>0</v>
      </c>
      <c r="D60" s="38" t="str">
        <f>B38</f>
        <v>ERRO</v>
      </c>
      <c r="E60" s="38">
        <v>20</v>
      </c>
      <c r="F60" s="478" t="e">
        <f>C60*D60*E60</f>
        <v>#VALUE!</v>
      </c>
      <c r="G60" s="448"/>
    </row>
    <row r="61" spans="1:7" x14ac:dyDescent="0.3">
      <c r="A61" s="18" t="s">
        <v>1173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8" t="e">
        <f t="shared" ref="F61:F64" si="0">C61*D61*E61</f>
        <v>#VALUE!</v>
      </c>
    </row>
    <row r="62" spans="1:7" x14ac:dyDescent="0.3">
      <c r="A62" s="18" t="s">
        <v>1174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8" t="e">
        <f t="shared" si="0"/>
        <v>#VALUE!</v>
      </c>
    </row>
    <row r="63" spans="1:7" x14ac:dyDescent="0.3">
      <c r="A63" s="18" t="s">
        <v>1175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8" t="e">
        <f t="shared" si="0"/>
        <v>#VALUE!</v>
      </c>
    </row>
    <row r="64" spans="1:7" x14ac:dyDescent="0.3">
      <c r="A64" s="18" t="s">
        <v>1176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8" t="e">
        <f t="shared" si="0"/>
        <v>#VALUE!</v>
      </c>
    </row>
    <row r="65" spans="1:6" x14ac:dyDescent="0.3">
      <c r="A65" s="574" t="s">
        <v>1185</v>
      </c>
      <c r="B65" s="574"/>
      <c r="C65" s="677" t="e">
        <f>ROUNDUP(SUM(F60:F64),0)</f>
        <v>#VALUE!</v>
      </c>
      <c r="D65" s="677"/>
      <c r="E65" s="677"/>
      <c r="F65" s="677"/>
    </row>
    <row r="66" spans="1:6" x14ac:dyDescent="0.3">
      <c r="A66" s="574" t="s">
        <v>1186</v>
      </c>
      <c r="B66" s="574"/>
      <c r="C66" s="675"/>
      <c r="D66" s="675"/>
      <c r="E66" s="675"/>
      <c r="F66" s="675"/>
    </row>
    <row r="68" spans="1:6" x14ac:dyDescent="0.3">
      <c r="A68" s="676" t="s">
        <v>1187</v>
      </c>
      <c r="B68" s="676"/>
      <c r="C68" s="676"/>
      <c r="D68" s="676"/>
      <c r="E68" s="676"/>
      <c r="F68" s="676"/>
    </row>
    <row r="69" spans="1:6" x14ac:dyDescent="0.3">
      <c r="A69" s="571"/>
      <c r="B69" s="572" t="s">
        <v>218</v>
      </c>
      <c r="C69" s="574" t="s">
        <v>4</v>
      </c>
      <c r="D69" s="574" t="s">
        <v>126</v>
      </c>
      <c r="E69" s="575" t="s">
        <v>216</v>
      </c>
      <c r="F69" s="575" t="s">
        <v>1188</v>
      </c>
    </row>
    <row r="70" spans="1:6" x14ac:dyDescent="0.3">
      <c r="A70" s="18" t="s">
        <v>1189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8" t="e">
        <f t="shared" ref="F70:F73" si="3">C70*D70*E70</f>
        <v>#VALUE!</v>
      </c>
    </row>
    <row r="71" spans="1:6" x14ac:dyDescent="0.3">
      <c r="A71" s="18" t="s">
        <v>1190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8" t="e">
        <f t="shared" si="3"/>
        <v>#VALUE!</v>
      </c>
    </row>
    <row r="72" spans="1:6" x14ac:dyDescent="0.3">
      <c r="A72" s="18" t="s">
        <v>1191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8" t="e">
        <f t="shared" si="3"/>
        <v>#VALUE!</v>
      </c>
    </row>
    <row r="73" spans="1:6" x14ac:dyDescent="0.3">
      <c r="A73" s="18" t="s">
        <v>1191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8" t="e">
        <f t="shared" si="3"/>
        <v>#VALUE!</v>
      </c>
    </row>
    <row r="74" spans="1:6" x14ac:dyDescent="0.3">
      <c r="A74" s="574" t="s">
        <v>6</v>
      </c>
      <c r="B74" s="574"/>
      <c r="C74" s="677" t="e">
        <f>ROUNDUP(SUM(F70:F73),0)</f>
        <v>#VALUE!</v>
      </c>
      <c r="D74" s="677"/>
      <c r="E74" s="677"/>
      <c r="F74" s="677"/>
    </row>
    <row r="75" spans="1:6" x14ac:dyDescent="0.3">
      <c r="A75" s="574" t="s">
        <v>1186</v>
      </c>
      <c r="B75" s="569"/>
      <c r="C75" s="678"/>
      <c r="D75" s="679"/>
      <c r="E75" s="679"/>
      <c r="F75" s="680"/>
    </row>
    <row r="77" spans="1:6" x14ac:dyDescent="0.3">
      <c r="A77" s="676" t="s">
        <v>1192</v>
      </c>
      <c r="B77" s="676"/>
      <c r="C77" s="676"/>
      <c r="D77" s="676"/>
      <c r="E77" s="676"/>
      <c r="F77" s="676"/>
    </row>
    <row r="78" spans="1:6" ht="28.8" x14ac:dyDescent="0.3">
      <c r="A78" s="571"/>
      <c r="B78" s="571"/>
      <c r="C78" s="572" t="s">
        <v>1193</v>
      </c>
      <c r="D78" s="572" t="s">
        <v>1194</v>
      </c>
      <c r="E78" s="573" t="s">
        <v>1195</v>
      </c>
      <c r="F78" s="573" t="s">
        <v>1196</v>
      </c>
    </row>
    <row r="79" spans="1:6" x14ac:dyDescent="0.3">
      <c r="A79" s="18" t="s">
        <v>1197</v>
      </c>
      <c r="B79" s="18"/>
      <c r="C79" s="277">
        <f>B4</f>
        <v>0</v>
      </c>
      <c r="D79" s="38">
        <v>2.7</v>
      </c>
      <c r="E79" s="38">
        <v>7.5</v>
      </c>
      <c r="F79" s="478">
        <f>C79*D79*E79</f>
        <v>0</v>
      </c>
    </row>
    <row r="80" spans="1:6" x14ac:dyDescent="0.3">
      <c r="A80" s="574" t="s">
        <v>1198</v>
      </c>
      <c r="B80" s="574"/>
      <c r="C80" s="677">
        <f>ROUNDUP(F79,0)</f>
        <v>0</v>
      </c>
      <c r="D80" s="677"/>
      <c r="E80" s="677"/>
      <c r="F80" s="677"/>
    </row>
    <row r="81" spans="1:7" x14ac:dyDescent="0.3">
      <c r="A81" s="574" t="s">
        <v>1186</v>
      </c>
      <c r="B81" s="574"/>
      <c r="C81" s="675"/>
      <c r="D81" s="675"/>
      <c r="E81" s="675"/>
      <c r="F81" s="675"/>
    </row>
    <row r="83" spans="1:7" x14ac:dyDescent="0.3">
      <c r="A83" s="676" t="s">
        <v>1199</v>
      </c>
      <c r="B83" s="676"/>
      <c r="C83" s="676"/>
      <c r="D83" s="676"/>
      <c r="E83" s="676"/>
      <c r="F83" s="676"/>
    </row>
    <row r="84" spans="1:7" ht="28.8" x14ac:dyDescent="0.3">
      <c r="A84" s="574"/>
      <c r="B84" s="574"/>
      <c r="C84" s="572" t="s">
        <v>1180</v>
      </c>
      <c r="D84" s="574" t="s">
        <v>1200</v>
      </c>
      <c r="E84" s="574" t="s">
        <v>1201</v>
      </c>
      <c r="F84" s="572" t="s">
        <v>1196</v>
      </c>
    </row>
    <row r="85" spans="1:7" x14ac:dyDescent="0.3">
      <c r="A85" s="13" t="s">
        <v>1202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6" t="s">
        <v>6</v>
      </c>
      <c r="B86" s="574"/>
      <c r="C86" s="675">
        <f>ROUNDUP(F85,0)</f>
        <v>0</v>
      </c>
      <c r="D86" s="675"/>
      <c r="E86" s="675"/>
      <c r="F86" s="675"/>
    </row>
    <row r="88" spans="1:7" x14ac:dyDescent="0.3">
      <c r="A88" s="676" t="s">
        <v>1203</v>
      </c>
      <c r="B88" s="676"/>
      <c r="C88" s="676"/>
      <c r="D88" s="676"/>
      <c r="E88" s="676"/>
      <c r="F88" s="676"/>
    </row>
    <row r="89" spans="1:7" ht="28.8" x14ac:dyDescent="0.3">
      <c r="A89" s="577"/>
      <c r="B89" s="571"/>
      <c r="C89" s="574" t="s">
        <v>1204</v>
      </c>
      <c r="D89" s="572" t="s">
        <v>1205</v>
      </c>
      <c r="E89" s="574" t="s">
        <v>1201</v>
      </c>
      <c r="F89" s="572" t="s">
        <v>1206</v>
      </c>
    </row>
    <row r="90" spans="1:7" x14ac:dyDescent="0.3">
      <c r="A90" s="17" t="s">
        <v>1207</v>
      </c>
      <c r="B90" s="18"/>
      <c r="C90" s="13">
        <v>1</v>
      </c>
      <c r="D90" s="578">
        <f>B19</f>
        <v>0</v>
      </c>
      <c r="E90" s="13">
        <v>100</v>
      </c>
      <c r="F90" s="13">
        <f>C90*D90*E90/100</f>
        <v>0</v>
      </c>
    </row>
    <row r="91" spans="1:7" x14ac:dyDescent="0.3">
      <c r="A91" s="576" t="s">
        <v>6</v>
      </c>
      <c r="B91" s="574"/>
      <c r="C91" s="675">
        <f>ROUNDUP(F90,0)</f>
        <v>0</v>
      </c>
      <c r="D91" s="675"/>
      <c r="E91" s="675"/>
      <c r="F91" s="675"/>
    </row>
    <row r="93" spans="1:7" x14ac:dyDescent="0.3">
      <c r="A93" s="676" t="s">
        <v>1208</v>
      </c>
      <c r="B93" s="676"/>
      <c r="C93" s="676"/>
      <c r="D93" s="676"/>
      <c r="E93" s="676"/>
      <c r="F93" s="676"/>
      <c r="G93" s="676"/>
    </row>
    <row r="94" spans="1:7" x14ac:dyDescent="0.3">
      <c r="A94" s="13"/>
      <c r="B94" s="38"/>
      <c r="C94" s="574" t="s">
        <v>1209</v>
      </c>
      <c r="D94" s="574" t="s">
        <v>1210</v>
      </c>
      <c r="E94" s="574" t="s">
        <v>1211</v>
      </c>
      <c r="F94" s="574" t="s">
        <v>1201</v>
      </c>
      <c r="G94" s="574" t="s">
        <v>1188</v>
      </c>
    </row>
    <row r="95" spans="1:7" x14ac:dyDescent="0.3">
      <c r="A95" s="17" t="s">
        <v>1212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7"/>
      <c r="C96" s="678">
        <f>ROUNDUP(G95,0)</f>
        <v>0</v>
      </c>
      <c r="D96" s="679"/>
      <c r="E96" s="679"/>
      <c r="F96" s="679"/>
      <c r="G96" s="680"/>
    </row>
    <row r="98" spans="1:10" x14ac:dyDescent="0.3">
      <c r="A98" s="676" t="s">
        <v>1213</v>
      </c>
      <c r="B98" s="676"/>
      <c r="C98" s="676"/>
      <c r="D98" s="676"/>
      <c r="E98" s="676"/>
      <c r="F98" s="676"/>
      <c r="G98" s="676"/>
      <c r="H98" s="676"/>
      <c r="I98" s="676"/>
      <c r="J98" s="676"/>
    </row>
    <row r="99" spans="1:10" x14ac:dyDescent="0.3">
      <c r="A99" s="13"/>
      <c r="B99" s="38"/>
      <c r="C99" s="575" t="s">
        <v>304</v>
      </c>
      <c r="D99" s="575" t="s">
        <v>1214</v>
      </c>
      <c r="E99" s="575" t="s">
        <v>216</v>
      </c>
      <c r="F99" s="574" t="s">
        <v>1188</v>
      </c>
      <c r="G99" s="574" t="s">
        <v>109</v>
      </c>
      <c r="H99" s="574" t="s">
        <v>108</v>
      </c>
      <c r="I99" s="574" t="s">
        <v>297</v>
      </c>
      <c r="J99" s="574" t="s">
        <v>467</v>
      </c>
    </row>
    <row r="100" spans="1:10" x14ac:dyDescent="0.3">
      <c r="A100" s="17" t="s">
        <v>1215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6" t="s">
        <v>6</v>
      </c>
      <c r="B101" s="581"/>
      <c r="C101" s="681">
        <f>ROUNDUP(F100,0)</f>
        <v>0</v>
      </c>
      <c r="D101" s="682"/>
      <c r="E101" s="682"/>
      <c r="F101" s="682"/>
      <c r="G101" s="682"/>
      <c r="H101" s="682"/>
      <c r="I101" s="682"/>
      <c r="J101" s="682"/>
    </row>
    <row r="103" spans="1:10" x14ac:dyDescent="0.3">
      <c r="A103" s="676" t="s">
        <v>1216</v>
      </c>
      <c r="B103" s="676"/>
      <c r="C103" s="676"/>
      <c r="D103" s="676"/>
      <c r="E103" s="676"/>
      <c r="F103" s="676"/>
    </row>
    <row r="104" spans="1:10" ht="28.8" x14ac:dyDescent="0.3">
      <c r="A104" s="13"/>
      <c r="B104" s="38"/>
      <c r="C104" s="573" t="s">
        <v>1217</v>
      </c>
      <c r="D104" s="575" t="s">
        <v>461</v>
      </c>
      <c r="E104" s="573" t="s">
        <v>1218</v>
      </c>
      <c r="F104" s="572" t="s">
        <v>1196</v>
      </c>
    </row>
    <row r="105" spans="1:10" x14ac:dyDescent="0.3">
      <c r="A105" s="17" t="s">
        <v>1219</v>
      </c>
      <c r="B105" s="18"/>
      <c r="C105" s="13">
        <f>G100</f>
        <v>0</v>
      </c>
      <c r="D105" s="13">
        <v>3.01</v>
      </c>
      <c r="E105" s="13">
        <v>8.4700000000000006</v>
      </c>
      <c r="F105" s="579">
        <f>C105*D105*E105</f>
        <v>0</v>
      </c>
    </row>
    <row r="106" spans="1:10" x14ac:dyDescent="0.3">
      <c r="A106" s="576" t="s">
        <v>6</v>
      </c>
      <c r="B106" s="574"/>
      <c r="C106" s="675">
        <f>ROUNDUP(F105,0)</f>
        <v>0</v>
      </c>
      <c r="D106" s="675"/>
      <c r="E106" s="675"/>
      <c r="F106" s="675"/>
    </row>
    <row r="108" spans="1:10" x14ac:dyDescent="0.3">
      <c r="A108" s="13"/>
      <c r="B108" s="38"/>
      <c r="C108" s="574" t="s">
        <v>1209</v>
      </c>
      <c r="D108" s="574" t="s">
        <v>1210</v>
      </c>
      <c r="E108" s="574" t="s">
        <v>1211</v>
      </c>
      <c r="F108" s="574" t="s">
        <v>1201</v>
      </c>
      <c r="G108" s="574" t="s">
        <v>1188</v>
      </c>
    </row>
    <row r="109" spans="1:10" x14ac:dyDescent="0.3">
      <c r="A109" s="17" t="s">
        <v>1212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7"/>
      <c r="C110" s="678">
        <f>G109</f>
        <v>659.4</v>
      </c>
      <c r="D110" s="679"/>
      <c r="E110" s="679"/>
      <c r="F110" s="679"/>
      <c r="G110" s="680"/>
    </row>
    <row r="113" spans="1:8" x14ac:dyDescent="0.3">
      <c r="A113" s="691" t="s">
        <v>1220</v>
      </c>
      <c r="B113" s="691"/>
      <c r="C113" s="691"/>
      <c r="D113" s="691"/>
      <c r="E113" s="691"/>
      <c r="F113" s="691"/>
    </row>
    <row r="114" spans="1:8" x14ac:dyDescent="0.3">
      <c r="A114" s="574" t="s">
        <v>1221</v>
      </c>
      <c r="B114" s="574"/>
      <c r="C114" s="688" t="e">
        <f>C65</f>
        <v>#VALUE!</v>
      </c>
      <c r="D114" s="688"/>
      <c r="E114" s="688"/>
      <c r="F114" s="688"/>
    </row>
    <row r="115" spans="1:8" x14ac:dyDescent="0.3">
      <c r="A115" s="574" t="s">
        <v>1222</v>
      </c>
      <c r="B115" s="574"/>
      <c r="C115" s="688" t="e">
        <f>C74</f>
        <v>#VALUE!</v>
      </c>
      <c r="D115" s="688"/>
      <c r="E115" s="688"/>
      <c r="F115" s="688"/>
    </row>
    <row r="116" spans="1:8" x14ac:dyDescent="0.3">
      <c r="A116" s="574" t="s">
        <v>1198</v>
      </c>
      <c r="B116" s="574"/>
      <c r="C116" s="688">
        <f>C80</f>
        <v>0</v>
      </c>
      <c r="D116" s="688"/>
      <c r="E116" s="688"/>
      <c r="F116" s="688"/>
    </row>
    <row r="117" spans="1:8" x14ac:dyDescent="0.3">
      <c r="A117" s="576" t="s">
        <v>1223</v>
      </c>
      <c r="B117" s="574"/>
      <c r="C117" s="689">
        <f>C86</f>
        <v>0</v>
      </c>
      <c r="D117" s="689"/>
      <c r="E117" s="689"/>
      <c r="F117" s="689"/>
    </row>
    <row r="118" spans="1:8" x14ac:dyDescent="0.3">
      <c r="A118" s="576" t="s">
        <v>1224</v>
      </c>
      <c r="B118" s="574"/>
      <c r="C118" s="689">
        <f>C91</f>
        <v>0</v>
      </c>
      <c r="D118" s="689"/>
      <c r="E118" s="689"/>
      <c r="F118" s="689"/>
    </row>
    <row r="119" spans="1:8" x14ac:dyDescent="0.3">
      <c r="A119" s="576" t="s">
        <v>1225</v>
      </c>
      <c r="B119" s="574"/>
      <c r="C119" s="689">
        <f>C96</f>
        <v>0</v>
      </c>
      <c r="D119" s="689"/>
      <c r="E119" s="689"/>
      <c r="F119" s="689"/>
    </row>
    <row r="120" spans="1:8" x14ac:dyDescent="0.3">
      <c r="A120" s="576" t="s">
        <v>1226</v>
      </c>
      <c r="B120" s="574"/>
      <c r="C120" s="689">
        <f>SUM(C101,C106)</f>
        <v>0</v>
      </c>
      <c r="D120" s="689"/>
      <c r="E120" s="689"/>
      <c r="F120" s="689"/>
    </row>
    <row r="121" spans="1:8" x14ac:dyDescent="0.3">
      <c r="A121" s="19" t="s">
        <v>548</v>
      </c>
      <c r="B121" s="16"/>
      <c r="C121" s="690" t="e">
        <f>SUM(C114:F120)</f>
        <v>#VALUE!</v>
      </c>
      <c r="D121" s="690"/>
      <c r="E121" s="690"/>
      <c r="F121" s="690"/>
      <c r="H121" s="580"/>
    </row>
    <row r="122" spans="1:8" x14ac:dyDescent="0.3">
      <c r="A122" s="582" t="s">
        <v>1227</v>
      </c>
      <c r="B122" s="20"/>
      <c r="C122" s="684" t="e">
        <f>ROUNDUP(C121/3517,2)</f>
        <v>#VALUE!</v>
      </c>
      <c r="D122" s="685"/>
      <c r="E122" s="685"/>
      <c r="F122" s="686"/>
      <c r="H122" s="580"/>
    </row>
    <row r="123" spans="1:8" x14ac:dyDescent="0.3">
      <c r="A123" s="19" t="s">
        <v>1227</v>
      </c>
      <c r="B123" s="16"/>
      <c r="C123" s="683" t="e">
        <f>ROUNDUP(C121/3517,0)</f>
        <v>#VALUE!</v>
      </c>
      <c r="D123" s="683"/>
      <c r="E123" s="683"/>
      <c r="F123" s="683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1228</v>
      </c>
    </row>
    <row r="126" spans="1:8" x14ac:dyDescent="0.3">
      <c r="C126" t="s">
        <v>1229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1230</v>
      </c>
    </row>
    <row r="129" spans="1:12" x14ac:dyDescent="0.3">
      <c r="A129" t="s">
        <v>1231</v>
      </c>
      <c r="C129" t="s">
        <v>1232</v>
      </c>
      <c r="F129" t="s">
        <v>1233</v>
      </c>
      <c r="H129" t="s">
        <v>1234</v>
      </c>
      <c r="I129" t="s">
        <v>1235</v>
      </c>
      <c r="K129">
        <f>(1000/453.59)*4.5</f>
        <v>9.9208536343393803</v>
      </c>
    </row>
    <row r="130" spans="1:12" x14ac:dyDescent="0.3">
      <c r="A130" t="s">
        <v>1236</v>
      </c>
      <c r="C130" t="s">
        <v>1237</v>
      </c>
      <c r="F130" t="s">
        <v>1238</v>
      </c>
      <c r="H130" t="s">
        <v>1234</v>
      </c>
      <c r="I130" t="s">
        <v>1239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1240</v>
      </c>
    </row>
    <row r="132" spans="1:12" x14ac:dyDescent="0.3">
      <c r="A132" t="s">
        <v>1241</v>
      </c>
    </row>
    <row r="133" spans="1:12" x14ac:dyDescent="0.3">
      <c r="A133" t="s">
        <v>1242</v>
      </c>
    </row>
    <row r="134" spans="1:12" x14ac:dyDescent="0.3">
      <c r="A134" t="s">
        <v>1243</v>
      </c>
      <c r="C134">
        <f>456*3.01*8.47</f>
        <v>11625.583200000001</v>
      </c>
    </row>
  </sheetData>
  <mergeCells count="32"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  <mergeCell ref="C91:F91"/>
    <mergeCell ref="A93:G93"/>
    <mergeCell ref="C96:G96"/>
    <mergeCell ref="A98:J98"/>
    <mergeCell ref="C101:J101"/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741" t="s">
        <v>1143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3"/>
      <c r="N1" s="741" t="s">
        <v>1267</v>
      </c>
      <c r="O1" s="742"/>
      <c r="P1" s="742"/>
      <c r="Q1" s="742"/>
      <c r="R1" s="742"/>
      <c r="S1" s="742"/>
      <c r="T1" s="742"/>
      <c r="U1" s="742"/>
      <c r="V1" s="742"/>
      <c r="W1" s="742"/>
      <c r="X1" s="742"/>
      <c r="Y1" s="742"/>
      <c r="Z1" s="743"/>
      <c r="AA1" s="586"/>
      <c r="AB1" s="587"/>
      <c r="AC1" s="587"/>
    </row>
    <row r="2" spans="1:29" ht="15" customHeight="1" x14ac:dyDescent="0.3">
      <c r="A2" s="749"/>
      <c r="B2" s="750"/>
      <c r="C2" s="543" t="s">
        <v>878</v>
      </c>
      <c r="D2" s="697"/>
      <c r="E2" s="710"/>
      <c r="F2" s="710"/>
      <c r="G2" s="710"/>
      <c r="H2" s="748" t="s">
        <v>1144</v>
      </c>
      <c r="I2" s="746"/>
      <c r="J2" s="746"/>
      <c r="K2" s="746"/>
      <c r="L2" s="747"/>
    </row>
    <row r="3" spans="1:29" ht="15" customHeight="1" x14ac:dyDescent="0.3">
      <c r="A3" s="751"/>
      <c r="B3" s="752"/>
      <c r="C3" s="543" t="s">
        <v>879</v>
      </c>
      <c r="D3" s="697"/>
      <c r="E3" s="710"/>
      <c r="F3" s="710"/>
      <c r="G3" s="710"/>
      <c r="H3" s="748"/>
      <c r="I3" s="746"/>
      <c r="J3" s="746"/>
      <c r="K3" s="746"/>
      <c r="L3" s="747"/>
    </row>
    <row r="4" spans="1:29" ht="15" customHeight="1" x14ac:dyDescent="0.3">
      <c r="A4" s="751"/>
      <c r="B4" s="752"/>
      <c r="C4" s="543" t="s">
        <v>1145</v>
      </c>
      <c r="D4" s="697"/>
      <c r="E4" s="710"/>
      <c r="F4" s="710"/>
      <c r="G4" s="710"/>
      <c r="H4" s="748"/>
      <c r="I4" s="746"/>
      <c r="J4" s="746"/>
      <c r="K4" s="746"/>
      <c r="L4" s="747"/>
    </row>
    <row r="5" spans="1:29" ht="15" customHeight="1" x14ac:dyDescent="0.3">
      <c r="A5" s="751"/>
      <c r="B5" s="752"/>
      <c r="C5" s="543" t="s">
        <v>45</v>
      </c>
      <c r="D5" s="744">
        <f ca="1">TODAY()</f>
        <v>46064</v>
      </c>
      <c r="E5" s="745"/>
      <c r="F5" s="745"/>
      <c r="G5" s="745"/>
      <c r="H5" s="748"/>
      <c r="I5" s="746"/>
      <c r="J5" s="746"/>
      <c r="K5" s="746"/>
      <c r="L5" s="747"/>
    </row>
    <row r="6" spans="1:29" ht="7.5" customHeight="1" x14ac:dyDescent="0.3">
      <c r="A6" s="544"/>
      <c r="B6" s="545"/>
      <c r="C6" s="546"/>
      <c r="D6" s="546"/>
      <c r="E6" s="547"/>
      <c r="F6" s="547"/>
      <c r="G6" s="547"/>
      <c r="H6" s="547"/>
      <c r="I6" s="547"/>
      <c r="J6" s="547"/>
      <c r="K6" s="548"/>
      <c r="L6" s="549"/>
    </row>
    <row r="7" spans="1:29" ht="15" customHeight="1" x14ac:dyDescent="0.3">
      <c r="A7" s="550" t="s">
        <v>1146</v>
      </c>
      <c r="B7" s="697" t="s">
        <v>2</v>
      </c>
      <c r="C7" s="710"/>
      <c r="D7" s="710"/>
      <c r="E7" s="710"/>
      <c r="F7" s="710"/>
      <c r="G7" s="710"/>
      <c r="H7" s="711"/>
      <c r="I7" s="568"/>
      <c r="J7" s="551" t="s">
        <v>1147</v>
      </c>
      <c r="K7" s="551" t="s">
        <v>1148</v>
      </c>
      <c r="L7" s="552" t="s">
        <v>1149</v>
      </c>
    </row>
    <row r="8" spans="1:29" ht="15" customHeight="1" x14ac:dyDescent="0.3">
      <c r="A8" s="550" t="s">
        <v>136</v>
      </c>
      <c r="B8" s="738" t="s">
        <v>1150</v>
      </c>
      <c r="C8" s="739"/>
      <c r="D8" s="739"/>
      <c r="E8" s="739"/>
      <c r="F8" s="739"/>
      <c r="G8" s="739"/>
      <c r="H8" s="740"/>
      <c r="I8" s="566"/>
      <c r="J8" s="553" t="s">
        <v>1151</v>
      </c>
      <c r="K8" s="551" t="s">
        <v>7</v>
      </c>
      <c r="L8" s="554">
        <f ca="1">TODAY()</f>
        <v>46064</v>
      </c>
    </row>
    <row r="9" spans="1:29" ht="15" customHeight="1" x14ac:dyDescent="0.3">
      <c r="A9" s="610" t="s">
        <v>138</v>
      </c>
      <c r="B9" s="698"/>
      <c r="C9" s="699"/>
      <c r="D9" s="699"/>
      <c r="E9" s="699"/>
      <c r="F9" s="699"/>
      <c r="G9" s="699"/>
      <c r="H9" s="700"/>
      <c r="I9" s="570"/>
      <c r="J9" s="611"/>
      <c r="K9" s="612"/>
      <c r="L9" s="613"/>
    </row>
    <row r="10" spans="1:29" ht="15" customHeight="1" x14ac:dyDescent="0.3">
      <c r="A10" s="702" t="s">
        <v>1167</v>
      </c>
      <c r="B10" s="702"/>
      <c r="C10" s="616" t="s">
        <v>7</v>
      </c>
      <c r="D10" s="701" t="s">
        <v>1275</v>
      </c>
      <c r="E10" s="701"/>
      <c r="F10" s="701"/>
      <c r="G10" s="616" t="s">
        <v>1274</v>
      </c>
      <c r="H10" s="616" t="s">
        <v>857</v>
      </c>
      <c r="I10" s="616" t="s">
        <v>768</v>
      </c>
      <c r="J10" s="618" t="s">
        <v>39</v>
      </c>
      <c r="K10" s="618" t="s">
        <v>40</v>
      </c>
      <c r="L10" s="618" t="s">
        <v>119</v>
      </c>
    </row>
    <row r="11" spans="1:29" ht="15" customHeight="1" x14ac:dyDescent="0.3">
      <c r="A11" s="702"/>
      <c r="B11" s="702"/>
      <c r="C11" s="617" t="s">
        <v>1276</v>
      </c>
      <c r="D11" s="712" t="s">
        <v>730</v>
      </c>
      <c r="E11" s="712"/>
      <c r="F11" s="712"/>
      <c r="G11" s="621">
        <f>'AUX4 - Dados Ambientais (2)'!E12</f>
        <v>34</v>
      </c>
      <c r="H11" s="621">
        <f>'AUX4 - Dados Ambientais (2)'!H12</f>
        <v>26.1</v>
      </c>
      <c r="I11" s="621">
        <f>'AUX4 - Dados Ambientais (2)'!I12</f>
        <v>8.5</v>
      </c>
      <c r="J11" s="620">
        <f>'AUX4 - Dados Ambientais (2)'!J12</f>
        <v>0.03</v>
      </c>
      <c r="K11" s="620">
        <f>'AUX4 - Dados Ambientais (2)'!K12</f>
        <v>-51.5</v>
      </c>
      <c r="L11" s="619">
        <f>'AUX4 - Dados Ambientais (2)'!L12</f>
        <v>15</v>
      </c>
    </row>
    <row r="12" spans="1:29" x14ac:dyDescent="0.3">
      <c r="A12" s="703"/>
      <c r="B12" s="703"/>
      <c r="C12" s="617" t="s">
        <v>1266</v>
      </c>
      <c r="D12" s="704"/>
      <c r="E12" s="705"/>
      <c r="F12" s="706"/>
      <c r="G12" s="621"/>
      <c r="H12" s="621"/>
      <c r="I12" s="621"/>
      <c r="J12" s="620"/>
      <c r="K12" s="620"/>
      <c r="L12" s="619"/>
    </row>
    <row r="13" spans="1:29" ht="15" customHeight="1" x14ac:dyDescent="0.3">
      <c r="A13" s="708"/>
      <c r="B13" s="709"/>
      <c r="C13" s="614"/>
      <c r="D13" s="614"/>
      <c r="E13" s="614"/>
      <c r="F13" s="614"/>
      <c r="G13" s="614"/>
      <c r="H13" s="614"/>
      <c r="I13" s="614"/>
      <c r="J13" s="614"/>
      <c r="K13" s="614"/>
      <c r="L13" s="615"/>
    </row>
    <row r="14" spans="1:29" ht="15" customHeight="1" x14ac:dyDescent="0.3">
      <c r="A14" s="710"/>
      <c r="B14" s="711"/>
      <c r="C14" s="564"/>
      <c r="D14" s="564"/>
      <c r="E14" s="564"/>
      <c r="F14" s="564"/>
      <c r="G14" s="564"/>
      <c r="H14" s="564"/>
      <c r="I14" s="564"/>
      <c r="J14" s="564"/>
      <c r="K14" s="564"/>
      <c r="L14" s="565"/>
    </row>
    <row r="15" spans="1:29" ht="15" customHeight="1" x14ac:dyDescent="0.3">
      <c r="A15" s="583"/>
      <c r="B15" s="562"/>
      <c r="C15" s="564"/>
      <c r="D15" s="564"/>
      <c r="E15" s="564"/>
      <c r="F15" s="564"/>
      <c r="G15" s="564"/>
      <c r="H15" s="564"/>
      <c r="I15" s="564"/>
      <c r="J15" s="564"/>
      <c r="K15" s="564"/>
      <c r="L15" s="565"/>
    </row>
    <row r="16" spans="1:29" ht="15" customHeight="1" x14ac:dyDescent="0.3">
      <c r="A16" s="707" t="s">
        <v>1152</v>
      </c>
      <c r="B16" s="707"/>
      <c r="C16" s="176" t="s">
        <v>882</v>
      </c>
      <c r="D16" s="176" t="s">
        <v>4</v>
      </c>
      <c r="E16" s="176" t="s">
        <v>92</v>
      </c>
      <c r="F16" s="176" t="s">
        <v>1153</v>
      </c>
      <c r="G16" s="176" t="s">
        <v>1072</v>
      </c>
      <c r="H16" s="176" t="s">
        <v>1272</v>
      </c>
      <c r="I16" s="176" t="s">
        <v>1273</v>
      </c>
      <c r="J16" s="176" t="s">
        <v>1154</v>
      </c>
      <c r="K16" s="176" t="s">
        <v>1155</v>
      </c>
      <c r="L16" s="190" t="s">
        <v>1156</v>
      </c>
      <c r="N16" s="291" t="s">
        <v>1270</v>
      </c>
      <c r="O16" s="291" t="s">
        <v>1277</v>
      </c>
      <c r="P16" s="291" t="s">
        <v>1268</v>
      </c>
      <c r="Q16" s="291" t="s">
        <v>1269</v>
      </c>
      <c r="R16" s="291" t="s">
        <v>1271</v>
      </c>
      <c r="S16" s="291" t="s">
        <v>548</v>
      </c>
      <c r="T16" s="291" t="s">
        <v>1352</v>
      </c>
    </row>
    <row r="17" spans="1:22" ht="19.95" customHeight="1" x14ac:dyDescent="0.3">
      <c r="A17" s="692">
        <f>'AUX-CARGA ESTIMADA'!A2</f>
        <v>0</v>
      </c>
      <c r="B17" s="692"/>
      <c r="C17" s="555" t="s">
        <v>1157</v>
      </c>
      <c r="D17" s="594">
        <f>'AUX-CARGA ESTIMADA'!B2</f>
        <v>0</v>
      </c>
      <c r="E17" s="595">
        <f>'AUX-CARGA ESTIMADA'!C2</f>
        <v>0</v>
      </c>
      <c r="F17" s="596">
        <f>'AUX-CARGA ESTIMADA'!D2</f>
        <v>0</v>
      </c>
      <c r="G17" s="597">
        <f>'AUX-CARGA ESTIMADA'!E2</f>
        <v>0</v>
      </c>
      <c r="H17" s="598">
        <f>'AUX-CARGA ESTIMADA'!F2</f>
        <v>0</v>
      </c>
      <c r="I17" s="598">
        <f>'AUX-CARGA ESTIMADA'!G2</f>
        <v>0</v>
      </c>
      <c r="J17" s="555"/>
      <c r="K17" s="599">
        <f>'AUX-CARGA ESTIMADA'!I2</f>
        <v>0</v>
      </c>
      <c r="L17" s="556">
        <f>'AUX-CARGA ESTIMADA'!J2</f>
        <v>0</v>
      </c>
      <c r="N17" s="592">
        <f>'AUX-CARGA ESTIMADA'!L2</f>
        <v>0</v>
      </c>
      <c r="O17" s="622">
        <v>0.1</v>
      </c>
      <c r="P17" s="593">
        <v>10</v>
      </c>
      <c r="Q17" s="540">
        <f>ROUNDUP((N17*(O17+1))/P17,0)</f>
        <v>0</v>
      </c>
      <c r="R17" s="540">
        <f>Q17+1</f>
        <v>1</v>
      </c>
      <c r="S17" s="584">
        <f>Q17*P17</f>
        <v>0</v>
      </c>
      <c r="T17" s="646" t="e">
        <f>S17/N17-1</f>
        <v>#DIV/0!</v>
      </c>
      <c r="V17">
        <v>4</v>
      </c>
    </row>
    <row r="18" spans="1:22" ht="19.95" customHeight="1" x14ac:dyDescent="0.3">
      <c r="A18" s="692">
        <f>'AUX-CARGA ESTIMADA'!A3</f>
        <v>0</v>
      </c>
      <c r="B18" s="692"/>
      <c r="C18" s="555" t="s">
        <v>1157</v>
      </c>
      <c r="D18" s="594">
        <f>'AUX-CARGA ESTIMADA'!B3</f>
        <v>0</v>
      </c>
      <c r="E18" s="595">
        <f>'AUX-CARGA ESTIMADA'!C3</f>
        <v>0</v>
      </c>
      <c r="F18" s="596">
        <f>'AUX-CARGA ESTIMADA'!D3</f>
        <v>0</v>
      </c>
      <c r="G18" s="597">
        <f>'AUX-CARGA ESTIMADA'!E3</f>
        <v>0</v>
      </c>
      <c r="H18" s="598">
        <f>'AUX-CARGA ESTIMADA'!F3</f>
        <v>0</v>
      </c>
      <c r="I18" s="598">
        <f>'AUX-CARGA ESTIMADA'!G3</f>
        <v>0</v>
      </c>
      <c r="J18" s="555"/>
      <c r="K18" s="599">
        <f>'AUX-CARGA ESTIMADA'!I3</f>
        <v>0</v>
      </c>
      <c r="L18" s="556">
        <f>'AUX-CARGA ESTIMADA'!J3</f>
        <v>0</v>
      </c>
      <c r="N18" s="592">
        <f>'AUX-CARGA ESTIMADA'!L3</f>
        <v>0</v>
      </c>
      <c r="O18" s="622">
        <v>0.1</v>
      </c>
      <c r="P18" s="593">
        <v>5</v>
      </c>
      <c r="Q18" s="540">
        <f t="shared" ref="Q18:Q23" si="0">ROUNDUP((N18*(O18+1))/P18,0)</f>
        <v>0</v>
      </c>
      <c r="R18" s="540">
        <f t="shared" ref="R18:R23" si="1">Q18+1</f>
        <v>1</v>
      </c>
      <c r="S18" s="584">
        <f t="shared" ref="S18:S20" si="2">Q18*P18</f>
        <v>0</v>
      </c>
      <c r="T18" s="646" t="e">
        <f t="shared" ref="T18:T23" si="3">S18/N18-1</f>
        <v>#DIV/0!</v>
      </c>
      <c r="V18">
        <v>1</v>
      </c>
    </row>
    <row r="19" spans="1:22" ht="19.95" customHeight="1" x14ac:dyDescent="0.3">
      <c r="A19" s="692">
        <f>'AUX-CARGA ESTIMADA'!A4</f>
        <v>0</v>
      </c>
      <c r="B19" s="692"/>
      <c r="C19" s="555" t="s">
        <v>1157</v>
      </c>
      <c r="D19" s="594">
        <f>'AUX-CARGA ESTIMADA'!B4</f>
        <v>0</v>
      </c>
      <c r="E19" s="595">
        <f>'AUX-CARGA ESTIMADA'!C4</f>
        <v>0</v>
      </c>
      <c r="F19" s="596">
        <f>'AUX-CARGA ESTIMADA'!D4</f>
        <v>0</v>
      </c>
      <c r="G19" s="597">
        <f>'AUX-CARGA ESTIMADA'!E4</f>
        <v>0</v>
      </c>
      <c r="H19" s="598">
        <f>'AUX-CARGA ESTIMADA'!F4</f>
        <v>0</v>
      </c>
      <c r="I19" s="598">
        <f>'AUX-CARGA ESTIMADA'!G4</f>
        <v>0</v>
      </c>
      <c r="J19" s="555"/>
      <c r="K19" s="599">
        <f>'AUX-CARGA ESTIMADA'!I4</f>
        <v>0</v>
      </c>
      <c r="L19" s="556">
        <f>'AUX-CARGA ESTIMADA'!J4</f>
        <v>0</v>
      </c>
      <c r="N19" s="592">
        <f>'AUX-CARGA ESTIMADA'!L4</f>
        <v>0</v>
      </c>
      <c r="O19" s="622">
        <v>0.1</v>
      </c>
      <c r="P19" s="593">
        <v>7.5</v>
      </c>
      <c r="Q19" s="540">
        <f t="shared" si="0"/>
        <v>0</v>
      </c>
      <c r="R19" s="540">
        <f t="shared" si="1"/>
        <v>1</v>
      </c>
      <c r="S19" s="584">
        <f t="shared" si="2"/>
        <v>0</v>
      </c>
      <c r="T19" s="646" t="e">
        <f t="shared" si="3"/>
        <v>#DIV/0!</v>
      </c>
      <c r="V19">
        <v>2</v>
      </c>
    </row>
    <row r="20" spans="1:22" ht="19.95" customHeight="1" x14ac:dyDescent="0.3">
      <c r="A20" s="692">
        <f>'AUX-CARGA ESTIMADA'!A5</f>
        <v>0</v>
      </c>
      <c r="B20" s="692"/>
      <c r="C20" s="555" t="s">
        <v>1157</v>
      </c>
      <c r="D20" s="594">
        <f>'AUX-CARGA ESTIMADA'!B5</f>
        <v>0</v>
      </c>
      <c r="E20" s="595">
        <f>'AUX-CARGA ESTIMADA'!C5</f>
        <v>0</v>
      </c>
      <c r="F20" s="596">
        <f>'AUX-CARGA ESTIMADA'!D5</f>
        <v>0</v>
      </c>
      <c r="G20" s="597">
        <f>'AUX-CARGA ESTIMADA'!E5</f>
        <v>0</v>
      </c>
      <c r="H20" s="598">
        <f>'AUX-CARGA ESTIMADA'!F5</f>
        <v>0</v>
      </c>
      <c r="I20" s="598">
        <f>'AUX-CARGA ESTIMADA'!G5</f>
        <v>0</v>
      </c>
      <c r="J20" s="555"/>
      <c r="K20" s="599">
        <f>'AUX-CARGA ESTIMADA'!I5</f>
        <v>0</v>
      </c>
      <c r="L20" s="556">
        <f>'AUX-CARGA ESTIMADA'!J5</f>
        <v>0</v>
      </c>
      <c r="N20" s="592">
        <f>'AUX-CARGA ESTIMADA'!L5</f>
        <v>0</v>
      </c>
      <c r="O20" s="622">
        <v>0.1</v>
      </c>
      <c r="P20" s="593">
        <v>7.5</v>
      </c>
      <c r="Q20" s="540">
        <f t="shared" si="0"/>
        <v>0</v>
      </c>
      <c r="R20" s="540">
        <f t="shared" si="1"/>
        <v>1</v>
      </c>
      <c r="S20" s="584">
        <f t="shared" si="2"/>
        <v>0</v>
      </c>
      <c r="T20" s="646" t="e">
        <f t="shared" si="3"/>
        <v>#DIV/0!</v>
      </c>
      <c r="V20">
        <v>1</v>
      </c>
    </row>
    <row r="21" spans="1:22" ht="19.95" customHeight="1" x14ac:dyDescent="0.3">
      <c r="A21" s="692">
        <f>'AUX-CARGA ESTIMADA'!A6</f>
        <v>0</v>
      </c>
      <c r="B21" s="692"/>
      <c r="C21" s="555" t="s">
        <v>1157</v>
      </c>
      <c r="D21" s="594">
        <f>'AUX-CARGA ESTIMADA'!B6</f>
        <v>0</v>
      </c>
      <c r="E21" s="595">
        <f>'AUX-CARGA ESTIMADA'!C6</f>
        <v>0</v>
      </c>
      <c r="F21" s="596">
        <f>'AUX-CARGA ESTIMADA'!D6</f>
        <v>0</v>
      </c>
      <c r="G21" s="597">
        <f>'AUX-CARGA ESTIMADA'!E6</f>
        <v>0</v>
      </c>
      <c r="H21" s="598">
        <f>'AUX-CARGA ESTIMADA'!F6</f>
        <v>0</v>
      </c>
      <c r="I21" s="598">
        <f>'AUX-CARGA ESTIMADA'!G6</f>
        <v>0</v>
      </c>
      <c r="J21" s="555"/>
      <c r="K21" s="599">
        <f>'AUX-CARGA ESTIMADA'!I6</f>
        <v>0</v>
      </c>
      <c r="L21" s="556">
        <f>'AUX-CARGA ESTIMADA'!J6</f>
        <v>0</v>
      </c>
      <c r="N21" s="592">
        <f>'AUX-CARGA ESTIMADA'!L6</f>
        <v>0</v>
      </c>
      <c r="O21" s="622">
        <v>0.1</v>
      </c>
      <c r="P21" s="593">
        <v>7.5</v>
      </c>
      <c r="Q21" s="540">
        <f t="shared" si="0"/>
        <v>0</v>
      </c>
      <c r="R21" s="540">
        <f t="shared" si="1"/>
        <v>1</v>
      </c>
      <c r="S21" s="584">
        <f t="shared" ref="S21:S23" si="4">Q21*P21</f>
        <v>0</v>
      </c>
      <c r="T21" s="646" t="e">
        <f t="shared" si="3"/>
        <v>#DIV/0!</v>
      </c>
      <c r="V21">
        <v>6</v>
      </c>
    </row>
    <row r="22" spans="1:22" ht="19.95" customHeight="1" x14ac:dyDescent="0.3">
      <c r="A22" s="692">
        <f>'AUX-CARGA ESTIMADA'!A7</f>
        <v>0</v>
      </c>
      <c r="B22" s="692"/>
      <c r="C22" s="555" t="s">
        <v>1157</v>
      </c>
      <c r="D22" s="594">
        <f>'AUX-CARGA ESTIMADA'!B7</f>
        <v>0</v>
      </c>
      <c r="E22" s="595">
        <f>'AUX-CARGA ESTIMADA'!C7</f>
        <v>0</v>
      </c>
      <c r="F22" s="596">
        <f>'AUX-CARGA ESTIMADA'!D7</f>
        <v>0</v>
      </c>
      <c r="G22" s="597">
        <f>'AUX-CARGA ESTIMADA'!E7</f>
        <v>0</v>
      </c>
      <c r="H22" s="598">
        <f>'AUX-CARGA ESTIMADA'!F7</f>
        <v>0</v>
      </c>
      <c r="I22" s="598">
        <f>'AUX-CARGA ESTIMADA'!G7</f>
        <v>0</v>
      </c>
      <c r="J22" s="555"/>
      <c r="K22" s="599">
        <f>'AUX-CARGA ESTIMADA'!I7</f>
        <v>0</v>
      </c>
      <c r="L22" s="556">
        <f>'AUX-CARGA ESTIMADA'!J7</f>
        <v>0</v>
      </c>
      <c r="N22" s="592">
        <f>'AUX-CARGA ESTIMADA'!L7</f>
        <v>0</v>
      </c>
      <c r="O22" s="622">
        <v>0.1</v>
      </c>
      <c r="P22" s="593">
        <v>7.5</v>
      </c>
      <c r="Q22" s="540">
        <f t="shared" si="0"/>
        <v>0</v>
      </c>
      <c r="R22" s="540">
        <f t="shared" si="1"/>
        <v>1</v>
      </c>
      <c r="S22" s="584">
        <f t="shared" si="4"/>
        <v>0</v>
      </c>
      <c r="T22" s="646" t="e">
        <f t="shared" si="3"/>
        <v>#DIV/0!</v>
      </c>
      <c r="V22">
        <v>1</v>
      </c>
    </row>
    <row r="23" spans="1:22" ht="19.95" customHeight="1" x14ac:dyDescent="0.3">
      <c r="A23" s="692">
        <f>'AUX-CARGA ESTIMADA'!A8</f>
        <v>0</v>
      </c>
      <c r="B23" s="692"/>
      <c r="C23" s="555" t="s">
        <v>1157</v>
      </c>
      <c r="D23" s="594">
        <f>'AUX-CARGA ESTIMADA'!B8</f>
        <v>0</v>
      </c>
      <c r="E23" s="595">
        <f>'AUX-CARGA ESTIMADA'!C8</f>
        <v>0</v>
      </c>
      <c r="F23" s="596">
        <f>'AUX-CARGA ESTIMADA'!D8</f>
        <v>0</v>
      </c>
      <c r="G23" s="597">
        <f>'AUX-CARGA ESTIMADA'!E8</f>
        <v>0</v>
      </c>
      <c r="H23" s="598">
        <f>'AUX-CARGA ESTIMADA'!F8</f>
        <v>0</v>
      </c>
      <c r="I23" s="598">
        <f>'AUX-CARGA ESTIMADA'!G8</f>
        <v>0</v>
      </c>
      <c r="J23" s="555"/>
      <c r="K23" s="599">
        <f>'AUX-CARGA ESTIMADA'!I8</f>
        <v>0</v>
      </c>
      <c r="L23" s="556">
        <f>'AUX-CARGA ESTIMADA'!J8</f>
        <v>0</v>
      </c>
      <c r="N23" s="592">
        <f>'AUX-CARGA ESTIMADA'!L8</f>
        <v>0</v>
      </c>
      <c r="O23" s="622">
        <v>0.1</v>
      </c>
      <c r="P23" s="593">
        <v>7.5</v>
      </c>
      <c r="Q23" s="540">
        <f t="shared" si="0"/>
        <v>0</v>
      </c>
      <c r="R23" s="540">
        <f t="shared" si="1"/>
        <v>1</v>
      </c>
      <c r="S23" s="584">
        <f t="shared" si="4"/>
        <v>0</v>
      </c>
      <c r="T23" s="646" t="e">
        <f t="shared" si="3"/>
        <v>#DIV/0!</v>
      </c>
      <c r="V23">
        <v>5</v>
      </c>
    </row>
    <row r="24" spans="1:22" ht="19.95" customHeight="1" x14ac:dyDescent="0.3">
      <c r="A24" s="692">
        <f>'AUX-CARGA ESTIMADA'!A9</f>
        <v>0</v>
      </c>
      <c r="B24" s="692"/>
      <c r="C24" s="555" t="s">
        <v>1157</v>
      </c>
      <c r="D24" s="594">
        <f>'AUX-CARGA ESTIMADA'!B9</f>
        <v>0</v>
      </c>
      <c r="E24" s="595">
        <f>'AUX-CARGA ESTIMADA'!C9</f>
        <v>0</v>
      </c>
      <c r="F24" s="596">
        <f>'AUX-CARGA ESTIMADA'!D9</f>
        <v>0</v>
      </c>
      <c r="G24" s="597">
        <f>'AUX-CARGA ESTIMADA'!E9</f>
        <v>0</v>
      </c>
      <c r="H24" s="598">
        <f>'AUX-CARGA ESTIMADA'!F9</f>
        <v>0</v>
      </c>
      <c r="I24" s="598">
        <f>'AUX-CARGA ESTIMADA'!G9</f>
        <v>0</v>
      </c>
      <c r="J24" s="555"/>
      <c r="K24" s="599">
        <f>'AUX-CARGA ESTIMADA'!I9</f>
        <v>0</v>
      </c>
      <c r="L24" s="556">
        <f>'AUX-CARGA ESTIMADA'!J9</f>
        <v>0</v>
      </c>
      <c r="N24" s="592">
        <f>'AUX-CARGA ESTIMADA'!L9</f>
        <v>0</v>
      </c>
      <c r="O24" s="622">
        <v>0.1</v>
      </c>
      <c r="P24" s="593">
        <v>7.5</v>
      </c>
      <c r="Q24" s="540">
        <f t="shared" ref="Q24:Q36" si="5">ROUNDUP((N24*(O24+1))/P24,0)</f>
        <v>0</v>
      </c>
      <c r="R24" s="540">
        <f t="shared" ref="R24:R36" si="6">Q24+1</f>
        <v>1</v>
      </c>
      <c r="S24" s="584">
        <f t="shared" ref="S24:S36" si="7">Q24*P24</f>
        <v>0</v>
      </c>
      <c r="T24" s="646" t="e">
        <f t="shared" ref="T24:T36" si="8">S24/N24-1</f>
        <v>#DIV/0!</v>
      </c>
      <c r="V24">
        <v>1</v>
      </c>
    </row>
    <row r="25" spans="1:22" ht="19.95" customHeight="1" x14ac:dyDescent="0.3">
      <c r="A25" s="692">
        <f>'AUX-CARGA ESTIMADA'!A10</f>
        <v>0</v>
      </c>
      <c r="B25" s="692"/>
      <c r="C25" s="555" t="s">
        <v>1157</v>
      </c>
      <c r="D25" s="594">
        <f>'AUX-CARGA ESTIMADA'!B10</f>
        <v>0</v>
      </c>
      <c r="E25" s="595">
        <f>'AUX-CARGA ESTIMADA'!C10</f>
        <v>0</v>
      </c>
      <c r="F25" s="596">
        <f>'AUX-CARGA ESTIMADA'!D10</f>
        <v>0</v>
      </c>
      <c r="G25" s="597">
        <f>'AUX-CARGA ESTIMADA'!E10</f>
        <v>0</v>
      </c>
      <c r="H25" s="598">
        <f>'AUX-CARGA ESTIMADA'!F10</f>
        <v>0</v>
      </c>
      <c r="I25" s="598">
        <f>'AUX-CARGA ESTIMADA'!G10</f>
        <v>0</v>
      </c>
      <c r="J25" s="555"/>
      <c r="K25" s="599">
        <f>'AUX-CARGA ESTIMADA'!I10</f>
        <v>0</v>
      </c>
      <c r="L25" s="556">
        <f>'AUX-CARGA ESTIMADA'!J10</f>
        <v>0</v>
      </c>
      <c r="N25" s="592">
        <f>'AUX-CARGA ESTIMADA'!L10</f>
        <v>0</v>
      </c>
      <c r="O25" s="622">
        <v>0.1</v>
      </c>
      <c r="P25" s="593">
        <v>7.5</v>
      </c>
      <c r="Q25" s="540">
        <f t="shared" si="5"/>
        <v>0</v>
      </c>
      <c r="R25" s="540">
        <f t="shared" si="6"/>
        <v>1</v>
      </c>
      <c r="S25" s="584">
        <f t="shared" si="7"/>
        <v>0</v>
      </c>
      <c r="T25" s="646" t="e">
        <f t="shared" si="8"/>
        <v>#DIV/0!</v>
      </c>
      <c r="V25">
        <v>3</v>
      </c>
    </row>
    <row r="26" spans="1:22" ht="19.95" customHeight="1" x14ac:dyDescent="0.3">
      <c r="A26" s="692">
        <f>'AUX-CARGA ESTIMADA'!A11</f>
        <v>0</v>
      </c>
      <c r="B26" s="692"/>
      <c r="C26" s="555" t="s">
        <v>1157</v>
      </c>
      <c r="D26" s="594">
        <f>'AUX-CARGA ESTIMADA'!B11</f>
        <v>0</v>
      </c>
      <c r="E26" s="595">
        <f>'AUX-CARGA ESTIMADA'!C11</f>
        <v>0</v>
      </c>
      <c r="F26" s="596">
        <f>'AUX-CARGA ESTIMADA'!D11</f>
        <v>0</v>
      </c>
      <c r="G26" s="597">
        <f>'AUX-CARGA ESTIMADA'!E11</f>
        <v>0</v>
      </c>
      <c r="H26" s="598">
        <f>'AUX-CARGA ESTIMADA'!F11</f>
        <v>0</v>
      </c>
      <c r="I26" s="598">
        <f>'AUX-CARGA ESTIMADA'!G11</f>
        <v>0</v>
      </c>
      <c r="J26" s="555"/>
      <c r="K26" s="599">
        <f>'AUX-CARGA ESTIMADA'!I11</f>
        <v>0</v>
      </c>
      <c r="L26" s="556">
        <f>'AUX-CARGA ESTIMADA'!J11</f>
        <v>0</v>
      </c>
      <c r="N26" s="592">
        <f>'AUX-CARGA ESTIMADA'!L11</f>
        <v>0</v>
      </c>
      <c r="O26" s="622">
        <v>0.1</v>
      </c>
      <c r="P26" s="593">
        <v>7.5</v>
      </c>
      <c r="Q26" s="540">
        <f t="shared" si="5"/>
        <v>0</v>
      </c>
      <c r="R26" s="540">
        <f t="shared" si="6"/>
        <v>1</v>
      </c>
      <c r="S26" s="584">
        <f t="shared" si="7"/>
        <v>0</v>
      </c>
      <c r="T26" s="646" t="e">
        <f t="shared" si="8"/>
        <v>#DIV/0!</v>
      </c>
      <c r="V26">
        <v>1</v>
      </c>
    </row>
    <row r="27" spans="1:22" ht="19.95" customHeight="1" x14ac:dyDescent="0.3">
      <c r="A27" s="692">
        <f>'AUX-CARGA ESTIMADA'!A12</f>
        <v>0</v>
      </c>
      <c r="B27" s="692"/>
      <c r="C27" s="555" t="s">
        <v>1157</v>
      </c>
      <c r="D27" s="594">
        <f>'AUX-CARGA ESTIMADA'!B12</f>
        <v>0</v>
      </c>
      <c r="E27" s="595">
        <f>'AUX-CARGA ESTIMADA'!C12</f>
        <v>0</v>
      </c>
      <c r="F27" s="596">
        <f>'AUX-CARGA ESTIMADA'!D12</f>
        <v>0</v>
      </c>
      <c r="G27" s="597">
        <f>'AUX-CARGA ESTIMADA'!E12</f>
        <v>0</v>
      </c>
      <c r="H27" s="598">
        <f>'AUX-CARGA ESTIMADA'!F12</f>
        <v>0</v>
      </c>
      <c r="I27" s="598">
        <f>'AUX-CARGA ESTIMADA'!G12</f>
        <v>0</v>
      </c>
      <c r="J27" s="555"/>
      <c r="K27" s="599">
        <f>'AUX-CARGA ESTIMADA'!I12</f>
        <v>0</v>
      </c>
      <c r="L27" s="556">
        <f>'AUX-CARGA ESTIMADA'!J12</f>
        <v>0</v>
      </c>
      <c r="N27" s="592">
        <f>'AUX-CARGA ESTIMADA'!L12</f>
        <v>0</v>
      </c>
      <c r="O27" s="622">
        <v>0.1</v>
      </c>
      <c r="P27" s="593">
        <v>7.5</v>
      </c>
      <c r="Q27" s="540">
        <f t="shared" si="5"/>
        <v>0</v>
      </c>
      <c r="R27" s="540">
        <f t="shared" si="6"/>
        <v>1</v>
      </c>
      <c r="S27" s="584">
        <f t="shared" si="7"/>
        <v>0</v>
      </c>
      <c r="T27" s="646" t="e">
        <f t="shared" si="8"/>
        <v>#DIV/0!</v>
      </c>
      <c r="V27">
        <v>3</v>
      </c>
    </row>
    <row r="28" spans="1:22" ht="19.95" customHeight="1" x14ac:dyDescent="0.3">
      <c r="A28" s="692">
        <f>'AUX-CARGA ESTIMADA'!A13</f>
        <v>0</v>
      </c>
      <c r="B28" s="692"/>
      <c r="C28" s="555" t="s">
        <v>1157</v>
      </c>
      <c r="D28" s="594">
        <f>'AUX-CARGA ESTIMADA'!B13</f>
        <v>0</v>
      </c>
      <c r="E28" s="595">
        <f>'AUX-CARGA ESTIMADA'!C13</f>
        <v>0</v>
      </c>
      <c r="F28" s="596">
        <f>'AUX-CARGA ESTIMADA'!D13</f>
        <v>0</v>
      </c>
      <c r="G28" s="597">
        <f>'AUX-CARGA ESTIMADA'!E13</f>
        <v>0</v>
      </c>
      <c r="H28" s="598">
        <f>'AUX-CARGA ESTIMADA'!F13</f>
        <v>0</v>
      </c>
      <c r="I28" s="598">
        <f>'AUX-CARGA ESTIMADA'!G13</f>
        <v>0</v>
      </c>
      <c r="J28" s="555"/>
      <c r="K28" s="599">
        <f>'AUX-CARGA ESTIMADA'!I13</f>
        <v>0</v>
      </c>
      <c r="L28" s="556">
        <f>'AUX-CARGA ESTIMADA'!J13</f>
        <v>0</v>
      </c>
      <c r="N28" s="592">
        <f>'AUX-CARGA ESTIMADA'!L13</f>
        <v>0</v>
      </c>
      <c r="O28" s="622">
        <v>0.1</v>
      </c>
      <c r="P28" s="593">
        <v>7.5</v>
      </c>
      <c r="Q28" s="540">
        <f t="shared" si="5"/>
        <v>0</v>
      </c>
      <c r="R28" s="540">
        <f t="shared" si="6"/>
        <v>1</v>
      </c>
      <c r="S28" s="584">
        <f t="shared" si="7"/>
        <v>0</v>
      </c>
      <c r="T28" s="646" t="e">
        <f t="shared" si="8"/>
        <v>#DIV/0!</v>
      </c>
      <c r="V28">
        <v>1</v>
      </c>
    </row>
    <row r="29" spans="1:22" ht="19.95" customHeight="1" x14ac:dyDescent="0.3">
      <c r="A29" s="692">
        <f>'AUX-CARGA ESTIMADA'!A14</f>
        <v>0</v>
      </c>
      <c r="B29" s="692"/>
      <c r="C29" s="555" t="s">
        <v>1157</v>
      </c>
      <c r="D29" s="594">
        <f>'AUX-CARGA ESTIMADA'!B14</f>
        <v>0</v>
      </c>
      <c r="E29" s="595">
        <f>'AUX-CARGA ESTIMADA'!C14</f>
        <v>0</v>
      </c>
      <c r="F29" s="596">
        <f>'AUX-CARGA ESTIMADA'!D14</f>
        <v>0</v>
      </c>
      <c r="G29" s="597">
        <f>'AUX-CARGA ESTIMADA'!E14</f>
        <v>0</v>
      </c>
      <c r="H29" s="598">
        <f>'AUX-CARGA ESTIMADA'!F14</f>
        <v>0</v>
      </c>
      <c r="I29" s="598">
        <f>'AUX-CARGA ESTIMADA'!G14</f>
        <v>0</v>
      </c>
      <c r="J29" s="555"/>
      <c r="K29" s="599">
        <f>'AUX-CARGA ESTIMADA'!I14</f>
        <v>0</v>
      </c>
      <c r="L29" s="556">
        <f>'AUX-CARGA ESTIMADA'!J14</f>
        <v>0</v>
      </c>
      <c r="N29" s="592">
        <f>'AUX-CARGA ESTIMADA'!L14</f>
        <v>0</v>
      </c>
      <c r="O29" s="622">
        <v>0.1</v>
      </c>
      <c r="P29" s="593">
        <v>7.5</v>
      </c>
      <c r="Q29" s="540">
        <f t="shared" si="5"/>
        <v>0</v>
      </c>
      <c r="R29" s="540">
        <f t="shared" si="6"/>
        <v>1</v>
      </c>
      <c r="S29" s="584">
        <f t="shared" si="7"/>
        <v>0</v>
      </c>
      <c r="T29" s="646" t="e">
        <f t="shared" si="8"/>
        <v>#DIV/0!</v>
      </c>
      <c r="V29">
        <v>3</v>
      </c>
    </row>
    <row r="30" spans="1:22" ht="19.95" customHeight="1" x14ac:dyDescent="0.3">
      <c r="A30" s="692">
        <f>'AUX-CARGA ESTIMADA'!A15</f>
        <v>0</v>
      </c>
      <c r="B30" s="692"/>
      <c r="C30" s="555" t="s">
        <v>1157</v>
      </c>
      <c r="D30" s="594">
        <f>'AUX-CARGA ESTIMADA'!B15</f>
        <v>0</v>
      </c>
      <c r="E30" s="595">
        <f>'AUX-CARGA ESTIMADA'!C15</f>
        <v>0</v>
      </c>
      <c r="F30" s="596">
        <f>'AUX-CARGA ESTIMADA'!D15</f>
        <v>0</v>
      </c>
      <c r="G30" s="597">
        <f>'AUX-CARGA ESTIMADA'!E15</f>
        <v>0</v>
      </c>
      <c r="H30" s="598">
        <f>'AUX-CARGA ESTIMADA'!F15</f>
        <v>0</v>
      </c>
      <c r="I30" s="598">
        <f>'AUX-CARGA ESTIMADA'!G15</f>
        <v>0</v>
      </c>
      <c r="J30" s="555"/>
      <c r="K30" s="599">
        <f>'AUX-CARGA ESTIMADA'!I15</f>
        <v>0</v>
      </c>
      <c r="L30" s="556">
        <f>'AUX-CARGA ESTIMADA'!J15</f>
        <v>0</v>
      </c>
      <c r="N30" s="592">
        <f>'AUX-CARGA ESTIMADA'!L15</f>
        <v>0</v>
      </c>
      <c r="O30" s="622">
        <v>0.1</v>
      </c>
      <c r="P30" s="593">
        <v>7.5</v>
      </c>
      <c r="Q30" s="540">
        <f t="shared" si="5"/>
        <v>0</v>
      </c>
      <c r="R30" s="540">
        <f t="shared" si="6"/>
        <v>1</v>
      </c>
      <c r="S30" s="584">
        <f t="shared" si="7"/>
        <v>0</v>
      </c>
      <c r="T30" s="646" t="e">
        <f t="shared" si="8"/>
        <v>#DIV/0!</v>
      </c>
      <c r="V30">
        <v>1</v>
      </c>
    </row>
    <row r="31" spans="1:22" ht="19.95" customHeight="1" x14ac:dyDescent="0.3">
      <c r="A31" s="692">
        <f>'AUX-CARGA ESTIMADA'!A16</f>
        <v>0</v>
      </c>
      <c r="B31" s="692"/>
      <c r="C31" s="555" t="s">
        <v>1157</v>
      </c>
      <c r="D31" s="594">
        <f>'AUX-CARGA ESTIMADA'!B16</f>
        <v>0</v>
      </c>
      <c r="E31" s="595">
        <f>'AUX-CARGA ESTIMADA'!C16</f>
        <v>0</v>
      </c>
      <c r="F31" s="596">
        <f>'AUX-CARGA ESTIMADA'!D16</f>
        <v>0</v>
      </c>
      <c r="G31" s="597">
        <f>'AUX-CARGA ESTIMADA'!E16</f>
        <v>0</v>
      </c>
      <c r="H31" s="598">
        <f>'AUX-CARGA ESTIMADA'!F16</f>
        <v>0</v>
      </c>
      <c r="I31" s="598">
        <f>'AUX-CARGA ESTIMADA'!G16</f>
        <v>0</v>
      </c>
      <c r="J31" s="555"/>
      <c r="K31" s="599">
        <f>'AUX-CARGA ESTIMADA'!I16</f>
        <v>0</v>
      </c>
      <c r="L31" s="556">
        <f>'AUX-CARGA ESTIMADA'!J16</f>
        <v>0</v>
      </c>
      <c r="N31" s="592">
        <f>'AUX-CARGA ESTIMADA'!L16</f>
        <v>0</v>
      </c>
      <c r="O31" s="622">
        <v>0.1</v>
      </c>
      <c r="P31" s="593">
        <v>7.5</v>
      </c>
      <c r="Q31" s="540">
        <f t="shared" si="5"/>
        <v>0</v>
      </c>
      <c r="R31" s="540">
        <f t="shared" si="6"/>
        <v>1</v>
      </c>
      <c r="S31" s="584">
        <f t="shared" si="7"/>
        <v>0</v>
      </c>
      <c r="T31" s="646" t="e">
        <f t="shared" si="8"/>
        <v>#DIV/0!</v>
      </c>
      <c r="V31">
        <v>9</v>
      </c>
    </row>
    <row r="32" spans="1:22" ht="19.95" customHeight="1" x14ac:dyDescent="0.3">
      <c r="A32" s="692">
        <f>'AUX-CARGA ESTIMADA'!A17</f>
        <v>0</v>
      </c>
      <c r="B32" s="692"/>
      <c r="C32" s="555" t="s">
        <v>1157</v>
      </c>
      <c r="D32" s="594">
        <f>'AUX-CARGA ESTIMADA'!B17</f>
        <v>0</v>
      </c>
      <c r="E32" s="595">
        <f>'AUX-CARGA ESTIMADA'!C17</f>
        <v>0</v>
      </c>
      <c r="F32" s="596">
        <f>'AUX-CARGA ESTIMADA'!D17</f>
        <v>0</v>
      </c>
      <c r="G32" s="597">
        <f>'AUX-CARGA ESTIMADA'!E17</f>
        <v>0</v>
      </c>
      <c r="H32" s="598">
        <f>'AUX-CARGA ESTIMADA'!F17</f>
        <v>0</v>
      </c>
      <c r="I32" s="598">
        <f>'AUX-CARGA ESTIMADA'!G17</f>
        <v>0</v>
      </c>
      <c r="J32" s="555"/>
      <c r="K32" s="599">
        <f>'AUX-CARGA ESTIMADA'!I17</f>
        <v>0</v>
      </c>
      <c r="L32" s="556">
        <f>'AUX-CARGA ESTIMADA'!J17</f>
        <v>0</v>
      </c>
      <c r="N32" s="592">
        <f>'AUX-CARGA ESTIMADA'!L17</f>
        <v>0</v>
      </c>
      <c r="O32" s="622">
        <v>0.1</v>
      </c>
      <c r="P32" s="593">
        <v>7.5</v>
      </c>
      <c r="Q32" s="540">
        <f t="shared" si="5"/>
        <v>0</v>
      </c>
      <c r="R32" s="540">
        <f t="shared" si="6"/>
        <v>1</v>
      </c>
      <c r="S32" s="584">
        <f t="shared" si="7"/>
        <v>0</v>
      </c>
      <c r="T32" s="646" t="e">
        <f t="shared" si="8"/>
        <v>#DIV/0!</v>
      </c>
      <c r="V32">
        <v>1</v>
      </c>
    </row>
    <row r="33" spans="1:22" ht="19.95" customHeight="1" x14ac:dyDescent="0.3">
      <c r="A33" s="692">
        <f>'AUX-CARGA ESTIMADA'!A18</f>
        <v>0</v>
      </c>
      <c r="B33" s="692"/>
      <c r="C33" s="555" t="s">
        <v>1157</v>
      </c>
      <c r="D33" s="594">
        <f>'AUX-CARGA ESTIMADA'!B18</f>
        <v>0</v>
      </c>
      <c r="E33" s="595">
        <f>'AUX-CARGA ESTIMADA'!C18</f>
        <v>0</v>
      </c>
      <c r="F33" s="596">
        <f>'AUX-CARGA ESTIMADA'!D18</f>
        <v>0</v>
      </c>
      <c r="G33" s="597">
        <f>'AUX-CARGA ESTIMADA'!E18</f>
        <v>0</v>
      </c>
      <c r="H33" s="598">
        <f>'AUX-CARGA ESTIMADA'!F18</f>
        <v>0</v>
      </c>
      <c r="I33" s="598">
        <f>'AUX-CARGA ESTIMADA'!G18</f>
        <v>0</v>
      </c>
      <c r="J33" s="555"/>
      <c r="K33" s="599">
        <f>'AUX-CARGA ESTIMADA'!I18</f>
        <v>0</v>
      </c>
      <c r="L33" s="556">
        <f>'AUX-CARGA ESTIMADA'!J18</f>
        <v>0</v>
      </c>
      <c r="N33" s="592">
        <f>'AUX-CARGA ESTIMADA'!L18</f>
        <v>0</v>
      </c>
      <c r="O33" s="622">
        <v>0.1</v>
      </c>
      <c r="P33" s="593">
        <v>7.5</v>
      </c>
      <c r="Q33" s="540">
        <f t="shared" si="5"/>
        <v>0</v>
      </c>
      <c r="R33" s="540">
        <f t="shared" si="6"/>
        <v>1</v>
      </c>
      <c r="S33" s="584">
        <f t="shared" si="7"/>
        <v>0</v>
      </c>
      <c r="T33" s="646" t="e">
        <f t="shared" si="8"/>
        <v>#DIV/0!</v>
      </c>
      <c r="V33">
        <v>12</v>
      </c>
    </row>
    <row r="34" spans="1:22" ht="19.95" customHeight="1" x14ac:dyDescent="0.3">
      <c r="A34" s="692">
        <f>'AUX-CARGA ESTIMADA'!A19</f>
        <v>0</v>
      </c>
      <c r="B34" s="692"/>
      <c r="C34" s="555" t="s">
        <v>1157</v>
      </c>
      <c r="D34" s="594">
        <f>'AUX-CARGA ESTIMADA'!B19</f>
        <v>0</v>
      </c>
      <c r="E34" s="595">
        <f>'AUX-CARGA ESTIMADA'!C19</f>
        <v>0</v>
      </c>
      <c r="F34" s="596">
        <f>'AUX-CARGA ESTIMADA'!D19</f>
        <v>0</v>
      </c>
      <c r="G34" s="597">
        <f>'AUX-CARGA ESTIMADA'!E19</f>
        <v>0</v>
      </c>
      <c r="H34" s="598">
        <f>'AUX-CARGA ESTIMADA'!F19</f>
        <v>0</v>
      </c>
      <c r="I34" s="598">
        <f>'AUX-CARGA ESTIMADA'!G19</f>
        <v>0</v>
      </c>
      <c r="J34" s="555"/>
      <c r="K34" s="599">
        <f>'AUX-CARGA ESTIMADA'!I19</f>
        <v>0</v>
      </c>
      <c r="L34" s="556">
        <f>'AUX-CARGA ESTIMADA'!J19</f>
        <v>0</v>
      </c>
      <c r="N34" s="592">
        <f>'AUX-CARGA ESTIMADA'!L19</f>
        <v>0</v>
      </c>
      <c r="O34" s="622">
        <v>0.1</v>
      </c>
      <c r="P34" s="593">
        <v>7.5</v>
      </c>
      <c r="Q34" s="540">
        <f t="shared" si="5"/>
        <v>0</v>
      </c>
      <c r="R34" s="540">
        <f t="shared" si="6"/>
        <v>1</v>
      </c>
      <c r="S34" s="584">
        <f t="shared" si="7"/>
        <v>0</v>
      </c>
      <c r="T34" s="646" t="e">
        <f t="shared" si="8"/>
        <v>#DIV/0!</v>
      </c>
      <c r="V34">
        <v>1</v>
      </c>
    </row>
    <row r="35" spans="1:22" ht="19.95" customHeight="1" x14ac:dyDescent="0.3">
      <c r="A35" s="692">
        <f>'AUX-CARGA ESTIMADA'!A20</f>
        <v>0</v>
      </c>
      <c r="B35" s="692"/>
      <c r="C35" s="555" t="s">
        <v>1157</v>
      </c>
      <c r="D35" s="594">
        <f>'AUX-CARGA ESTIMADA'!B20</f>
        <v>0</v>
      </c>
      <c r="E35" s="595">
        <f>'AUX-CARGA ESTIMADA'!C20</f>
        <v>0</v>
      </c>
      <c r="F35" s="596">
        <f>'AUX-CARGA ESTIMADA'!D20</f>
        <v>0</v>
      </c>
      <c r="G35" s="597">
        <f>'AUX-CARGA ESTIMADA'!E20</f>
        <v>0</v>
      </c>
      <c r="H35" s="598">
        <f>'AUX-CARGA ESTIMADA'!F20</f>
        <v>0</v>
      </c>
      <c r="I35" s="598">
        <f>'AUX-CARGA ESTIMADA'!G20</f>
        <v>0</v>
      </c>
      <c r="J35" s="555"/>
      <c r="K35" s="599">
        <f>'AUX-CARGA ESTIMADA'!I20</f>
        <v>0</v>
      </c>
      <c r="L35" s="556">
        <f>'AUX-CARGA ESTIMADA'!J20</f>
        <v>0</v>
      </c>
      <c r="N35" s="592">
        <f>'AUX-CARGA ESTIMADA'!L20</f>
        <v>0</v>
      </c>
      <c r="O35" s="622">
        <v>0.1</v>
      </c>
      <c r="P35" s="593">
        <v>7.5</v>
      </c>
      <c r="Q35" s="540">
        <f t="shared" si="5"/>
        <v>0</v>
      </c>
      <c r="R35" s="540">
        <f t="shared" si="6"/>
        <v>1</v>
      </c>
      <c r="S35" s="584">
        <f t="shared" si="7"/>
        <v>0</v>
      </c>
      <c r="T35" s="646" t="e">
        <f t="shared" si="8"/>
        <v>#DIV/0!</v>
      </c>
      <c r="V35">
        <v>8</v>
      </c>
    </row>
    <row r="36" spans="1:22" ht="19.95" customHeight="1" x14ac:dyDescent="0.3">
      <c r="A36" s="692">
        <f>'AUX-CARGA ESTIMADA'!A21</f>
        <v>0</v>
      </c>
      <c r="B36" s="692"/>
      <c r="C36" s="555" t="s">
        <v>1157</v>
      </c>
      <c r="D36" s="594">
        <f>'AUX-CARGA ESTIMADA'!B21</f>
        <v>0</v>
      </c>
      <c r="E36" s="595">
        <f>'AUX-CARGA ESTIMADA'!C21</f>
        <v>0</v>
      </c>
      <c r="F36" s="596">
        <f>'AUX-CARGA ESTIMADA'!D21</f>
        <v>0</v>
      </c>
      <c r="G36" s="597">
        <f>'AUX-CARGA ESTIMADA'!E21</f>
        <v>0</v>
      </c>
      <c r="H36" s="598">
        <f>'AUX-CARGA ESTIMADA'!F21</f>
        <v>0</v>
      </c>
      <c r="I36" s="598">
        <f>'AUX-CARGA ESTIMADA'!G21</f>
        <v>0</v>
      </c>
      <c r="J36" s="555"/>
      <c r="K36" s="599">
        <f>'AUX-CARGA ESTIMADA'!I21</f>
        <v>0</v>
      </c>
      <c r="L36" s="556">
        <f>'AUX-CARGA ESTIMADA'!J21</f>
        <v>0</v>
      </c>
      <c r="N36" s="592">
        <f>'AUX-CARGA ESTIMADA'!L21</f>
        <v>0</v>
      </c>
      <c r="O36" s="622">
        <v>0.1</v>
      </c>
      <c r="P36" s="593">
        <v>7.5</v>
      </c>
      <c r="Q36" s="540">
        <f t="shared" si="5"/>
        <v>0</v>
      </c>
      <c r="R36" s="540">
        <f t="shared" si="6"/>
        <v>1</v>
      </c>
      <c r="S36" s="584">
        <f t="shared" si="7"/>
        <v>0</v>
      </c>
      <c r="T36" s="646" t="e">
        <f t="shared" si="8"/>
        <v>#DIV/0!</v>
      </c>
      <c r="V36">
        <v>1</v>
      </c>
    </row>
    <row r="37" spans="1:22" ht="19.95" customHeight="1" x14ac:dyDescent="0.3">
      <c r="A37" s="692">
        <f>'AUX-CARGA ESTIMADA'!A22</f>
        <v>0</v>
      </c>
      <c r="B37" s="692"/>
      <c r="C37" s="555" t="s">
        <v>1157</v>
      </c>
      <c r="D37" s="594">
        <f>'AUX-CARGA ESTIMADA'!B22</f>
        <v>0</v>
      </c>
      <c r="E37" s="595">
        <f>'AUX-CARGA ESTIMADA'!C22</f>
        <v>0</v>
      </c>
      <c r="F37" s="596">
        <f>'AUX-CARGA ESTIMADA'!D22</f>
        <v>0</v>
      </c>
      <c r="G37" s="597">
        <f>'AUX-CARGA ESTIMADA'!E22</f>
        <v>0</v>
      </c>
      <c r="H37" s="598">
        <f>'AUX-CARGA ESTIMADA'!F22</f>
        <v>0</v>
      </c>
      <c r="I37" s="598">
        <f>'AUX-CARGA ESTIMADA'!G22</f>
        <v>0</v>
      </c>
      <c r="J37" s="555"/>
      <c r="K37" s="599">
        <f>'AUX-CARGA ESTIMADA'!I22</f>
        <v>0</v>
      </c>
      <c r="L37" s="556">
        <f>'AUX-CARGA ESTIMADA'!J22</f>
        <v>0</v>
      </c>
      <c r="N37" s="592">
        <f>'AUX-CARGA ESTIMADA'!L22</f>
        <v>0</v>
      </c>
      <c r="O37" s="622">
        <v>0.1</v>
      </c>
      <c r="P37" s="593">
        <v>7.5</v>
      </c>
      <c r="Q37" s="540">
        <f t="shared" ref="Q37:Q45" si="9">ROUNDUP((N37*(O37+1))/P37,0)</f>
        <v>0</v>
      </c>
      <c r="R37" s="540">
        <f t="shared" ref="R37:R45" si="10">Q37+1</f>
        <v>1</v>
      </c>
      <c r="S37" s="584">
        <f t="shared" ref="S37:S45" si="11">Q37*P37</f>
        <v>0</v>
      </c>
      <c r="T37" s="646" t="e">
        <f t="shared" ref="T37:T45" si="12">S37/N37-1</f>
        <v>#DIV/0!</v>
      </c>
      <c r="V37">
        <v>8</v>
      </c>
    </row>
    <row r="38" spans="1:22" ht="19.95" customHeight="1" x14ac:dyDescent="0.3">
      <c r="A38" s="692">
        <f>'AUX-CARGA ESTIMADA'!A23</f>
        <v>0</v>
      </c>
      <c r="B38" s="692"/>
      <c r="C38" s="555" t="s">
        <v>1157</v>
      </c>
      <c r="D38" s="594">
        <f>'AUX-CARGA ESTIMADA'!B23</f>
        <v>0</v>
      </c>
      <c r="E38" s="595">
        <f>'AUX-CARGA ESTIMADA'!C23</f>
        <v>0</v>
      </c>
      <c r="F38" s="596">
        <f>'AUX-CARGA ESTIMADA'!D23</f>
        <v>0</v>
      </c>
      <c r="G38" s="597">
        <f>'AUX-CARGA ESTIMADA'!E23</f>
        <v>0</v>
      </c>
      <c r="H38" s="598">
        <f>'AUX-CARGA ESTIMADA'!F23</f>
        <v>0</v>
      </c>
      <c r="I38" s="598">
        <f>'AUX-CARGA ESTIMADA'!G23</f>
        <v>0</v>
      </c>
      <c r="J38" s="555"/>
      <c r="K38" s="599">
        <f>'AUX-CARGA ESTIMADA'!I23</f>
        <v>0</v>
      </c>
      <c r="L38" s="556">
        <f>'AUX-CARGA ESTIMADA'!J23</f>
        <v>0</v>
      </c>
      <c r="N38" s="592">
        <f>'AUX-CARGA ESTIMADA'!L23</f>
        <v>0</v>
      </c>
      <c r="O38" s="622">
        <v>0.1</v>
      </c>
      <c r="P38" s="593">
        <v>7.5</v>
      </c>
      <c r="Q38" s="540">
        <f t="shared" si="9"/>
        <v>0</v>
      </c>
      <c r="R38" s="540">
        <f t="shared" si="10"/>
        <v>1</v>
      </c>
      <c r="S38" s="584">
        <f t="shared" si="11"/>
        <v>0</v>
      </c>
      <c r="T38" s="646" t="e">
        <f t="shared" si="12"/>
        <v>#DIV/0!</v>
      </c>
      <c r="V38">
        <v>1</v>
      </c>
    </row>
    <row r="39" spans="1:22" ht="19.95" customHeight="1" x14ac:dyDescent="0.3">
      <c r="A39" s="692">
        <f>'AUX-CARGA ESTIMADA'!A24</f>
        <v>0</v>
      </c>
      <c r="B39" s="692"/>
      <c r="C39" s="555" t="s">
        <v>1157</v>
      </c>
      <c r="D39" s="594">
        <f>'AUX-CARGA ESTIMADA'!B24</f>
        <v>0</v>
      </c>
      <c r="E39" s="595">
        <f>'AUX-CARGA ESTIMADA'!C24</f>
        <v>0</v>
      </c>
      <c r="F39" s="596">
        <f>'AUX-CARGA ESTIMADA'!D24</f>
        <v>0</v>
      </c>
      <c r="G39" s="597">
        <f>'AUX-CARGA ESTIMADA'!E24</f>
        <v>0</v>
      </c>
      <c r="H39" s="598">
        <f>'AUX-CARGA ESTIMADA'!F24</f>
        <v>0</v>
      </c>
      <c r="I39" s="598">
        <f>'AUX-CARGA ESTIMADA'!G24</f>
        <v>0</v>
      </c>
      <c r="J39" s="555"/>
      <c r="K39" s="599">
        <f>'AUX-CARGA ESTIMADA'!I24</f>
        <v>0</v>
      </c>
      <c r="L39" s="556">
        <f>'AUX-CARGA ESTIMADA'!J24</f>
        <v>0</v>
      </c>
      <c r="N39" s="592">
        <f>'AUX-CARGA ESTIMADA'!L24</f>
        <v>0</v>
      </c>
      <c r="O39" s="622">
        <v>0.1</v>
      </c>
      <c r="P39" s="593">
        <v>7.5</v>
      </c>
      <c r="Q39" s="540">
        <f t="shared" si="9"/>
        <v>0</v>
      </c>
      <c r="R39" s="540">
        <f t="shared" si="10"/>
        <v>1</v>
      </c>
      <c r="S39" s="584">
        <f t="shared" si="11"/>
        <v>0</v>
      </c>
      <c r="T39" s="646" t="e">
        <f t="shared" si="12"/>
        <v>#DIV/0!</v>
      </c>
      <c r="V39">
        <v>3</v>
      </c>
    </row>
    <row r="40" spans="1:22" ht="19.95" customHeight="1" x14ac:dyDescent="0.3">
      <c r="A40" s="692">
        <f>'AUX-CARGA ESTIMADA'!A25</f>
        <v>0</v>
      </c>
      <c r="B40" s="692"/>
      <c r="C40" s="555" t="s">
        <v>1157</v>
      </c>
      <c r="D40" s="594">
        <f>'AUX-CARGA ESTIMADA'!B25</f>
        <v>0</v>
      </c>
      <c r="E40" s="595">
        <f>'AUX-CARGA ESTIMADA'!C25</f>
        <v>0</v>
      </c>
      <c r="F40" s="596">
        <f>'AUX-CARGA ESTIMADA'!D25</f>
        <v>0</v>
      </c>
      <c r="G40" s="597">
        <f>'AUX-CARGA ESTIMADA'!E25</f>
        <v>0</v>
      </c>
      <c r="H40" s="598">
        <f>'AUX-CARGA ESTIMADA'!F25</f>
        <v>0</v>
      </c>
      <c r="I40" s="598">
        <f>'AUX-CARGA ESTIMADA'!G25</f>
        <v>0</v>
      </c>
      <c r="J40" s="555"/>
      <c r="K40" s="599">
        <f>'AUX-CARGA ESTIMADA'!I25</f>
        <v>0</v>
      </c>
      <c r="L40" s="556">
        <f>'AUX-CARGA ESTIMADA'!J25</f>
        <v>0</v>
      </c>
      <c r="N40" s="592">
        <f>'AUX-CARGA ESTIMADA'!L25</f>
        <v>0</v>
      </c>
      <c r="O40" s="622">
        <v>0.1</v>
      </c>
      <c r="P40" s="593">
        <v>7.5</v>
      </c>
      <c r="Q40" s="540">
        <f t="shared" si="9"/>
        <v>0</v>
      </c>
      <c r="R40" s="540">
        <f t="shared" si="10"/>
        <v>1</v>
      </c>
      <c r="S40" s="584">
        <f t="shared" si="11"/>
        <v>0</v>
      </c>
      <c r="T40" s="646" t="e">
        <f t="shared" si="12"/>
        <v>#DIV/0!</v>
      </c>
      <c r="V40">
        <v>1</v>
      </c>
    </row>
    <row r="41" spans="1:22" ht="19.95" customHeight="1" x14ac:dyDescent="0.3">
      <c r="A41" s="692">
        <f>'AUX-CARGA ESTIMADA'!A26</f>
        <v>0</v>
      </c>
      <c r="B41" s="692"/>
      <c r="C41" s="555" t="s">
        <v>1157</v>
      </c>
      <c r="D41" s="594">
        <f>'AUX-CARGA ESTIMADA'!B26</f>
        <v>0</v>
      </c>
      <c r="E41" s="595">
        <f>'AUX-CARGA ESTIMADA'!C26</f>
        <v>0</v>
      </c>
      <c r="F41" s="596">
        <f>'AUX-CARGA ESTIMADA'!D26</f>
        <v>0</v>
      </c>
      <c r="G41" s="597">
        <f>'AUX-CARGA ESTIMADA'!E26</f>
        <v>0</v>
      </c>
      <c r="H41" s="598">
        <f>'AUX-CARGA ESTIMADA'!F26</f>
        <v>0</v>
      </c>
      <c r="I41" s="598">
        <f>'AUX-CARGA ESTIMADA'!G26</f>
        <v>0</v>
      </c>
      <c r="J41" s="555"/>
      <c r="K41" s="599">
        <f>'AUX-CARGA ESTIMADA'!I26</f>
        <v>0</v>
      </c>
      <c r="L41" s="556">
        <f>'AUX-CARGA ESTIMADA'!J26</f>
        <v>0</v>
      </c>
      <c r="N41" s="592">
        <f>'AUX-CARGA ESTIMADA'!L26</f>
        <v>0</v>
      </c>
      <c r="O41" s="622">
        <v>0.1</v>
      </c>
      <c r="P41" s="593">
        <v>7.5</v>
      </c>
      <c r="Q41" s="540">
        <f t="shared" si="9"/>
        <v>0</v>
      </c>
      <c r="R41" s="540">
        <f t="shared" si="10"/>
        <v>1</v>
      </c>
      <c r="S41" s="584">
        <f t="shared" si="11"/>
        <v>0</v>
      </c>
      <c r="T41" s="646" t="e">
        <f t="shared" si="12"/>
        <v>#DIV/0!</v>
      </c>
      <c r="V41">
        <v>7</v>
      </c>
    </row>
    <row r="42" spans="1:22" ht="19.95" customHeight="1" x14ac:dyDescent="0.3">
      <c r="A42" s="692">
        <f>'AUX-CARGA ESTIMADA'!A27</f>
        <v>0</v>
      </c>
      <c r="B42" s="692"/>
      <c r="C42" s="555" t="s">
        <v>1157</v>
      </c>
      <c r="D42" s="594">
        <f>'AUX-CARGA ESTIMADA'!B27</f>
        <v>0</v>
      </c>
      <c r="E42" s="595">
        <f>'AUX-CARGA ESTIMADA'!C27</f>
        <v>0</v>
      </c>
      <c r="F42" s="596">
        <f>'AUX-CARGA ESTIMADA'!D27</f>
        <v>0</v>
      </c>
      <c r="G42" s="597">
        <f>'AUX-CARGA ESTIMADA'!E27</f>
        <v>0</v>
      </c>
      <c r="H42" s="598">
        <f>'AUX-CARGA ESTIMADA'!F27</f>
        <v>0</v>
      </c>
      <c r="I42" s="598">
        <f>'AUX-CARGA ESTIMADA'!G27</f>
        <v>0</v>
      </c>
      <c r="J42" s="555"/>
      <c r="K42" s="599">
        <f>'AUX-CARGA ESTIMADA'!I27</f>
        <v>0</v>
      </c>
      <c r="L42" s="556">
        <f>'AUX-CARGA ESTIMADA'!J27</f>
        <v>0</v>
      </c>
      <c r="N42" s="592">
        <f>'AUX-CARGA ESTIMADA'!L27</f>
        <v>0</v>
      </c>
      <c r="O42" s="622">
        <v>0.1</v>
      </c>
      <c r="P42" s="593">
        <v>7.5</v>
      </c>
      <c r="Q42" s="540">
        <f t="shared" si="9"/>
        <v>0</v>
      </c>
      <c r="R42" s="540">
        <f t="shared" si="10"/>
        <v>1</v>
      </c>
      <c r="S42" s="584">
        <f t="shared" si="11"/>
        <v>0</v>
      </c>
      <c r="T42" s="646" t="e">
        <f t="shared" si="12"/>
        <v>#DIV/0!</v>
      </c>
      <c r="V42">
        <v>1</v>
      </c>
    </row>
    <row r="43" spans="1:22" ht="19.95" customHeight="1" x14ac:dyDescent="0.3">
      <c r="A43" s="692">
        <f>'AUX-CARGA ESTIMADA'!A28</f>
        <v>0</v>
      </c>
      <c r="B43" s="692"/>
      <c r="C43" s="555" t="s">
        <v>1157</v>
      </c>
      <c r="D43" s="594">
        <f>'AUX-CARGA ESTIMADA'!B28</f>
        <v>0</v>
      </c>
      <c r="E43" s="595">
        <f>'AUX-CARGA ESTIMADA'!C28</f>
        <v>0</v>
      </c>
      <c r="F43" s="596">
        <f>'AUX-CARGA ESTIMADA'!D28</f>
        <v>0</v>
      </c>
      <c r="G43" s="597">
        <f>'AUX-CARGA ESTIMADA'!E28</f>
        <v>0</v>
      </c>
      <c r="H43" s="598">
        <f>'AUX-CARGA ESTIMADA'!F28</f>
        <v>0</v>
      </c>
      <c r="I43" s="598">
        <f>'AUX-CARGA ESTIMADA'!G28</f>
        <v>0</v>
      </c>
      <c r="J43" s="555"/>
      <c r="K43" s="599">
        <f>'AUX-CARGA ESTIMADA'!I28</f>
        <v>0</v>
      </c>
      <c r="L43" s="556">
        <f>'AUX-CARGA ESTIMADA'!J28</f>
        <v>0</v>
      </c>
      <c r="N43" s="592">
        <f>'AUX-CARGA ESTIMADA'!L28</f>
        <v>0</v>
      </c>
      <c r="O43" s="622">
        <v>0.1</v>
      </c>
      <c r="P43" s="593">
        <v>7.5</v>
      </c>
      <c r="Q43" s="540">
        <f t="shared" si="9"/>
        <v>0</v>
      </c>
      <c r="R43" s="540">
        <f t="shared" si="10"/>
        <v>1</v>
      </c>
      <c r="S43" s="584">
        <f t="shared" si="11"/>
        <v>0</v>
      </c>
      <c r="T43" s="646" t="e">
        <f t="shared" si="12"/>
        <v>#DIV/0!</v>
      </c>
      <c r="V43">
        <v>2</v>
      </c>
    </row>
    <row r="44" spans="1:22" ht="19.95" customHeight="1" x14ac:dyDescent="0.3">
      <c r="A44" s="692">
        <f>'AUX-CARGA ESTIMADA'!A29</f>
        <v>0</v>
      </c>
      <c r="B44" s="692"/>
      <c r="C44" s="555" t="s">
        <v>1157</v>
      </c>
      <c r="D44" s="594">
        <f>'AUX-CARGA ESTIMADA'!B29</f>
        <v>0</v>
      </c>
      <c r="E44" s="595">
        <f>'AUX-CARGA ESTIMADA'!C29</f>
        <v>0</v>
      </c>
      <c r="F44" s="596">
        <f>'AUX-CARGA ESTIMADA'!D29</f>
        <v>0</v>
      </c>
      <c r="G44" s="597">
        <f>'AUX-CARGA ESTIMADA'!E29</f>
        <v>0</v>
      </c>
      <c r="H44" s="598">
        <f>'AUX-CARGA ESTIMADA'!F29</f>
        <v>0</v>
      </c>
      <c r="I44" s="598">
        <f>'AUX-CARGA ESTIMADA'!G29</f>
        <v>0</v>
      </c>
      <c r="J44" s="555"/>
      <c r="K44" s="599">
        <f>'AUX-CARGA ESTIMADA'!I29</f>
        <v>0</v>
      </c>
      <c r="L44" s="556">
        <f>'AUX-CARGA ESTIMADA'!J29</f>
        <v>0</v>
      </c>
      <c r="N44" s="592">
        <f>'AUX-CARGA ESTIMADA'!L29</f>
        <v>0</v>
      </c>
      <c r="O44" s="622">
        <v>0.1</v>
      </c>
      <c r="P44" s="593">
        <v>7.5</v>
      </c>
      <c r="Q44" s="540">
        <f t="shared" si="9"/>
        <v>0</v>
      </c>
      <c r="R44" s="540">
        <f t="shared" si="10"/>
        <v>1</v>
      </c>
      <c r="S44" s="584">
        <f t="shared" si="11"/>
        <v>0</v>
      </c>
      <c r="T44" s="646" t="e">
        <f t="shared" si="12"/>
        <v>#DIV/0!</v>
      </c>
      <c r="V44">
        <v>1</v>
      </c>
    </row>
    <row r="45" spans="1:22" ht="19.95" customHeight="1" x14ac:dyDescent="0.3">
      <c r="A45" s="692">
        <f>'AUX-CARGA ESTIMADA'!A30</f>
        <v>0</v>
      </c>
      <c r="B45" s="692"/>
      <c r="C45" s="555" t="s">
        <v>1157</v>
      </c>
      <c r="D45" s="594">
        <f>'AUX-CARGA ESTIMADA'!B30</f>
        <v>0</v>
      </c>
      <c r="E45" s="595">
        <f>'AUX-CARGA ESTIMADA'!C30</f>
        <v>0</v>
      </c>
      <c r="F45" s="596">
        <f>'AUX-CARGA ESTIMADA'!D30</f>
        <v>0</v>
      </c>
      <c r="G45" s="597">
        <f>'AUX-CARGA ESTIMADA'!E30</f>
        <v>0</v>
      </c>
      <c r="H45" s="598">
        <f>'AUX-CARGA ESTIMADA'!F30</f>
        <v>0</v>
      </c>
      <c r="I45" s="598">
        <f>'AUX-CARGA ESTIMADA'!G30</f>
        <v>0</v>
      </c>
      <c r="J45" s="555"/>
      <c r="K45" s="599">
        <f>'AUX-CARGA ESTIMADA'!I30</f>
        <v>0</v>
      </c>
      <c r="L45" s="556">
        <f>'AUX-CARGA ESTIMADA'!J30</f>
        <v>0</v>
      </c>
      <c r="N45" s="592">
        <f>'AUX-CARGA ESTIMADA'!L30</f>
        <v>0</v>
      </c>
      <c r="O45" s="622">
        <v>0.1</v>
      </c>
      <c r="P45" s="593">
        <v>7.5</v>
      </c>
      <c r="Q45" s="540">
        <f t="shared" si="9"/>
        <v>0</v>
      </c>
      <c r="R45" s="540">
        <f t="shared" si="10"/>
        <v>1</v>
      </c>
      <c r="S45" s="584">
        <f t="shared" si="11"/>
        <v>0</v>
      </c>
      <c r="T45" s="646" t="e">
        <f t="shared" si="12"/>
        <v>#DIV/0!</v>
      </c>
      <c r="V45">
        <v>8</v>
      </c>
    </row>
    <row r="46" spans="1:22" ht="19.95" customHeight="1" x14ac:dyDescent="0.3">
      <c r="A46" s="692">
        <f>'AUX-CARGA ESTIMADA'!A31</f>
        <v>0</v>
      </c>
      <c r="B46" s="692"/>
      <c r="C46" s="555" t="s">
        <v>1157</v>
      </c>
      <c r="D46" s="594">
        <f>'AUX-CARGA ESTIMADA'!B31</f>
        <v>0</v>
      </c>
      <c r="E46" s="595">
        <f>'AUX-CARGA ESTIMADA'!C31</f>
        <v>0</v>
      </c>
      <c r="F46" s="596">
        <f>'AUX-CARGA ESTIMADA'!D31</f>
        <v>0</v>
      </c>
      <c r="G46" s="597">
        <f>'AUX-CARGA ESTIMADA'!E31</f>
        <v>0</v>
      </c>
      <c r="H46" s="598">
        <f>'AUX-CARGA ESTIMADA'!F31</f>
        <v>0</v>
      </c>
      <c r="I46" s="598">
        <f>'AUX-CARGA ESTIMADA'!G31</f>
        <v>0</v>
      </c>
      <c r="J46" s="555"/>
      <c r="K46" s="599">
        <f>'AUX-CARGA ESTIMADA'!I31</f>
        <v>0</v>
      </c>
      <c r="L46" s="556">
        <f>'AUX-CARGA ESTIMADA'!J31</f>
        <v>0</v>
      </c>
      <c r="N46" s="592">
        <f>'AUX-CARGA ESTIMADA'!L31</f>
        <v>0</v>
      </c>
      <c r="O46" s="622">
        <v>0.1</v>
      </c>
      <c r="P46" s="593">
        <v>7.5</v>
      </c>
      <c r="Q46" s="540">
        <f t="shared" ref="Q46:Q48" si="13">ROUNDUP((N46*(O46+1))/P46,0)</f>
        <v>0</v>
      </c>
      <c r="R46" s="540">
        <f t="shared" ref="R46:R48" si="14">Q46+1</f>
        <v>1</v>
      </c>
      <c r="S46" s="584">
        <f t="shared" ref="S46:S48" si="15">Q46*P46</f>
        <v>0</v>
      </c>
      <c r="T46" s="646" t="e">
        <f t="shared" ref="T46:T48" si="16">S46/N46-1</f>
        <v>#DIV/0!</v>
      </c>
      <c r="V46">
        <v>1</v>
      </c>
    </row>
    <row r="47" spans="1:22" ht="19.95" customHeight="1" x14ac:dyDescent="0.3">
      <c r="A47" s="692">
        <f>'AUX-CARGA ESTIMADA'!A32</f>
        <v>0</v>
      </c>
      <c r="B47" s="692"/>
      <c r="C47" s="555" t="s">
        <v>1157</v>
      </c>
      <c r="D47" s="594">
        <f>'AUX-CARGA ESTIMADA'!B32</f>
        <v>0</v>
      </c>
      <c r="E47" s="595">
        <f>'AUX-CARGA ESTIMADA'!C32</f>
        <v>0</v>
      </c>
      <c r="F47" s="596">
        <f>'AUX-CARGA ESTIMADA'!D32</f>
        <v>0</v>
      </c>
      <c r="G47" s="597">
        <f>'AUX-CARGA ESTIMADA'!E32</f>
        <v>0</v>
      </c>
      <c r="H47" s="598">
        <f>'AUX-CARGA ESTIMADA'!F32</f>
        <v>0</v>
      </c>
      <c r="I47" s="598">
        <f>'AUX-CARGA ESTIMADA'!G32</f>
        <v>0</v>
      </c>
      <c r="J47" s="555"/>
      <c r="K47" s="599">
        <f>'AUX-CARGA ESTIMADA'!I32</f>
        <v>0</v>
      </c>
      <c r="L47" s="556">
        <f>'AUX-CARGA ESTIMADA'!J32</f>
        <v>0</v>
      </c>
      <c r="N47" s="592">
        <f>'AUX-CARGA ESTIMADA'!L32</f>
        <v>0</v>
      </c>
      <c r="O47" s="622">
        <v>0.1</v>
      </c>
      <c r="P47" s="593">
        <v>7.5</v>
      </c>
      <c r="Q47" s="540">
        <f t="shared" si="13"/>
        <v>0</v>
      </c>
      <c r="R47" s="540">
        <f t="shared" si="14"/>
        <v>1</v>
      </c>
      <c r="S47" s="584">
        <f t="shared" si="15"/>
        <v>0</v>
      </c>
      <c r="T47" s="646" t="e">
        <f t="shared" si="16"/>
        <v>#DIV/0!</v>
      </c>
      <c r="V47">
        <v>2</v>
      </c>
    </row>
    <row r="48" spans="1:22" ht="19.95" customHeight="1" x14ac:dyDescent="0.3">
      <c r="A48" s="692">
        <f>'AUX-CARGA ESTIMADA'!A33</f>
        <v>0</v>
      </c>
      <c r="B48" s="692"/>
      <c r="C48" s="555" t="s">
        <v>1157</v>
      </c>
      <c r="D48" s="594">
        <f>'AUX-CARGA ESTIMADA'!B33</f>
        <v>0</v>
      </c>
      <c r="E48" s="595">
        <f>'AUX-CARGA ESTIMADA'!C33</f>
        <v>0</v>
      </c>
      <c r="F48" s="596">
        <f>'AUX-CARGA ESTIMADA'!D33</f>
        <v>0</v>
      </c>
      <c r="G48" s="597">
        <f>'AUX-CARGA ESTIMADA'!E33</f>
        <v>0</v>
      </c>
      <c r="H48" s="598">
        <f>'AUX-CARGA ESTIMADA'!F33</f>
        <v>0</v>
      </c>
      <c r="I48" s="598">
        <f>'AUX-CARGA ESTIMADA'!G33</f>
        <v>0</v>
      </c>
      <c r="J48" s="555"/>
      <c r="K48" s="599">
        <f>'AUX-CARGA ESTIMADA'!I33</f>
        <v>0</v>
      </c>
      <c r="L48" s="556">
        <f>'AUX-CARGA ESTIMADA'!J33</f>
        <v>0</v>
      </c>
      <c r="N48" s="592">
        <f>'AUX-CARGA ESTIMADA'!L33</f>
        <v>0</v>
      </c>
      <c r="O48" s="622">
        <v>0.1</v>
      </c>
      <c r="P48" s="593">
        <v>7.5</v>
      </c>
      <c r="Q48" s="540">
        <f t="shared" si="13"/>
        <v>0</v>
      </c>
      <c r="R48" s="540">
        <f t="shared" si="14"/>
        <v>1</v>
      </c>
      <c r="S48" s="584">
        <f t="shared" si="15"/>
        <v>0</v>
      </c>
      <c r="T48" s="646" t="e">
        <f t="shared" si="16"/>
        <v>#DIV/0!</v>
      </c>
      <c r="V48">
        <v>1</v>
      </c>
    </row>
    <row r="49" spans="1:20" ht="19.95" customHeight="1" x14ac:dyDescent="0.3">
      <c r="A49" s="696" t="s">
        <v>1158</v>
      </c>
      <c r="B49" s="696"/>
      <c r="C49" s="555" t="s">
        <v>1159</v>
      </c>
      <c r="D49" s="594"/>
      <c r="E49" s="595"/>
      <c r="F49" s="596"/>
      <c r="G49" s="597"/>
      <c r="H49" s="598"/>
      <c r="I49" s="598"/>
      <c r="J49" s="555"/>
      <c r="K49" s="599">
        <f>'AUX-CARGA ESTIMADA'!I6</f>
        <v>0</v>
      </c>
      <c r="L49" s="556">
        <f>'AUX-CARGA ESTIMADA'!J6</f>
        <v>0</v>
      </c>
      <c r="N49" s="592">
        <f>'AUX-CARGA ESTIMADA'!L34</f>
        <v>0</v>
      </c>
      <c r="O49" s="622">
        <v>0.1</v>
      </c>
      <c r="P49" s="593">
        <v>7.5</v>
      </c>
      <c r="Q49" s="540">
        <f t="shared" ref="Q49:Q51" si="17">ROUNDUP((N49*(O49+1))/P49,0)</f>
        <v>0</v>
      </c>
      <c r="R49" s="540">
        <f t="shared" ref="R49:R51" si="18">Q49+1</f>
        <v>1</v>
      </c>
      <c r="S49" s="584">
        <f t="shared" ref="S49:S51" si="19">Q49*P49</f>
        <v>0</v>
      </c>
      <c r="T49" s="646" t="e">
        <f t="shared" ref="T49:T51" si="20">S49/N49-1</f>
        <v>#DIV/0!</v>
      </c>
    </row>
    <row r="50" spans="1:20" ht="19.95" customHeight="1" x14ac:dyDescent="0.3">
      <c r="A50" s="696" t="s">
        <v>1160</v>
      </c>
      <c r="B50" s="697"/>
      <c r="C50" s="555" t="s">
        <v>1159</v>
      </c>
      <c r="D50" s="594"/>
      <c r="E50" s="595"/>
      <c r="F50" s="596"/>
      <c r="G50" s="597"/>
      <c r="H50" s="598"/>
      <c r="I50" s="598"/>
      <c r="J50" s="555"/>
      <c r="K50" s="599">
        <f>'AUX-CARGA ESTIMADA'!I7</f>
        <v>0</v>
      </c>
      <c r="L50" s="556">
        <f>'AUX-CARGA ESTIMADA'!J7</f>
        <v>0</v>
      </c>
      <c r="N50" s="592">
        <f>'AUX-CARGA ESTIMADA'!L35</f>
        <v>0</v>
      </c>
      <c r="O50" s="622">
        <v>0.1</v>
      </c>
      <c r="P50" s="593">
        <v>7.5</v>
      </c>
      <c r="Q50" s="540">
        <f t="shared" si="17"/>
        <v>0</v>
      </c>
      <c r="R50" s="540">
        <f t="shared" si="18"/>
        <v>1</v>
      </c>
      <c r="S50" s="584">
        <f t="shared" si="19"/>
        <v>0</v>
      </c>
      <c r="T50" s="646" t="e">
        <f t="shared" si="20"/>
        <v>#DIV/0!</v>
      </c>
    </row>
    <row r="51" spans="1:20" ht="19.95" customHeight="1" x14ac:dyDescent="0.3">
      <c r="A51" s="696" t="s">
        <v>1160</v>
      </c>
      <c r="B51" s="697"/>
      <c r="C51" s="648" t="s">
        <v>1159</v>
      </c>
      <c r="D51" s="594"/>
      <c r="E51" s="595"/>
      <c r="F51" s="596"/>
      <c r="G51" s="597"/>
      <c r="H51" s="598"/>
      <c r="I51" s="598"/>
      <c r="J51" s="648"/>
      <c r="K51" s="649">
        <f>'AUX-CARGA ESTIMADA'!I8</f>
        <v>0</v>
      </c>
      <c r="L51" s="650">
        <f>'AUX-CARGA ESTIMADA'!J8</f>
        <v>0</v>
      </c>
      <c r="N51" s="592">
        <f>'AUX-CARGA ESTIMADA'!L36</f>
        <v>0</v>
      </c>
      <c r="O51" s="622">
        <v>0.1</v>
      </c>
      <c r="P51" s="593">
        <v>7.5</v>
      </c>
      <c r="Q51" s="540">
        <f t="shared" si="17"/>
        <v>0</v>
      </c>
      <c r="R51" s="540">
        <f t="shared" si="18"/>
        <v>1</v>
      </c>
      <c r="S51" s="584">
        <f t="shared" si="19"/>
        <v>0</v>
      </c>
      <c r="T51" s="646" t="e">
        <f t="shared" si="20"/>
        <v>#DIV/0!</v>
      </c>
    </row>
    <row r="52" spans="1:20" ht="19.95" customHeight="1" x14ac:dyDescent="0.3">
      <c r="A52" s="647" t="s">
        <v>1161</v>
      </c>
      <c r="B52" s="647"/>
      <c r="C52" s="693"/>
      <c r="D52" s="694"/>
      <c r="E52" s="694"/>
      <c r="F52" s="694"/>
      <c r="G52" s="694"/>
      <c r="H52" s="694"/>
      <c r="I52" s="694"/>
      <c r="J52" s="694"/>
      <c r="K52" s="694"/>
      <c r="L52" s="695"/>
    </row>
    <row r="53" spans="1:20" ht="19.95" customHeight="1" x14ac:dyDescent="0.3">
      <c r="A53" s="718"/>
      <c r="B53" s="718"/>
      <c r="C53" s="718"/>
      <c r="D53" s="718"/>
      <c r="E53" s="718"/>
      <c r="F53" s="718"/>
      <c r="G53" s="718"/>
      <c r="H53" s="718"/>
      <c r="I53" s="718"/>
      <c r="J53" s="718"/>
      <c r="K53" s="718"/>
      <c r="L53" s="718"/>
    </row>
    <row r="54" spans="1:20" x14ac:dyDescent="0.3">
      <c r="A54" s="730" t="s">
        <v>1162</v>
      </c>
      <c r="B54" s="685"/>
      <c r="C54" s="685"/>
      <c r="D54" s="685"/>
      <c r="E54" s="685"/>
      <c r="F54" s="685"/>
      <c r="G54" s="685"/>
      <c r="H54" s="685"/>
      <c r="I54" s="685"/>
      <c r="J54" s="685"/>
      <c r="K54" s="685"/>
      <c r="L54" s="731"/>
    </row>
    <row r="55" spans="1:20" x14ac:dyDescent="0.3">
      <c r="A55" s="732"/>
      <c r="B55" s="733"/>
      <c r="C55" s="733"/>
      <c r="D55" s="733"/>
      <c r="E55" s="733"/>
      <c r="F55" s="733"/>
      <c r="G55" s="733"/>
      <c r="H55" s="733"/>
      <c r="I55" s="733"/>
      <c r="J55" s="733"/>
      <c r="K55" s="733"/>
      <c r="L55" s="734"/>
    </row>
    <row r="56" spans="1:20" x14ac:dyDescent="0.3">
      <c r="A56" s="735"/>
      <c r="B56" s="736"/>
      <c r="C56" s="736"/>
      <c r="D56" s="736"/>
      <c r="E56" s="736"/>
      <c r="F56" s="736"/>
      <c r="G56" s="736"/>
      <c r="H56" s="736"/>
      <c r="I56" s="736"/>
      <c r="J56" s="736"/>
      <c r="K56" s="736"/>
      <c r="L56" s="737"/>
    </row>
    <row r="57" spans="1:20" x14ac:dyDescent="0.3">
      <c r="A57" s="735"/>
      <c r="B57" s="736"/>
      <c r="C57" s="736"/>
      <c r="D57" s="736"/>
      <c r="E57" s="736"/>
      <c r="F57" s="736"/>
      <c r="G57" s="736"/>
      <c r="H57" s="736"/>
      <c r="I57" s="736"/>
      <c r="J57" s="736"/>
      <c r="K57" s="736"/>
      <c r="L57" s="737"/>
    </row>
    <row r="58" spans="1:20" x14ac:dyDescent="0.3">
      <c r="A58" s="735"/>
      <c r="B58" s="736"/>
      <c r="C58" s="736"/>
      <c r="D58" s="736"/>
      <c r="E58" s="736"/>
      <c r="F58" s="736"/>
      <c r="G58" s="736"/>
      <c r="H58" s="736"/>
      <c r="I58" s="736"/>
      <c r="J58" s="736"/>
      <c r="K58" s="736"/>
      <c r="L58" s="737"/>
    </row>
    <row r="59" spans="1:20" x14ac:dyDescent="0.3">
      <c r="A59" s="735"/>
      <c r="B59" s="736"/>
      <c r="C59" s="736"/>
      <c r="D59" s="736"/>
      <c r="E59" s="736"/>
      <c r="F59" s="736"/>
      <c r="G59" s="736"/>
      <c r="H59" s="736"/>
      <c r="I59" s="736"/>
      <c r="J59" s="736"/>
      <c r="K59" s="736"/>
      <c r="L59" s="737"/>
    </row>
    <row r="60" spans="1:20" ht="15" customHeight="1" x14ac:dyDescent="0.3">
      <c r="A60" s="735"/>
      <c r="B60" s="736"/>
      <c r="C60" s="736"/>
      <c r="D60" s="736"/>
      <c r="E60" s="736"/>
      <c r="F60" s="736"/>
      <c r="G60" s="736"/>
      <c r="H60" s="736"/>
      <c r="I60" s="736"/>
      <c r="J60" s="736"/>
      <c r="K60" s="736"/>
      <c r="L60" s="737"/>
    </row>
    <row r="61" spans="1:20" x14ac:dyDescent="0.3">
      <c r="A61" s="719"/>
      <c r="B61" s="720"/>
      <c r="C61" s="720"/>
      <c r="D61" s="720"/>
      <c r="E61" s="720"/>
      <c r="F61" s="720"/>
      <c r="G61" s="720"/>
      <c r="H61" s="720"/>
      <c r="I61" s="720"/>
      <c r="J61" s="720"/>
      <c r="K61" s="720"/>
      <c r="L61" s="721"/>
    </row>
    <row r="62" spans="1:20" ht="13.95" customHeight="1" x14ac:dyDescent="0.3">
      <c r="A62" s="644"/>
      <c r="B62" s="641"/>
      <c r="C62" s="641"/>
      <c r="D62" s="641"/>
      <c r="E62" s="641"/>
      <c r="F62" s="641"/>
      <c r="G62" s="641"/>
      <c r="H62" s="641"/>
      <c r="I62" s="641"/>
      <c r="J62" s="641"/>
      <c r="K62" s="641"/>
      <c r="L62" s="645"/>
    </row>
    <row r="63" spans="1:20" x14ac:dyDescent="0.3">
      <c r="A63" s="121"/>
      <c r="F63" s="3"/>
      <c r="G63" s="395"/>
      <c r="H63" s="105"/>
      <c r="I63" s="105"/>
      <c r="J63" s="202"/>
      <c r="K63" s="557"/>
      <c r="L63" s="558"/>
    </row>
    <row r="64" spans="1:20" x14ac:dyDescent="0.3">
      <c r="A64" s="121"/>
      <c r="H64" s="105"/>
      <c r="I64" s="105"/>
      <c r="J64" s="105"/>
      <c r="K64" s="105"/>
      <c r="L64" s="558"/>
    </row>
    <row r="65" spans="1:12" x14ac:dyDescent="0.3">
      <c r="A65" s="121"/>
      <c r="H65" s="105"/>
      <c r="I65" s="105"/>
      <c r="J65" s="105"/>
      <c r="K65" s="105"/>
      <c r="L65" s="558"/>
    </row>
    <row r="66" spans="1:12" x14ac:dyDescent="0.3">
      <c r="A66" s="121"/>
      <c r="H66" s="105"/>
      <c r="I66" s="105"/>
      <c r="J66" s="105"/>
      <c r="K66" s="105"/>
      <c r="L66" s="558"/>
    </row>
    <row r="67" spans="1:12" x14ac:dyDescent="0.3">
      <c r="H67" s="105"/>
      <c r="I67" s="105"/>
      <c r="J67" s="105"/>
      <c r="K67" s="105"/>
      <c r="L67" s="558"/>
    </row>
    <row r="68" spans="1:12" x14ac:dyDescent="0.3">
      <c r="H68" s="105"/>
      <c r="I68" s="105"/>
      <c r="J68" s="105"/>
      <c r="K68" s="105"/>
      <c r="L68" s="558"/>
    </row>
    <row r="69" spans="1:12" x14ac:dyDescent="0.3">
      <c r="A69" s="722"/>
      <c r="B69" s="723"/>
      <c r="C69" s="723"/>
      <c r="D69" s="723"/>
      <c r="E69" s="723"/>
      <c r="F69" s="723"/>
      <c r="G69" s="723"/>
      <c r="H69" s="724"/>
      <c r="I69" s="724"/>
      <c r="J69" s="724"/>
      <c r="K69" s="725"/>
      <c r="L69" s="726"/>
    </row>
    <row r="70" spans="1:12" x14ac:dyDescent="0.3">
      <c r="A70" s="727" t="s">
        <v>1163</v>
      </c>
      <c r="B70" s="728"/>
      <c r="C70" s="728"/>
      <c r="D70" s="728"/>
      <c r="E70" s="728"/>
      <c r="F70" s="728"/>
      <c r="G70" s="728"/>
      <c r="H70" s="728"/>
      <c r="I70" s="291"/>
      <c r="J70" s="728"/>
      <c r="K70" s="728"/>
      <c r="L70" s="729"/>
    </row>
    <row r="71" spans="1:12" x14ac:dyDescent="0.3">
      <c r="A71" s="713" t="s">
        <v>1164</v>
      </c>
      <c r="B71" s="714"/>
      <c r="C71" s="714"/>
      <c r="D71" s="714"/>
      <c r="E71" s="714"/>
      <c r="F71" s="714"/>
      <c r="G71" s="714"/>
      <c r="H71" s="715"/>
      <c r="I71" s="563"/>
      <c r="J71" s="716" t="s">
        <v>7</v>
      </c>
      <c r="K71" s="716"/>
      <c r="L71" s="717"/>
    </row>
    <row r="72" spans="1:12" x14ac:dyDescent="0.3">
      <c r="A72" s="713" t="s">
        <v>1165</v>
      </c>
      <c r="B72" s="714"/>
      <c r="C72" s="714"/>
      <c r="D72" s="714"/>
      <c r="E72" s="714"/>
      <c r="F72" s="714"/>
      <c r="G72" s="714"/>
      <c r="H72" s="715"/>
      <c r="I72" s="563"/>
      <c r="J72" s="716" t="s">
        <v>7</v>
      </c>
      <c r="K72" s="716"/>
      <c r="L72" s="717"/>
    </row>
    <row r="73" spans="1:12" ht="15" thickBot="1" x14ac:dyDescent="0.35">
      <c r="A73" s="642" t="s">
        <v>1166</v>
      </c>
      <c r="B73" s="643"/>
      <c r="C73" s="643"/>
      <c r="D73" s="643"/>
      <c r="E73" s="643"/>
      <c r="F73" s="643"/>
      <c r="G73" s="643"/>
      <c r="H73" s="561"/>
      <c r="I73" s="561"/>
      <c r="J73" s="268" t="s">
        <v>7</v>
      </c>
      <c r="K73" s="268"/>
      <c r="L73" s="270"/>
    </row>
  </sheetData>
  <mergeCells count="65"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65" t="s">
        <v>1333</v>
      </c>
      <c r="B1" s="766"/>
      <c r="C1" s="766"/>
      <c r="D1" s="766"/>
      <c r="E1" s="766"/>
      <c r="F1" s="766"/>
      <c r="G1" s="766"/>
      <c r="H1" s="766"/>
      <c r="I1" s="767"/>
    </row>
    <row r="2" spans="1:9" ht="15.75" customHeight="1" x14ac:dyDescent="0.3">
      <c r="A2" s="751" t="e" vm="1">
        <v>#VALUE!</v>
      </c>
      <c r="B2" s="776"/>
      <c r="C2" s="770" t="s">
        <v>1332</v>
      </c>
      <c r="D2" s="771"/>
      <c r="E2" s="768"/>
      <c r="F2" s="768"/>
      <c r="G2" s="768"/>
      <c r="H2" s="768"/>
      <c r="I2" s="769"/>
    </row>
    <row r="3" spans="1:9" ht="15" customHeight="1" x14ac:dyDescent="0.3">
      <c r="A3" s="751"/>
      <c r="B3" s="776"/>
      <c r="C3" s="770" t="s">
        <v>1331</v>
      </c>
      <c r="D3" s="771"/>
      <c r="E3" s="768"/>
      <c r="F3" s="768"/>
      <c r="G3" s="768"/>
      <c r="H3" s="768"/>
      <c r="I3" s="769"/>
    </row>
    <row r="4" spans="1:9" ht="15.75" customHeight="1" x14ac:dyDescent="0.3">
      <c r="A4" s="751"/>
      <c r="B4" s="776"/>
      <c r="C4" s="770" t="s">
        <v>1330</v>
      </c>
      <c r="D4" s="771"/>
      <c r="E4" s="768"/>
      <c r="F4" s="768"/>
      <c r="G4" s="768"/>
      <c r="H4" s="768"/>
      <c r="I4" s="769"/>
    </row>
    <row r="5" spans="1:9" ht="15.75" customHeight="1" x14ac:dyDescent="0.3">
      <c r="A5" s="751"/>
      <c r="B5" s="776"/>
      <c r="C5" s="770" t="s">
        <v>1329</v>
      </c>
      <c r="D5" s="771"/>
      <c r="E5" s="768"/>
      <c r="F5" s="768"/>
      <c r="G5" s="768"/>
      <c r="H5" s="768"/>
      <c r="I5" s="769"/>
    </row>
    <row r="6" spans="1:9" ht="15.75" customHeight="1" x14ac:dyDescent="0.3">
      <c r="A6" s="777"/>
      <c r="B6" s="778"/>
      <c r="C6" s="770" t="s">
        <v>1328</v>
      </c>
      <c r="D6" s="771"/>
      <c r="E6" s="768"/>
      <c r="F6" s="768"/>
      <c r="G6" s="768"/>
      <c r="H6" s="768"/>
      <c r="I6" s="769"/>
    </row>
    <row r="7" spans="1:9" x14ac:dyDescent="0.3">
      <c r="A7" s="632" t="s">
        <v>1327</v>
      </c>
      <c r="B7" s="779" t="s">
        <v>2</v>
      </c>
      <c r="C7" s="779"/>
      <c r="D7" s="779"/>
      <c r="E7" s="631" t="s">
        <v>1326</v>
      </c>
      <c r="F7" s="637" t="s">
        <v>1325</v>
      </c>
      <c r="G7" s="779" t="s">
        <v>779</v>
      </c>
      <c r="H7" s="779"/>
      <c r="I7" s="780"/>
    </row>
    <row r="8" spans="1:9" x14ac:dyDescent="0.3">
      <c r="A8" s="629" t="s">
        <v>1324</v>
      </c>
      <c r="B8" s="772" t="s">
        <v>1323</v>
      </c>
      <c r="C8" s="772"/>
      <c r="D8" s="772"/>
      <c r="E8" s="628"/>
      <c r="F8" s="627"/>
      <c r="G8" s="781"/>
      <c r="H8" s="781"/>
      <c r="I8" s="782"/>
    </row>
    <row r="9" spans="1:9" x14ac:dyDescent="0.3">
      <c r="A9" s="626" t="s">
        <v>89</v>
      </c>
      <c r="B9" s="783" t="s">
        <v>1322</v>
      </c>
      <c r="C9" s="784"/>
      <c r="D9" s="785"/>
      <c r="E9" s="630" t="s">
        <v>7</v>
      </c>
      <c r="F9" s="633" t="s">
        <v>1321</v>
      </c>
      <c r="G9" s="756"/>
      <c r="H9" s="757"/>
      <c r="I9" s="758"/>
    </row>
    <row r="10" spans="1:9" x14ac:dyDescent="0.3">
      <c r="A10" s="626" t="s">
        <v>93</v>
      </c>
      <c r="B10" s="783" t="s">
        <v>882</v>
      </c>
      <c r="C10" s="784"/>
      <c r="D10" s="785"/>
      <c r="E10" s="630" t="s">
        <v>7</v>
      </c>
      <c r="F10" s="633" t="s">
        <v>157</v>
      </c>
      <c r="G10" s="756"/>
      <c r="H10" s="757"/>
      <c r="I10" s="758"/>
    </row>
    <row r="11" spans="1:9" x14ac:dyDescent="0.3">
      <c r="A11" s="626" t="s">
        <v>94</v>
      </c>
      <c r="B11" s="753" t="s">
        <v>1320</v>
      </c>
      <c r="C11" s="754"/>
      <c r="D11" s="755"/>
      <c r="E11" s="625" t="s">
        <v>7</v>
      </c>
      <c r="F11" s="633" t="s">
        <v>1319</v>
      </c>
      <c r="G11" s="756"/>
      <c r="H11" s="757"/>
      <c r="I11" s="758"/>
    </row>
    <row r="12" spans="1:9" ht="15" customHeight="1" x14ac:dyDescent="0.3">
      <c r="A12" s="626" t="s">
        <v>95</v>
      </c>
      <c r="B12" s="753" t="s">
        <v>1318</v>
      </c>
      <c r="C12" s="754"/>
      <c r="D12" s="755"/>
      <c r="E12" s="625" t="s">
        <v>7</v>
      </c>
      <c r="F12" s="633" t="s">
        <v>917</v>
      </c>
      <c r="G12" s="756"/>
      <c r="H12" s="757"/>
      <c r="I12" s="758"/>
    </row>
    <row r="13" spans="1:9" ht="15" customHeight="1" x14ac:dyDescent="0.3">
      <c r="A13" s="626" t="s">
        <v>163</v>
      </c>
      <c r="B13" s="753" t="s">
        <v>577</v>
      </c>
      <c r="C13" s="754"/>
      <c r="D13" s="755"/>
      <c r="E13" s="625" t="s">
        <v>7</v>
      </c>
      <c r="F13" s="633" t="s">
        <v>1317</v>
      </c>
      <c r="G13" s="756"/>
      <c r="H13" s="757"/>
      <c r="I13" s="758"/>
    </row>
    <row r="14" spans="1:9" x14ac:dyDescent="0.3">
      <c r="A14" s="629" t="s">
        <v>1317</v>
      </c>
      <c r="B14" s="759" t="s">
        <v>1316</v>
      </c>
      <c r="C14" s="760"/>
      <c r="D14" s="761"/>
      <c r="E14" s="628"/>
      <c r="F14" s="627"/>
      <c r="G14" s="773"/>
      <c r="H14" s="774"/>
      <c r="I14" s="775"/>
    </row>
    <row r="15" spans="1:9" ht="15" customHeight="1" x14ac:dyDescent="0.3">
      <c r="A15" s="626" t="s">
        <v>97</v>
      </c>
      <c r="B15" s="753" t="s">
        <v>1315</v>
      </c>
      <c r="C15" s="754"/>
      <c r="D15" s="755"/>
      <c r="E15" s="625" t="s">
        <v>7</v>
      </c>
      <c r="F15" s="633" t="s">
        <v>1314</v>
      </c>
      <c r="G15" s="756"/>
      <c r="H15" s="757"/>
      <c r="I15" s="758"/>
    </row>
    <row r="16" spans="1:9" ht="15" customHeight="1" x14ac:dyDescent="0.3">
      <c r="A16" s="626" t="s">
        <v>98</v>
      </c>
      <c r="B16" s="753" t="s">
        <v>1313</v>
      </c>
      <c r="C16" s="754"/>
      <c r="D16" s="755"/>
      <c r="E16" s="625" t="s">
        <v>7</v>
      </c>
      <c r="F16" s="633" t="s">
        <v>5</v>
      </c>
      <c r="G16" s="756"/>
      <c r="H16" s="757"/>
      <c r="I16" s="758"/>
    </row>
    <row r="17" spans="1:9" ht="15" customHeight="1" x14ac:dyDescent="0.3">
      <c r="A17" s="626" t="s">
        <v>99</v>
      </c>
      <c r="B17" s="753" t="s">
        <v>1312</v>
      </c>
      <c r="C17" s="754"/>
      <c r="D17" s="755"/>
      <c r="E17" s="625" t="s">
        <v>7</v>
      </c>
      <c r="F17" s="633" t="s">
        <v>1311</v>
      </c>
      <c r="G17" s="756"/>
      <c r="H17" s="757"/>
      <c r="I17" s="758"/>
    </row>
    <row r="18" spans="1:9" ht="15" customHeight="1" x14ac:dyDescent="0.3">
      <c r="A18" s="626" t="s">
        <v>100</v>
      </c>
      <c r="B18" s="753" t="s">
        <v>1310</v>
      </c>
      <c r="C18" s="754"/>
      <c r="D18" s="755"/>
      <c r="E18" s="625"/>
      <c r="F18" s="633" t="s">
        <v>877</v>
      </c>
      <c r="G18" s="756"/>
      <c r="H18" s="757"/>
      <c r="I18" s="758"/>
    </row>
    <row r="19" spans="1:9" ht="15" customHeight="1" x14ac:dyDescent="0.3">
      <c r="A19" s="629" t="s">
        <v>1309</v>
      </c>
      <c r="B19" s="759" t="s">
        <v>1308</v>
      </c>
      <c r="C19" s="760"/>
      <c r="D19" s="761"/>
      <c r="E19" s="628"/>
      <c r="F19" s="627"/>
      <c r="G19" s="773"/>
      <c r="H19" s="774"/>
      <c r="I19" s="775"/>
    </row>
    <row r="20" spans="1:9" ht="15" customHeight="1" x14ac:dyDescent="0.3">
      <c r="A20" s="626" t="s">
        <v>102</v>
      </c>
      <c r="B20" s="753" t="s">
        <v>1307</v>
      </c>
      <c r="C20" s="754"/>
      <c r="D20" s="755"/>
      <c r="E20" s="625" t="s">
        <v>7</v>
      </c>
      <c r="F20" s="633" t="s">
        <v>1306</v>
      </c>
      <c r="G20" s="756"/>
      <c r="H20" s="757"/>
      <c r="I20" s="758"/>
    </row>
    <row r="21" spans="1:9" ht="15" customHeight="1" x14ac:dyDescent="0.3">
      <c r="A21" s="626" t="s">
        <v>103</v>
      </c>
      <c r="B21" s="753" t="s">
        <v>1305</v>
      </c>
      <c r="C21" s="754"/>
      <c r="D21" s="755"/>
      <c r="E21" s="625" t="s">
        <v>7</v>
      </c>
      <c r="F21" s="633" t="s">
        <v>1304</v>
      </c>
      <c r="G21" s="756"/>
      <c r="H21" s="757"/>
      <c r="I21" s="758"/>
    </row>
    <row r="22" spans="1:9" ht="15" customHeight="1" x14ac:dyDescent="0.3">
      <c r="A22" s="629" t="s">
        <v>1303</v>
      </c>
      <c r="B22" s="759" t="s">
        <v>1302</v>
      </c>
      <c r="C22" s="760"/>
      <c r="D22" s="761"/>
      <c r="E22" s="628"/>
      <c r="F22" s="627"/>
      <c r="G22" s="773"/>
      <c r="H22" s="774"/>
      <c r="I22" s="775"/>
    </row>
    <row r="23" spans="1:9" ht="15" customHeight="1" x14ac:dyDescent="0.3">
      <c r="A23" s="626" t="s">
        <v>105</v>
      </c>
      <c r="B23" s="753" t="s">
        <v>1301</v>
      </c>
      <c r="C23" s="754"/>
      <c r="D23" s="755"/>
      <c r="E23" s="625" t="s">
        <v>7</v>
      </c>
      <c r="F23" s="633" t="s">
        <v>1300</v>
      </c>
      <c r="G23" s="756"/>
      <c r="H23" s="757"/>
      <c r="I23" s="758"/>
    </row>
    <row r="24" spans="1:9" ht="15" customHeight="1" x14ac:dyDescent="0.3">
      <c r="A24" s="626" t="s">
        <v>106</v>
      </c>
      <c r="B24" s="753" t="s">
        <v>1299</v>
      </c>
      <c r="C24" s="754"/>
      <c r="D24" s="755"/>
      <c r="E24" s="625" t="s">
        <v>7</v>
      </c>
      <c r="F24" s="633" t="s">
        <v>1298</v>
      </c>
      <c r="G24" s="756"/>
      <c r="H24" s="757"/>
      <c r="I24" s="758"/>
    </row>
    <row r="25" spans="1:9" ht="15" customHeight="1" x14ac:dyDescent="0.3">
      <c r="A25" s="626" t="s">
        <v>107</v>
      </c>
      <c r="B25" s="753" t="s">
        <v>1297</v>
      </c>
      <c r="C25" s="754"/>
      <c r="D25" s="755"/>
      <c r="E25" s="625" t="s">
        <v>7</v>
      </c>
      <c r="F25" s="633" t="s">
        <v>1296</v>
      </c>
      <c r="G25" s="756"/>
      <c r="H25" s="757"/>
      <c r="I25" s="758"/>
    </row>
    <row r="26" spans="1:9" x14ac:dyDescent="0.3">
      <c r="A26" s="626" t="s">
        <v>171</v>
      </c>
      <c r="B26" s="753" t="s">
        <v>1295</v>
      </c>
      <c r="C26" s="754"/>
      <c r="D26" s="755"/>
      <c r="E26" s="625" t="s">
        <v>7</v>
      </c>
      <c r="F26" s="633" t="s">
        <v>398</v>
      </c>
      <c r="G26" s="756"/>
      <c r="H26" s="757"/>
      <c r="I26" s="758"/>
    </row>
    <row r="27" spans="1:9" ht="15" customHeight="1" x14ac:dyDescent="0.3">
      <c r="A27" s="626" t="s">
        <v>172</v>
      </c>
      <c r="B27" s="753" t="s">
        <v>1294</v>
      </c>
      <c r="C27" s="754"/>
      <c r="D27" s="755"/>
      <c r="E27" s="625" t="s">
        <v>7</v>
      </c>
      <c r="F27" s="633" t="s">
        <v>1278</v>
      </c>
      <c r="G27" s="756"/>
      <c r="H27" s="757"/>
      <c r="I27" s="758"/>
    </row>
    <row r="28" spans="1:9" x14ac:dyDescent="0.3">
      <c r="A28" s="626" t="s">
        <v>173</v>
      </c>
      <c r="B28" s="753" t="s">
        <v>1293</v>
      </c>
      <c r="C28" s="754"/>
      <c r="D28" s="755"/>
      <c r="E28" s="625" t="s">
        <v>7</v>
      </c>
      <c r="F28" s="633" t="s">
        <v>1278</v>
      </c>
      <c r="G28" s="756"/>
      <c r="H28" s="757"/>
      <c r="I28" s="758"/>
    </row>
    <row r="29" spans="1:9" ht="15" customHeight="1" x14ac:dyDescent="0.3">
      <c r="A29" s="629" t="s">
        <v>1292</v>
      </c>
      <c r="B29" s="759" t="s">
        <v>1291</v>
      </c>
      <c r="C29" s="760"/>
      <c r="D29" s="761"/>
      <c r="E29" s="628"/>
      <c r="F29" s="627"/>
      <c r="G29" s="773"/>
      <c r="H29" s="774"/>
      <c r="I29" s="775"/>
    </row>
    <row r="30" spans="1:9" ht="15" customHeight="1" x14ac:dyDescent="0.3">
      <c r="A30" s="626" t="s">
        <v>156</v>
      </c>
      <c r="B30" s="753" t="s">
        <v>1290</v>
      </c>
      <c r="C30" s="754"/>
      <c r="D30" s="755"/>
      <c r="E30" s="625" t="s">
        <v>7</v>
      </c>
      <c r="F30" s="633" t="s">
        <v>894</v>
      </c>
      <c r="G30" s="756"/>
      <c r="H30" s="757"/>
      <c r="I30" s="758"/>
    </row>
    <row r="31" spans="1:9" ht="15" customHeight="1" x14ac:dyDescent="0.3">
      <c r="A31" s="626" t="s">
        <v>174</v>
      </c>
      <c r="B31" s="753" t="s">
        <v>931</v>
      </c>
      <c r="C31" s="754"/>
      <c r="D31" s="755"/>
      <c r="E31" s="625" t="s">
        <v>7</v>
      </c>
      <c r="F31" s="633" t="s">
        <v>1341</v>
      </c>
      <c r="G31" s="756"/>
      <c r="H31" s="757"/>
      <c r="I31" s="758"/>
    </row>
    <row r="32" spans="1:9" ht="15" customHeight="1" x14ac:dyDescent="0.3">
      <c r="A32" s="626" t="s">
        <v>1289</v>
      </c>
      <c r="B32" s="753" t="s">
        <v>1288</v>
      </c>
      <c r="C32" s="754"/>
      <c r="D32" s="755"/>
      <c r="E32" s="625" t="s">
        <v>7</v>
      </c>
      <c r="F32" s="633" t="s">
        <v>1342</v>
      </c>
      <c r="G32" s="756"/>
      <c r="H32" s="757"/>
      <c r="I32" s="758"/>
    </row>
    <row r="33" spans="1:9" ht="15" customHeight="1" x14ac:dyDescent="0.3">
      <c r="A33" s="626" t="s">
        <v>1287</v>
      </c>
      <c r="B33" s="753" t="s">
        <v>1286</v>
      </c>
      <c r="C33" s="754"/>
      <c r="D33" s="755"/>
      <c r="E33" s="625" t="s">
        <v>7</v>
      </c>
      <c r="F33" s="633" t="s">
        <v>877</v>
      </c>
      <c r="G33" s="756"/>
      <c r="H33" s="757"/>
      <c r="I33" s="758"/>
    </row>
    <row r="34" spans="1:9" ht="15" customHeight="1" x14ac:dyDescent="0.3">
      <c r="A34" s="626" t="s">
        <v>1285</v>
      </c>
      <c r="B34" s="753" t="s">
        <v>1284</v>
      </c>
      <c r="C34" s="754"/>
      <c r="D34" s="755"/>
      <c r="E34" s="625" t="s">
        <v>7</v>
      </c>
      <c r="F34" s="633" t="s">
        <v>877</v>
      </c>
      <c r="G34" s="756"/>
      <c r="H34" s="757"/>
      <c r="I34" s="758"/>
    </row>
    <row r="35" spans="1:9" ht="15" customHeight="1" x14ac:dyDescent="0.3">
      <c r="A35" s="626" t="s">
        <v>1283</v>
      </c>
      <c r="B35" s="753" t="s">
        <v>890</v>
      </c>
      <c r="C35" s="754"/>
      <c r="D35" s="755"/>
      <c r="E35" s="625" t="s">
        <v>7</v>
      </c>
      <c r="F35" s="633" t="s">
        <v>1343</v>
      </c>
      <c r="G35" s="756"/>
      <c r="H35" s="757"/>
      <c r="I35" s="758"/>
    </row>
    <row r="36" spans="1:9" ht="15" customHeight="1" x14ac:dyDescent="0.3">
      <c r="A36" s="626" t="s">
        <v>1282</v>
      </c>
      <c r="B36" s="753" t="s">
        <v>1281</v>
      </c>
      <c r="C36" s="754"/>
      <c r="D36" s="755"/>
      <c r="E36" s="625" t="s">
        <v>7</v>
      </c>
      <c r="F36" s="633" t="s">
        <v>877</v>
      </c>
      <c r="G36" s="756"/>
      <c r="H36" s="757"/>
      <c r="I36" s="758"/>
    </row>
    <row r="37" spans="1:9" ht="15.75" customHeight="1" thickBot="1" x14ac:dyDescent="0.35">
      <c r="A37" s="624" t="s">
        <v>1280</v>
      </c>
      <c r="B37" s="762" t="s">
        <v>1279</v>
      </c>
      <c r="C37" s="763"/>
      <c r="D37" s="764"/>
      <c r="E37" s="623" t="s">
        <v>7</v>
      </c>
      <c r="F37" s="634" t="s">
        <v>1278</v>
      </c>
      <c r="G37" s="786"/>
      <c r="H37" s="787"/>
      <c r="I37" s="788"/>
    </row>
    <row r="38" spans="1:9" x14ac:dyDescent="0.3">
      <c r="A38" s="636" t="s">
        <v>1334</v>
      </c>
      <c r="B38" s="754" t="s">
        <v>932</v>
      </c>
      <c r="C38" s="754"/>
      <c r="D38" s="755"/>
      <c r="E38" s="625" t="s">
        <v>7</v>
      </c>
      <c r="F38" s="638" t="s">
        <v>877</v>
      </c>
      <c r="G38" s="756"/>
      <c r="H38" s="757"/>
      <c r="I38" s="758"/>
    </row>
    <row r="39" spans="1:9" x14ac:dyDescent="0.3">
      <c r="A39" s="635" t="s">
        <v>1337</v>
      </c>
      <c r="B39" s="754" t="s">
        <v>891</v>
      </c>
      <c r="C39" s="754"/>
      <c r="D39" s="755"/>
      <c r="E39" s="625" t="s">
        <v>7</v>
      </c>
      <c r="F39" s="633" t="s">
        <v>877</v>
      </c>
      <c r="G39" s="756"/>
      <c r="H39" s="757"/>
      <c r="I39" s="758"/>
    </row>
    <row r="40" spans="1:9" x14ac:dyDescent="0.3">
      <c r="A40" s="635" t="s">
        <v>1338</v>
      </c>
      <c r="B40" s="754" t="s">
        <v>1335</v>
      </c>
      <c r="C40" s="754"/>
      <c r="D40" s="755"/>
      <c r="E40" s="625" t="s">
        <v>7</v>
      </c>
      <c r="F40" s="633" t="s">
        <v>877</v>
      </c>
      <c r="G40" s="756"/>
      <c r="H40" s="757"/>
      <c r="I40" s="758"/>
    </row>
    <row r="41" spans="1:9" x14ac:dyDescent="0.3">
      <c r="A41" s="635" t="s">
        <v>1339</v>
      </c>
      <c r="B41" s="754" t="s">
        <v>1336</v>
      </c>
      <c r="C41" s="754"/>
      <c r="D41" s="755"/>
      <c r="E41" s="625" t="s">
        <v>7</v>
      </c>
      <c r="F41" s="633" t="s">
        <v>877</v>
      </c>
      <c r="G41" s="756"/>
      <c r="H41" s="757"/>
      <c r="I41" s="758"/>
    </row>
    <row r="44" spans="1:9" x14ac:dyDescent="0.3">
      <c r="A44" s="639" t="s">
        <v>958</v>
      </c>
      <c r="B44">
        <f>IF(F10="Wall Mounted",1,IF(F10="Split System",2,IF(F10="Self Contained",3,0)))</f>
        <v>1</v>
      </c>
    </row>
  </sheetData>
  <mergeCells count="82">
    <mergeCell ref="G41:I41"/>
    <mergeCell ref="B38:D38"/>
    <mergeCell ref="B39:D39"/>
    <mergeCell ref="B40:D40"/>
    <mergeCell ref="B41:D41"/>
    <mergeCell ref="G38:I38"/>
    <mergeCell ref="G39:I39"/>
    <mergeCell ref="G40:I40"/>
    <mergeCell ref="G25:I25"/>
    <mergeCell ref="G26:I26"/>
    <mergeCell ref="G27:I27"/>
    <mergeCell ref="G28:I28"/>
    <mergeCell ref="G23:I23"/>
    <mergeCell ref="G24:I24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E6:I6"/>
    <mergeCell ref="G8:I8"/>
    <mergeCell ref="B7:D7"/>
    <mergeCell ref="B9:D9"/>
    <mergeCell ref="B10:D10"/>
    <mergeCell ref="G9:I9"/>
    <mergeCell ref="G10:I10"/>
    <mergeCell ref="B12:D12"/>
    <mergeCell ref="C3:D3"/>
    <mergeCell ref="C4:D4"/>
    <mergeCell ref="C5:D5"/>
    <mergeCell ref="C6:D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37:D37"/>
    <mergeCell ref="B32:D32"/>
    <mergeCell ref="B33:D33"/>
    <mergeCell ref="B29:D29"/>
    <mergeCell ref="B30:D30"/>
    <mergeCell ref="B34:D34"/>
    <mergeCell ref="B35:D35"/>
    <mergeCell ref="B36:D36"/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925"/>
      <c r="B1" s="926" t="s">
        <v>383</v>
      </c>
      <c r="C1" s="926"/>
      <c r="D1" s="926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26"/>
      <c r="R1" s="926"/>
      <c r="S1" s="926"/>
      <c r="T1" s="926"/>
      <c r="U1" s="926"/>
      <c r="V1" s="926"/>
      <c r="W1" s="926"/>
      <c r="X1" s="926"/>
      <c r="Y1" s="926"/>
      <c r="Z1" s="926"/>
      <c r="AA1" s="926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18"/>
      <c r="B2" s="47" t="s">
        <v>46</v>
      </c>
      <c r="C2" s="929" t="e">
        <f>#REF!</f>
        <v>#REF!</v>
      </c>
      <c r="D2" s="930"/>
      <c r="E2" s="931"/>
      <c r="F2" s="927" t="s">
        <v>44</v>
      </c>
      <c r="G2" s="928"/>
      <c r="H2" s="928"/>
      <c r="I2" s="928"/>
      <c r="J2" s="928"/>
      <c r="K2" s="928"/>
      <c r="L2" s="928"/>
      <c r="M2" s="928"/>
      <c r="N2" s="928"/>
      <c r="O2" s="928"/>
      <c r="P2" s="928"/>
      <c r="Q2" s="928"/>
      <c r="R2" s="928"/>
      <c r="S2" s="928"/>
      <c r="T2" s="928"/>
      <c r="U2" s="928"/>
      <c r="V2" s="928"/>
      <c r="W2" s="928"/>
      <c r="X2" s="928"/>
      <c r="Y2" s="928"/>
      <c r="Z2" s="928"/>
      <c r="AA2" s="928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18"/>
      <c r="B3" s="47" t="s">
        <v>47</v>
      </c>
      <c r="C3" s="929" t="e">
        <f>#REF!</f>
        <v>#REF!</v>
      </c>
      <c r="D3" s="930"/>
      <c r="E3" s="931"/>
      <c r="F3" s="936" t="e">
        <f>#REF!</f>
        <v>#REF!</v>
      </c>
      <c r="G3" s="936"/>
      <c r="H3" s="936"/>
      <c r="I3" s="936"/>
      <c r="J3" s="936"/>
      <c r="K3" s="936"/>
      <c r="L3" s="936"/>
      <c r="M3" s="936"/>
      <c r="N3" s="936"/>
      <c r="O3" s="936"/>
      <c r="P3" s="936"/>
      <c r="Q3" s="936"/>
      <c r="R3" s="936"/>
      <c r="S3" s="936"/>
      <c r="T3" s="936"/>
      <c r="U3" s="936"/>
      <c r="V3" s="936"/>
      <c r="W3" s="936"/>
      <c r="X3" s="936"/>
      <c r="Y3" s="936"/>
      <c r="Z3" s="936"/>
      <c r="AA3" s="936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18"/>
      <c r="B4" s="47" t="s">
        <v>48</v>
      </c>
      <c r="C4" s="929" t="e">
        <f>#REF!</f>
        <v>#REF!</v>
      </c>
      <c r="D4" s="930"/>
      <c r="E4" s="931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18"/>
      <c r="B5" s="47" t="s">
        <v>110</v>
      </c>
      <c r="C5" s="932">
        <f ca="1">NOW()</f>
        <v>46064.807083449072</v>
      </c>
      <c r="D5" s="933"/>
      <c r="E5" s="934"/>
      <c r="F5" s="936"/>
      <c r="G5" s="936"/>
      <c r="H5" s="936"/>
      <c r="I5" s="936"/>
      <c r="J5" s="936"/>
      <c r="K5" s="936"/>
      <c r="L5" s="936"/>
      <c r="M5" s="936"/>
      <c r="N5" s="936"/>
      <c r="O5" s="936"/>
      <c r="P5" s="936"/>
      <c r="Q5" s="936"/>
      <c r="R5" s="936"/>
      <c r="S5" s="936"/>
      <c r="T5" s="936"/>
      <c r="U5" s="936"/>
      <c r="V5" s="936"/>
      <c r="W5" s="936"/>
      <c r="X5" s="936"/>
      <c r="Y5" s="936"/>
      <c r="Z5" s="936"/>
      <c r="AA5" s="936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18"/>
      <c r="B6" s="47" t="s">
        <v>427</v>
      </c>
      <c r="C6" s="932" t="e">
        <f>#REF!</f>
        <v>#REF!</v>
      </c>
      <c r="D6" s="933"/>
      <c r="E6" s="934"/>
      <c r="F6" s="936"/>
      <c r="G6" s="936"/>
      <c r="H6" s="936"/>
      <c r="I6" s="936"/>
      <c r="J6" s="936"/>
      <c r="K6" s="936"/>
      <c r="L6" s="936"/>
      <c r="M6" s="936"/>
      <c r="N6" s="936"/>
      <c r="O6" s="936"/>
      <c r="P6" s="936"/>
      <c r="Q6" s="936"/>
      <c r="R6" s="936"/>
      <c r="S6" s="936"/>
      <c r="T6" s="936"/>
      <c r="U6" s="936"/>
      <c r="V6" s="936"/>
      <c r="W6" s="936"/>
      <c r="X6" s="936"/>
      <c r="Y6" s="936"/>
      <c r="Z6" s="936"/>
      <c r="AA6" s="936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18"/>
      <c r="B7" s="295" t="s">
        <v>578</v>
      </c>
      <c r="C7" s="935"/>
      <c r="D7" s="935"/>
      <c r="E7" s="935"/>
      <c r="F7" s="937" t="e">
        <f>#REF!</f>
        <v>#REF!</v>
      </c>
      <c r="G7" s="938"/>
      <c r="H7" s="938"/>
      <c r="I7" s="938"/>
      <c r="J7" s="938"/>
      <c r="K7" s="938"/>
      <c r="L7" s="938"/>
      <c r="M7" s="938"/>
      <c r="N7" s="938"/>
      <c r="O7" s="938"/>
      <c r="P7" s="938"/>
      <c r="Q7" s="938"/>
      <c r="R7" s="938"/>
      <c r="S7" s="938"/>
      <c r="T7" s="938"/>
      <c r="U7" s="938"/>
      <c r="V7" s="938"/>
      <c r="W7" s="938"/>
      <c r="X7" s="938"/>
      <c r="Y7" s="938"/>
      <c r="Z7" s="938"/>
      <c r="AA7" s="939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945" t="s">
        <v>384</v>
      </c>
      <c r="B9" s="946"/>
      <c r="C9" s="946"/>
      <c r="D9" s="946"/>
      <c r="E9" s="946"/>
      <c r="F9" s="946"/>
      <c r="G9" s="946"/>
      <c r="H9" s="946"/>
      <c r="I9" s="946"/>
      <c r="J9" s="946"/>
      <c r="K9" s="946"/>
      <c r="L9" s="946"/>
      <c r="M9" s="946"/>
      <c r="N9" s="946"/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46"/>
      <c r="AA9" s="947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948"/>
      <c r="B10" s="949"/>
      <c r="C10" s="949"/>
      <c r="D10" s="949"/>
      <c r="E10" s="949"/>
      <c r="F10" s="949"/>
      <c r="G10" s="949"/>
      <c r="H10" s="949"/>
      <c r="I10" s="949"/>
      <c r="J10" s="949"/>
      <c r="K10" s="949"/>
      <c r="L10" s="949"/>
      <c r="M10" s="950"/>
      <c r="N10" s="950"/>
      <c r="O10" s="950"/>
      <c r="P10" s="950"/>
      <c r="Q10" s="950"/>
      <c r="R10" s="950"/>
      <c r="S10" s="950"/>
      <c r="T10" s="950"/>
      <c r="U10" s="950"/>
      <c r="V10" s="950"/>
      <c r="W10" s="950"/>
      <c r="X10" s="950"/>
      <c r="Y10" s="950"/>
      <c r="Z10" s="950"/>
      <c r="AA10" s="951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51" t="s">
        <v>429</v>
      </c>
      <c r="B11" s="852"/>
      <c r="C11" s="852"/>
      <c r="D11" s="852"/>
      <c r="E11" s="852"/>
      <c r="F11" s="852"/>
      <c r="G11" s="852"/>
      <c r="H11" s="852"/>
      <c r="I11" s="852"/>
      <c r="J11" s="852"/>
      <c r="K11" s="852"/>
      <c r="L11" s="852"/>
      <c r="M11" s="852"/>
      <c r="N11" s="852"/>
      <c r="O11" s="852"/>
      <c r="P11" s="853"/>
      <c r="Q11" s="314"/>
      <c r="R11" s="851" t="s">
        <v>396</v>
      </c>
      <c r="S11" s="852"/>
      <c r="T11" s="852"/>
      <c r="U11" s="852"/>
      <c r="V11" s="852"/>
      <c r="W11" s="852"/>
      <c r="X11" s="852"/>
      <c r="Y11" s="852"/>
      <c r="Z11" s="852"/>
      <c r="AA11" s="853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952" t="s">
        <v>430</v>
      </c>
      <c r="B12" s="953"/>
      <c r="C12" s="953"/>
      <c r="D12" s="953"/>
      <c r="E12" s="896" t="s">
        <v>395</v>
      </c>
      <c r="F12" s="897"/>
      <c r="G12" s="897"/>
      <c r="H12" s="897"/>
      <c r="I12" s="897"/>
      <c r="J12" s="894" t="s">
        <v>538</v>
      </c>
      <c r="K12" s="878"/>
      <c r="L12" s="878"/>
      <c r="M12" s="878"/>
      <c r="N12" s="895"/>
      <c r="O12" s="894" t="s">
        <v>695</v>
      </c>
      <c r="P12" s="895"/>
      <c r="Q12" s="315"/>
      <c r="R12" s="920" t="s">
        <v>723</v>
      </c>
      <c r="S12" s="921"/>
      <c r="T12" s="370" t="s">
        <v>722</v>
      </c>
      <c r="U12" s="898" t="s">
        <v>404</v>
      </c>
      <c r="V12" s="899"/>
      <c r="W12" s="900"/>
      <c r="X12" s="279"/>
      <c r="Y12" s="223" t="s">
        <v>405</v>
      </c>
      <c r="Z12" s="272" t="s">
        <v>683</v>
      </c>
      <c r="AA12" s="311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77" t="s">
        <v>218</v>
      </c>
      <c r="C13" s="878"/>
      <c r="D13" s="878"/>
      <c r="E13" s="894" t="s">
        <v>2</v>
      </c>
      <c r="F13" s="878"/>
      <c r="G13" s="909"/>
      <c r="H13" s="941" t="s">
        <v>406</v>
      </c>
      <c r="I13" s="942"/>
      <c r="J13" s="312" t="s">
        <v>539</v>
      </c>
      <c r="K13" s="313" t="s">
        <v>540</v>
      </c>
      <c r="L13" s="313" t="s">
        <v>541</v>
      </c>
      <c r="M13" s="877" t="s">
        <v>542</v>
      </c>
      <c r="N13" s="878"/>
      <c r="O13" s="894" t="s">
        <v>694</v>
      </c>
      <c r="P13" s="895"/>
      <c r="Q13" s="316"/>
      <c r="R13" s="910" t="s">
        <v>397</v>
      </c>
      <c r="S13" s="911"/>
      <c r="T13" s="468" t="s">
        <v>398</v>
      </c>
      <c r="U13" s="475">
        <v>1</v>
      </c>
      <c r="V13" s="271" t="s">
        <v>537</v>
      </c>
      <c r="W13" s="468">
        <v>6.5</v>
      </c>
      <c r="X13" s="216"/>
      <c r="Y13" s="458">
        <f>U13*W13</f>
        <v>6.5</v>
      </c>
      <c r="Z13" s="458">
        <f>Y13*10</f>
        <v>65</v>
      </c>
      <c r="AA13" s="868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903">
        <v>50000</v>
      </c>
      <c r="C14" s="904"/>
      <c r="D14" s="904"/>
      <c r="E14" s="905" t="s">
        <v>390</v>
      </c>
      <c r="F14" s="906"/>
      <c r="G14" s="907"/>
      <c r="H14" s="943">
        <f>AI129</f>
        <v>1.4435813594664075E-5</v>
      </c>
      <c r="I14" s="944"/>
      <c r="J14" s="469">
        <v>1346</v>
      </c>
      <c r="K14" s="470">
        <v>1.5</v>
      </c>
      <c r="L14" s="278">
        <f>(J14/3600)/K14/0.75</f>
        <v>0.33234567901234568</v>
      </c>
      <c r="M14" s="879">
        <f>SQRT(L14)*1000</f>
        <v>576.49430093657099</v>
      </c>
      <c r="N14" s="880"/>
      <c r="O14" s="912">
        <v>1.8</v>
      </c>
      <c r="P14" s="913"/>
      <c r="Q14" s="317"/>
      <c r="R14" s="872" t="s">
        <v>397</v>
      </c>
      <c r="S14" s="908"/>
      <c r="T14" s="468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8">
        <f>U14*W14</f>
        <v>17.5</v>
      </c>
      <c r="Z14" s="458">
        <f>Y14*10</f>
        <v>175</v>
      </c>
      <c r="AA14" s="869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88">
        <v>10</v>
      </c>
      <c r="C15" s="889"/>
      <c r="D15" s="889"/>
      <c r="E15" s="874" t="s">
        <v>391</v>
      </c>
      <c r="F15" s="809"/>
      <c r="G15" s="810"/>
      <c r="H15" s="890">
        <f>AI180</f>
        <v>87.604048319277879</v>
      </c>
      <c r="I15" s="891"/>
      <c r="J15" s="471">
        <v>1200</v>
      </c>
      <c r="K15" s="472">
        <v>2</v>
      </c>
      <c r="L15" s="276">
        <f t="shared" ref="L15:L18" si="0">(J15/3600)/K15</f>
        <v>0.16666666666666666</v>
      </c>
      <c r="M15" s="881">
        <f t="shared" ref="M15:M18" si="1">SQRT(L15)*1000</f>
        <v>408.24829046386304</v>
      </c>
      <c r="N15" s="882"/>
      <c r="O15" s="914"/>
      <c r="P15" s="915"/>
      <c r="Q15" s="318"/>
      <c r="R15" s="901" t="s">
        <v>399</v>
      </c>
      <c r="S15" s="902"/>
      <c r="T15" s="473">
        <v>1</v>
      </c>
      <c r="U15" s="940">
        <v>1</v>
      </c>
      <c r="V15" s="940"/>
      <c r="W15" s="940"/>
      <c r="X15" s="218"/>
      <c r="Y15" s="459">
        <f t="shared" ref="Y15:Y25" si="2">U15*T15</f>
        <v>1</v>
      </c>
      <c r="Z15" s="458">
        <f t="shared" ref="Z15:Z25" si="3">Y15*10</f>
        <v>10</v>
      </c>
      <c r="AA15" s="869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88">
        <v>13</v>
      </c>
      <c r="C16" s="889"/>
      <c r="D16" s="889"/>
      <c r="E16" s="874" t="s">
        <v>392</v>
      </c>
      <c r="F16" s="809"/>
      <c r="G16" s="810"/>
      <c r="H16" s="890">
        <f>AI198</f>
        <v>1.0667653501891912</v>
      </c>
      <c r="I16" s="891"/>
      <c r="J16" s="471">
        <v>2000</v>
      </c>
      <c r="K16" s="472">
        <v>2</v>
      </c>
      <c r="L16" s="276">
        <f t="shared" si="0"/>
        <v>0.27777777777777779</v>
      </c>
      <c r="M16" s="881">
        <f t="shared" si="1"/>
        <v>527.04627669472995</v>
      </c>
      <c r="N16" s="882"/>
      <c r="O16" s="914"/>
      <c r="P16" s="915"/>
      <c r="Q16" s="319"/>
      <c r="R16" s="872" t="s">
        <v>400</v>
      </c>
      <c r="S16" s="790"/>
      <c r="T16" s="474">
        <v>3</v>
      </c>
      <c r="U16" s="873">
        <v>1</v>
      </c>
      <c r="V16" s="873"/>
      <c r="W16" s="873"/>
      <c r="X16" s="9"/>
      <c r="Y16" s="460">
        <f t="shared" si="2"/>
        <v>3</v>
      </c>
      <c r="Z16" s="458">
        <f t="shared" si="3"/>
        <v>30</v>
      </c>
      <c r="AA16" s="869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88">
        <v>1200</v>
      </c>
      <c r="C17" s="889"/>
      <c r="D17" s="889"/>
      <c r="E17" s="874" t="s">
        <v>393</v>
      </c>
      <c r="F17" s="809"/>
      <c r="G17" s="810"/>
      <c r="H17" s="892">
        <f>AI137</f>
        <v>462263.26713769883</v>
      </c>
      <c r="I17" s="893"/>
      <c r="J17" s="471"/>
      <c r="K17" s="472">
        <v>1</v>
      </c>
      <c r="L17" s="276">
        <f t="shared" si="0"/>
        <v>0</v>
      </c>
      <c r="M17" s="881">
        <f t="shared" si="1"/>
        <v>0</v>
      </c>
      <c r="N17" s="882"/>
      <c r="O17" s="914"/>
      <c r="P17" s="915"/>
      <c r="Q17" s="319"/>
      <c r="R17" s="872" t="s">
        <v>401</v>
      </c>
      <c r="S17" s="790"/>
      <c r="T17" s="474">
        <v>3</v>
      </c>
      <c r="U17" s="873">
        <v>0.3</v>
      </c>
      <c r="V17" s="873"/>
      <c r="W17" s="873"/>
      <c r="X17" s="9"/>
      <c r="Y17" s="460">
        <f t="shared" si="2"/>
        <v>0.89999999999999991</v>
      </c>
      <c r="Z17" s="458">
        <f t="shared" si="3"/>
        <v>9</v>
      </c>
      <c r="AA17" s="869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83">
        <v>0.1525</v>
      </c>
      <c r="C18" s="884"/>
      <c r="D18" s="884"/>
      <c r="E18" s="885" t="s">
        <v>394</v>
      </c>
      <c r="F18" s="886"/>
      <c r="G18" s="887"/>
      <c r="H18" s="918">
        <v>9.5000000000000001E-2</v>
      </c>
      <c r="I18" s="919"/>
      <c r="J18" s="471"/>
      <c r="K18" s="472">
        <v>0.5</v>
      </c>
      <c r="L18" s="276">
        <f t="shared" si="0"/>
        <v>0</v>
      </c>
      <c r="M18" s="881">
        <f t="shared" si="1"/>
        <v>0</v>
      </c>
      <c r="N18" s="882"/>
      <c r="O18" s="916"/>
      <c r="P18" s="917"/>
      <c r="Q18" s="319"/>
      <c r="R18" s="872" t="s">
        <v>407</v>
      </c>
      <c r="S18" s="790"/>
      <c r="T18" s="77">
        <v>2</v>
      </c>
      <c r="U18" s="873">
        <v>0</v>
      </c>
      <c r="V18" s="873"/>
      <c r="W18" s="873"/>
      <c r="X18" s="9"/>
      <c r="Y18" s="453">
        <f t="shared" si="2"/>
        <v>0</v>
      </c>
      <c r="Z18" s="458">
        <f t="shared" si="3"/>
        <v>0</v>
      </c>
      <c r="AA18" s="869"/>
      <c r="AB18" s="281"/>
      <c r="AC18" s="11"/>
      <c r="AD18" s="213"/>
      <c r="AE18" s="213"/>
      <c r="AF18" s="922" t="str">
        <f>AA13</f>
        <v>CLASSE 500 PA</v>
      </c>
      <c r="AG18" s="923"/>
      <c r="AH18" s="923"/>
      <c r="AI18" s="923"/>
      <c r="AJ18" s="923"/>
      <c r="AK18" s="923"/>
      <c r="AL18" s="923"/>
      <c r="AM18" s="923"/>
      <c r="AN18" s="923"/>
      <c r="AO18" s="923"/>
      <c r="AP18" s="924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72" t="s">
        <v>402</v>
      </c>
      <c r="S19" s="790"/>
      <c r="T19" s="77">
        <f>SUM(K22:K80)/O14</f>
        <v>5.5555555555555554</v>
      </c>
      <c r="U19" s="873">
        <v>0.02</v>
      </c>
      <c r="V19" s="873"/>
      <c r="W19" s="873"/>
      <c r="X19" s="9"/>
      <c r="Y19" s="453">
        <f t="shared" si="2"/>
        <v>0.1111111111111111</v>
      </c>
      <c r="Z19" s="458">
        <f t="shared" si="3"/>
        <v>1.1111111111111112</v>
      </c>
      <c r="AA19" s="869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802" t="s">
        <v>620</v>
      </c>
      <c r="AG19" s="38" t="str">
        <f>IF(AF18=AD216,"125 Pa",IF(AF18=AD238,"250 Pa",IF(AF18=AD260,"500 Pa","ERRO")))</f>
        <v>500 Pa</v>
      </c>
      <c r="AH19" s="805" t="s">
        <v>642</v>
      </c>
      <c r="AI19" s="808" t="s">
        <v>663</v>
      </c>
      <c r="AJ19" s="809"/>
      <c r="AK19" s="809"/>
      <c r="AL19" s="809"/>
      <c r="AM19" s="809"/>
      <c r="AN19" s="809"/>
      <c r="AO19" s="809"/>
      <c r="AP19" s="810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72" t="s">
        <v>416</v>
      </c>
      <c r="S20" s="790"/>
      <c r="T20" s="77">
        <v>0</v>
      </c>
      <c r="U20" s="873">
        <v>1.5</v>
      </c>
      <c r="V20" s="873"/>
      <c r="W20" s="873"/>
      <c r="X20" s="9"/>
      <c r="Y20" s="453">
        <f t="shared" si="2"/>
        <v>0</v>
      </c>
      <c r="Z20" s="458">
        <f t="shared" si="3"/>
        <v>0</v>
      </c>
      <c r="AA20" s="869"/>
      <c r="AB20" s="281"/>
      <c r="AC20" s="11"/>
      <c r="AD20" s="213"/>
      <c r="AE20" s="213"/>
      <c r="AF20" s="803"/>
      <c r="AG20" s="802" t="s">
        <v>641</v>
      </c>
      <c r="AH20" s="806"/>
      <c r="AI20" s="808" t="s">
        <v>664</v>
      </c>
      <c r="AJ20" s="809"/>
      <c r="AK20" s="809"/>
      <c r="AL20" s="809"/>
      <c r="AM20" s="809"/>
      <c r="AN20" s="809"/>
      <c r="AO20" s="809"/>
      <c r="AP20" s="810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76" t="s">
        <v>514</v>
      </c>
      <c r="F21" s="876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1109</v>
      </c>
      <c r="P21" s="288" t="s">
        <v>1106</v>
      </c>
      <c r="Q21" s="44"/>
      <c r="R21" s="872" t="s">
        <v>417</v>
      </c>
      <c r="S21" s="790"/>
      <c r="T21" s="77">
        <v>0</v>
      </c>
      <c r="U21" s="873">
        <v>2</v>
      </c>
      <c r="V21" s="873"/>
      <c r="W21" s="873"/>
      <c r="X21" s="9"/>
      <c r="Y21" s="453">
        <f t="shared" si="2"/>
        <v>0</v>
      </c>
      <c r="Z21" s="458">
        <f t="shared" si="3"/>
        <v>0</v>
      </c>
      <c r="AA21" s="869"/>
      <c r="AB21" s="281"/>
      <c r="AC21" s="11"/>
      <c r="AD21" s="213"/>
      <c r="AE21" s="213"/>
      <c r="AF21" s="804"/>
      <c r="AG21" s="804"/>
      <c r="AH21" s="807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20" t="s">
        <v>428</v>
      </c>
      <c r="B22" s="463" t="s">
        <v>523</v>
      </c>
      <c r="C22" s="464">
        <v>0.1</v>
      </c>
      <c r="D22" s="464">
        <v>10000</v>
      </c>
      <c r="E22" s="875">
        <f t="shared" ref="E22:E23" si="4">IF(H22&gt;0,1.3*((H22*G22)^0.625)/((H22+G22)^0.25),G22)</f>
        <v>667.31463560602242</v>
      </c>
      <c r="F22" s="875"/>
      <c r="G22" s="464">
        <v>500</v>
      </c>
      <c r="H22" s="454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6">
        <f t="shared" ref="I22:I23" si="5">(IF(B22="E",C22,$H$18))*K22</f>
        <v>1</v>
      </c>
      <c r="J22" s="456">
        <f t="shared" ref="J22:J80" si="6">IF(E22&gt;0,+D22/(3600*PI()*(E22/100)^2/4)," ")*100</f>
        <v>7.9423005593471609</v>
      </c>
      <c r="K22" s="468">
        <v>10</v>
      </c>
      <c r="L22" s="456">
        <f t="shared" ref="L22:L23" si="7">SUM(2*H22,2*G22)</f>
        <v>2506.1603529630374</v>
      </c>
      <c r="M22" s="476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7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72" t="s">
        <v>418</v>
      </c>
      <c r="S22" s="790"/>
      <c r="T22" s="77">
        <v>0</v>
      </c>
      <c r="U22" s="873">
        <v>0.9</v>
      </c>
      <c r="V22" s="873"/>
      <c r="W22" s="873"/>
      <c r="X22" s="9"/>
      <c r="Y22" s="453">
        <f t="shared" si="2"/>
        <v>0</v>
      </c>
      <c r="Z22" s="458">
        <f t="shared" si="3"/>
        <v>0</v>
      </c>
      <c r="AA22" s="869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5" t="s">
        <v>523</v>
      </c>
      <c r="C23" s="464">
        <v>0.1</v>
      </c>
      <c r="D23" s="464">
        <v>1000</v>
      </c>
      <c r="E23" s="789">
        <f t="shared" si="4"/>
        <v>266.14885931675502</v>
      </c>
      <c r="F23" s="789"/>
      <c r="G23" s="464">
        <v>400</v>
      </c>
      <c r="H23" s="455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3">
        <f t="shared" si="5"/>
        <v>0</v>
      </c>
      <c r="J23" s="456">
        <f t="shared" si="6"/>
        <v>4.9929635950070104</v>
      </c>
      <c r="K23" s="77">
        <v>0</v>
      </c>
      <c r="L23" s="453">
        <f t="shared" si="7"/>
        <v>1112.5956742560918</v>
      </c>
      <c r="M23" s="476">
        <f t="shared" si="8"/>
        <v>22</v>
      </c>
      <c r="N23" s="477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72" t="s">
        <v>419</v>
      </c>
      <c r="S23" s="790"/>
      <c r="T23" s="77">
        <v>0</v>
      </c>
      <c r="U23" s="873">
        <v>5</v>
      </c>
      <c r="V23" s="873"/>
      <c r="W23" s="873"/>
      <c r="X23" s="9"/>
      <c r="Y23" s="453">
        <f t="shared" si="2"/>
        <v>0</v>
      </c>
      <c r="Z23" s="458">
        <f t="shared" si="3"/>
        <v>0</v>
      </c>
      <c r="AA23" s="869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5" t="s">
        <v>523</v>
      </c>
      <c r="C24" s="464">
        <v>0.1</v>
      </c>
      <c r="D24" s="464">
        <v>1000</v>
      </c>
      <c r="E24" s="789">
        <f>IF(H24&gt;0,1.3*((H24*G24)^0.625)/((H24+G24)^0.25),G24)</f>
        <v>266.14885931675502</v>
      </c>
      <c r="F24" s="789"/>
      <c r="G24" s="464">
        <v>400</v>
      </c>
      <c r="H24" s="455">
        <f t="shared" si="9"/>
        <v>156.29783712804587</v>
      </c>
      <c r="I24" s="453">
        <f>(IF(B24="E",C24,$H$18))*K24</f>
        <v>0</v>
      </c>
      <c r="J24" s="456">
        <f t="shared" si="6"/>
        <v>4.9929635950070104</v>
      </c>
      <c r="K24" s="77">
        <v>0</v>
      </c>
      <c r="L24" s="453">
        <f>SUM(2*H24,2*G24)</f>
        <v>1112.5956742560918</v>
      </c>
      <c r="M24" s="476">
        <f t="shared" si="8"/>
        <v>22</v>
      </c>
      <c r="N24" s="477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72" t="s">
        <v>420</v>
      </c>
      <c r="S24" s="790"/>
      <c r="T24" s="77">
        <v>0</v>
      </c>
      <c r="U24" s="873">
        <v>6</v>
      </c>
      <c r="V24" s="873"/>
      <c r="W24" s="873"/>
      <c r="X24" s="9"/>
      <c r="Y24" s="453">
        <f t="shared" si="2"/>
        <v>0</v>
      </c>
      <c r="Z24" s="458">
        <f t="shared" si="3"/>
        <v>0</v>
      </c>
      <c r="AA24" s="869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5" t="s">
        <v>523</v>
      </c>
      <c r="C25" s="464">
        <v>0.1</v>
      </c>
      <c r="D25" s="464">
        <v>1000</v>
      </c>
      <c r="E25" s="789">
        <f t="shared" ref="E25:E51" si="28">IF(H25&gt;0,1.3*((H25*G25)^0.625)/((H25+G25)^0.25),G25)</f>
        <v>266.14885931675502</v>
      </c>
      <c r="F25" s="789"/>
      <c r="G25" s="464">
        <v>400</v>
      </c>
      <c r="H25" s="455">
        <f t="shared" si="9"/>
        <v>156.29783712804587</v>
      </c>
      <c r="I25" s="453">
        <f t="shared" ref="I25:I51" si="29">(IF(B25="E",C25,$H$18))*K25</f>
        <v>0</v>
      </c>
      <c r="J25" s="456">
        <f t="shared" si="6"/>
        <v>4.9929635950070104</v>
      </c>
      <c r="K25" s="77">
        <v>0</v>
      </c>
      <c r="L25" s="453">
        <f t="shared" ref="L25:L51" si="30">SUM(2*H25,2*G25)</f>
        <v>1112.5956742560918</v>
      </c>
      <c r="M25" s="476">
        <f t="shared" si="8"/>
        <v>22</v>
      </c>
      <c r="N25" s="477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72" t="s">
        <v>684</v>
      </c>
      <c r="S25" s="790"/>
      <c r="T25" s="77">
        <v>0</v>
      </c>
      <c r="U25" s="873">
        <v>2.5</v>
      </c>
      <c r="V25" s="873"/>
      <c r="W25" s="873"/>
      <c r="X25" s="9"/>
      <c r="Y25" s="453">
        <f t="shared" si="2"/>
        <v>0</v>
      </c>
      <c r="Z25" s="458">
        <f t="shared" si="3"/>
        <v>0</v>
      </c>
      <c r="AA25" s="869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5" t="s">
        <v>523</v>
      </c>
      <c r="C26" s="464">
        <v>0.1</v>
      </c>
      <c r="D26" s="464">
        <v>1000</v>
      </c>
      <c r="E26" s="789">
        <f t="shared" si="28"/>
        <v>266.14885931675502</v>
      </c>
      <c r="F26" s="789"/>
      <c r="G26" s="464">
        <v>400</v>
      </c>
      <c r="H26" s="455">
        <f t="shared" si="9"/>
        <v>156.29783712804587</v>
      </c>
      <c r="I26" s="453">
        <f t="shared" si="29"/>
        <v>0</v>
      </c>
      <c r="J26" s="456">
        <f t="shared" si="6"/>
        <v>4.9929635950070104</v>
      </c>
      <c r="K26" s="77">
        <v>0</v>
      </c>
      <c r="L26" s="453">
        <f t="shared" si="30"/>
        <v>1112.5956742560918</v>
      </c>
      <c r="M26" s="476">
        <f t="shared" si="8"/>
        <v>22</v>
      </c>
      <c r="N26" s="477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70" t="s">
        <v>421</v>
      </c>
      <c r="S26" s="871"/>
      <c r="T26" s="871"/>
      <c r="U26" s="871"/>
      <c r="V26" s="871"/>
      <c r="W26" s="871"/>
      <c r="X26" s="9"/>
      <c r="Y26" s="461">
        <f>I83</f>
        <v>1</v>
      </c>
      <c r="Z26" s="461">
        <f>Y26*10</f>
        <v>10</v>
      </c>
      <c r="AA26" s="869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5" t="s">
        <v>523</v>
      </c>
      <c r="C27" s="464">
        <v>0.1</v>
      </c>
      <c r="D27" s="464">
        <v>1000</v>
      </c>
      <c r="E27" s="789">
        <f t="shared" si="28"/>
        <v>266.14885931675502</v>
      </c>
      <c r="F27" s="789"/>
      <c r="G27" s="464">
        <v>400</v>
      </c>
      <c r="H27" s="455">
        <f t="shared" si="9"/>
        <v>156.29783712804587</v>
      </c>
      <c r="I27" s="453">
        <f t="shared" si="29"/>
        <v>0</v>
      </c>
      <c r="J27" s="456">
        <f t="shared" si="6"/>
        <v>4.9929635950070104</v>
      </c>
      <c r="K27" s="77">
        <v>0</v>
      </c>
      <c r="L27" s="453">
        <f t="shared" si="30"/>
        <v>1112.5956742560918</v>
      </c>
      <c r="M27" s="476">
        <f t="shared" si="8"/>
        <v>22</v>
      </c>
      <c r="N27" s="477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791" t="s">
        <v>422</v>
      </c>
      <c r="S27" s="792"/>
      <c r="T27" s="792"/>
      <c r="U27" s="792"/>
      <c r="V27" s="792"/>
      <c r="W27" s="792"/>
      <c r="X27" s="218"/>
      <c r="Y27" s="462">
        <f>SUM(Y13:Y25)</f>
        <v>29.011111111111109</v>
      </c>
      <c r="Z27" s="461">
        <f>SUM(Z13:Z25)</f>
        <v>290.11111111111109</v>
      </c>
      <c r="AA27" s="869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5" t="s">
        <v>523</v>
      </c>
      <c r="C28" s="464">
        <v>0.1</v>
      </c>
      <c r="D28" s="464">
        <v>1000</v>
      </c>
      <c r="E28" s="789">
        <f t="shared" si="28"/>
        <v>266.14885931675502</v>
      </c>
      <c r="F28" s="789"/>
      <c r="G28" s="464">
        <v>400</v>
      </c>
      <c r="H28" s="455">
        <f t="shared" si="9"/>
        <v>156.29783712804587</v>
      </c>
      <c r="I28" s="453">
        <f t="shared" si="29"/>
        <v>0</v>
      </c>
      <c r="J28" s="456">
        <f t="shared" si="6"/>
        <v>4.9929635950070104</v>
      </c>
      <c r="K28" s="77">
        <v>0</v>
      </c>
      <c r="L28" s="453">
        <f t="shared" si="30"/>
        <v>1112.5956742560918</v>
      </c>
      <c r="M28" s="476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7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793" t="s">
        <v>831</v>
      </c>
      <c r="S28" s="794"/>
      <c r="T28" s="794"/>
      <c r="U28" s="794"/>
      <c r="V28" s="794"/>
      <c r="W28" s="794"/>
      <c r="X28" s="220"/>
      <c r="Y28" s="866">
        <f>SUM(Y26:Y27)</f>
        <v>30.011111111111109</v>
      </c>
      <c r="Z28" s="866">
        <f>SUM(Z26:Z27)</f>
        <v>300.11111111111109</v>
      </c>
      <c r="AA28" s="869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5" t="s">
        <v>523</v>
      </c>
      <c r="C29" s="464">
        <v>0.1</v>
      </c>
      <c r="D29" s="464">
        <v>1000</v>
      </c>
      <c r="E29" s="789">
        <f t="shared" si="28"/>
        <v>266.14885931675502</v>
      </c>
      <c r="F29" s="789"/>
      <c r="G29" s="464">
        <v>400</v>
      </c>
      <c r="H29" s="455">
        <f t="shared" si="9"/>
        <v>156.29783712804587</v>
      </c>
      <c r="I29" s="453">
        <f t="shared" si="29"/>
        <v>0</v>
      </c>
      <c r="J29" s="456">
        <f t="shared" si="6"/>
        <v>4.9929635950070104</v>
      </c>
      <c r="K29" s="77">
        <v>0</v>
      </c>
      <c r="L29" s="453">
        <f t="shared" si="30"/>
        <v>1112.5956742560918</v>
      </c>
      <c r="M29" s="476">
        <f t="shared" si="8"/>
        <v>22</v>
      </c>
      <c r="N29" s="477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795"/>
      <c r="S29" s="796"/>
      <c r="T29" s="796"/>
      <c r="U29" s="796"/>
      <c r="V29" s="796"/>
      <c r="W29" s="796"/>
      <c r="X29" s="272"/>
      <c r="Y29" s="867"/>
      <c r="Z29" s="867"/>
      <c r="AA29" s="869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5" t="s">
        <v>523</v>
      </c>
      <c r="C30" s="464">
        <v>0.1</v>
      </c>
      <c r="D30" s="464">
        <v>1000</v>
      </c>
      <c r="E30" s="789">
        <f t="shared" si="28"/>
        <v>266.14885931675502</v>
      </c>
      <c r="F30" s="789"/>
      <c r="G30" s="464">
        <v>400</v>
      </c>
      <c r="H30" s="455">
        <f t="shared" si="9"/>
        <v>156.29783712804587</v>
      </c>
      <c r="I30" s="453">
        <f t="shared" si="29"/>
        <v>0</v>
      </c>
      <c r="J30" s="456">
        <f t="shared" si="6"/>
        <v>4.9929635950070104</v>
      </c>
      <c r="K30" s="77">
        <v>0</v>
      </c>
      <c r="L30" s="453">
        <f t="shared" si="30"/>
        <v>1112.5956742560918</v>
      </c>
      <c r="M30" s="476">
        <f t="shared" si="8"/>
        <v>22</v>
      </c>
      <c r="N30" s="477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5" t="s">
        <v>523</v>
      </c>
      <c r="C31" s="464">
        <v>0.1</v>
      </c>
      <c r="D31" s="464">
        <v>1000</v>
      </c>
      <c r="E31" s="789">
        <f t="shared" si="28"/>
        <v>266.14885931675502</v>
      </c>
      <c r="F31" s="789"/>
      <c r="G31" s="464">
        <v>400</v>
      </c>
      <c r="H31" s="455">
        <f t="shared" si="9"/>
        <v>156.29783712804587</v>
      </c>
      <c r="I31" s="453">
        <f t="shared" si="29"/>
        <v>0</v>
      </c>
      <c r="J31" s="456">
        <f t="shared" si="6"/>
        <v>4.9929635950070104</v>
      </c>
      <c r="K31" s="77">
        <v>0</v>
      </c>
      <c r="L31" s="453">
        <f t="shared" si="30"/>
        <v>1112.5956742560918</v>
      </c>
      <c r="M31" s="476">
        <f t="shared" si="8"/>
        <v>22</v>
      </c>
      <c r="N31" s="477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5" t="s">
        <v>523</v>
      </c>
      <c r="C32" s="464">
        <v>0.1</v>
      </c>
      <c r="D32" s="464">
        <v>1000</v>
      </c>
      <c r="E32" s="789">
        <f t="shared" si="28"/>
        <v>266.14885931675502</v>
      </c>
      <c r="F32" s="789"/>
      <c r="G32" s="464">
        <v>400</v>
      </c>
      <c r="H32" s="455">
        <f t="shared" si="9"/>
        <v>156.29783712804587</v>
      </c>
      <c r="I32" s="453">
        <f t="shared" si="29"/>
        <v>0</v>
      </c>
      <c r="J32" s="456">
        <f t="shared" si="6"/>
        <v>4.9929635950070104</v>
      </c>
      <c r="K32" s="77">
        <v>0</v>
      </c>
      <c r="L32" s="453">
        <f t="shared" si="30"/>
        <v>1112.5956742560918</v>
      </c>
      <c r="M32" s="476">
        <f t="shared" si="8"/>
        <v>22</v>
      </c>
      <c r="N32" s="477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861" t="s">
        <v>431</v>
      </c>
      <c r="S32" s="862"/>
      <c r="T32" s="862"/>
      <c r="U32" s="862"/>
      <c r="V32" s="862"/>
      <c r="W32" s="862"/>
      <c r="X32" s="862"/>
      <c r="Y32" s="862"/>
      <c r="Z32" s="862"/>
      <c r="AA32" s="863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5" t="s">
        <v>523</v>
      </c>
      <c r="C33" s="464">
        <v>0.1</v>
      </c>
      <c r="D33" s="464">
        <v>1000</v>
      </c>
      <c r="E33" s="789">
        <f t="shared" si="28"/>
        <v>266.14885931675502</v>
      </c>
      <c r="F33" s="789"/>
      <c r="G33" s="464">
        <v>400</v>
      </c>
      <c r="H33" s="455">
        <f t="shared" si="9"/>
        <v>156.29783712804587</v>
      </c>
      <c r="I33" s="453">
        <f t="shared" si="29"/>
        <v>0</v>
      </c>
      <c r="J33" s="456">
        <f t="shared" si="6"/>
        <v>4.9929635950070104</v>
      </c>
      <c r="K33" s="77">
        <v>0</v>
      </c>
      <c r="L33" s="453">
        <f t="shared" si="30"/>
        <v>1112.5956742560918</v>
      </c>
      <c r="M33" s="476">
        <f t="shared" si="8"/>
        <v>22</v>
      </c>
      <c r="N33" s="477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864" t="s">
        <v>618</v>
      </c>
      <c r="S33" s="865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59" t="s">
        <v>436</v>
      </c>
      <c r="Z33" s="859"/>
      <c r="AA33" s="860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5" t="s">
        <v>523</v>
      </c>
      <c r="C34" s="464">
        <v>0.1</v>
      </c>
      <c r="D34" s="464">
        <v>1000</v>
      </c>
      <c r="E34" s="789">
        <f t="shared" si="28"/>
        <v>266.14885931675502</v>
      </c>
      <c r="F34" s="789"/>
      <c r="G34" s="464">
        <v>400</v>
      </c>
      <c r="H34" s="455">
        <f t="shared" si="9"/>
        <v>156.29783712804587</v>
      </c>
      <c r="I34" s="453">
        <f t="shared" si="29"/>
        <v>0</v>
      </c>
      <c r="J34" s="456">
        <f t="shared" si="6"/>
        <v>4.9929635950070104</v>
      </c>
      <c r="K34" s="77">
        <v>0</v>
      </c>
      <c r="L34" s="453">
        <f t="shared" si="30"/>
        <v>1112.5956742560918</v>
      </c>
      <c r="M34" s="476">
        <f t="shared" si="8"/>
        <v>22</v>
      </c>
      <c r="N34" s="477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797">
        <v>26</v>
      </c>
      <c r="S34" s="798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8">
        <v>1.2</v>
      </c>
      <c r="X34" s="212"/>
      <c r="Y34" s="856">
        <f>V34*W34</f>
        <v>0</v>
      </c>
      <c r="Z34" s="856"/>
      <c r="AA34" s="857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5" t="s">
        <v>523</v>
      </c>
      <c r="C35" s="464">
        <v>0.1</v>
      </c>
      <c r="D35" s="464">
        <v>1000</v>
      </c>
      <c r="E35" s="789">
        <f t="shared" si="28"/>
        <v>266.14885931675502</v>
      </c>
      <c r="F35" s="789"/>
      <c r="G35" s="464">
        <v>400</v>
      </c>
      <c r="H35" s="455">
        <f t="shared" si="9"/>
        <v>156.29783712804587</v>
      </c>
      <c r="I35" s="453">
        <f t="shared" si="29"/>
        <v>0</v>
      </c>
      <c r="J35" s="456">
        <f t="shared" si="6"/>
        <v>4.9929635950070104</v>
      </c>
      <c r="K35" s="77">
        <v>0</v>
      </c>
      <c r="L35" s="453">
        <f t="shared" si="30"/>
        <v>1112.5956742560918</v>
      </c>
      <c r="M35" s="476">
        <f t="shared" si="8"/>
        <v>22</v>
      </c>
      <c r="N35" s="477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797">
        <v>24</v>
      </c>
      <c r="S35" s="798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8">
        <v>1.2</v>
      </c>
      <c r="X35" s="212"/>
      <c r="Y35" s="856">
        <f t="shared" ref="Y35:Y39" si="31">V35*W35</f>
        <v>0</v>
      </c>
      <c r="Z35" s="856"/>
      <c r="AA35" s="857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5" t="s">
        <v>523</v>
      </c>
      <c r="C36" s="466">
        <v>1</v>
      </c>
      <c r="D36" s="464">
        <v>1000</v>
      </c>
      <c r="E36" s="789">
        <f t="shared" si="28"/>
        <v>155.89304620553781</v>
      </c>
      <c r="F36" s="789"/>
      <c r="G36" s="464">
        <v>400</v>
      </c>
      <c r="H36" s="455">
        <f t="shared" si="9"/>
        <v>61.641825889714397</v>
      </c>
      <c r="I36" s="453">
        <f t="shared" si="29"/>
        <v>0</v>
      </c>
      <c r="J36" s="456">
        <f t="shared" si="6"/>
        <v>14.553053673011956</v>
      </c>
      <c r="K36" s="77">
        <v>0</v>
      </c>
      <c r="L36" s="453">
        <f t="shared" si="30"/>
        <v>923.28365177942874</v>
      </c>
      <c r="M36" s="476">
        <f t="shared" si="8"/>
        <v>22</v>
      </c>
      <c r="N36" s="477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797">
        <v>22</v>
      </c>
      <c r="S36" s="798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8">
        <v>1.2</v>
      </c>
      <c r="X36" s="9"/>
      <c r="Y36" s="856">
        <f t="shared" si="31"/>
        <v>0</v>
      </c>
      <c r="Z36" s="856"/>
      <c r="AA36" s="857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5" t="s">
        <v>523</v>
      </c>
      <c r="C37" s="466">
        <v>2</v>
      </c>
      <c r="D37" s="464">
        <v>1000</v>
      </c>
      <c r="E37" s="789">
        <f t="shared" si="28"/>
        <v>132.09168337175294</v>
      </c>
      <c r="F37" s="789"/>
      <c r="G37" s="464">
        <v>400</v>
      </c>
      <c r="H37" s="455">
        <f t="shared" si="9"/>
        <v>46.668689864481919</v>
      </c>
      <c r="I37" s="453">
        <f t="shared" si="29"/>
        <v>0</v>
      </c>
      <c r="J37" s="456">
        <f t="shared" si="6"/>
        <v>20.270136262399127</v>
      </c>
      <c r="K37" s="77">
        <v>0</v>
      </c>
      <c r="L37" s="453">
        <f t="shared" si="30"/>
        <v>893.33737972896381</v>
      </c>
      <c r="M37" s="476">
        <f t="shared" si="8"/>
        <v>22</v>
      </c>
      <c r="N37" s="477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797">
        <v>20</v>
      </c>
      <c r="S37" s="798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8">
        <v>1.2</v>
      </c>
      <c r="X37" s="9"/>
      <c r="Y37" s="856">
        <f t="shared" si="31"/>
        <v>0</v>
      </c>
      <c r="Z37" s="856"/>
      <c r="AA37" s="857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5" t="s">
        <v>523</v>
      </c>
      <c r="C38" s="466">
        <v>3</v>
      </c>
      <c r="D38" s="464">
        <v>1000</v>
      </c>
      <c r="E38" s="789">
        <f t="shared" si="28"/>
        <v>119.80469905263213</v>
      </c>
      <c r="F38" s="789"/>
      <c r="G38" s="464">
        <v>400</v>
      </c>
      <c r="H38" s="455">
        <f t="shared" si="9"/>
        <v>39.667852901138808</v>
      </c>
      <c r="I38" s="453">
        <f t="shared" si="29"/>
        <v>0</v>
      </c>
      <c r="J38" s="456">
        <f t="shared" si="6"/>
        <v>24.641089875749692</v>
      </c>
      <c r="K38" s="77">
        <v>0</v>
      </c>
      <c r="L38" s="453">
        <f t="shared" si="30"/>
        <v>879.33570580227763</v>
      </c>
      <c r="M38" s="476">
        <f t="shared" si="8"/>
        <v>22</v>
      </c>
      <c r="N38" s="477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797">
        <v>18</v>
      </c>
      <c r="S38" s="798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8">
        <v>1.2</v>
      </c>
      <c r="X38" s="9"/>
      <c r="Y38" s="856">
        <f t="shared" si="31"/>
        <v>0</v>
      </c>
      <c r="Z38" s="856"/>
      <c r="AA38" s="857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5" t="s">
        <v>523</v>
      </c>
      <c r="C39" s="466">
        <v>4</v>
      </c>
      <c r="D39" s="464">
        <v>1000</v>
      </c>
      <c r="E39" s="789">
        <f t="shared" si="28"/>
        <v>111.75539215151441</v>
      </c>
      <c r="F39" s="789"/>
      <c r="G39" s="464">
        <v>400</v>
      </c>
      <c r="H39" s="455">
        <f t="shared" si="9"/>
        <v>35.35052373209092</v>
      </c>
      <c r="I39" s="453">
        <f t="shared" si="29"/>
        <v>0</v>
      </c>
      <c r="J39" s="456">
        <f t="shared" si="6"/>
        <v>28.318525995324773</v>
      </c>
      <c r="K39" s="77">
        <v>0</v>
      </c>
      <c r="L39" s="453">
        <f t="shared" si="30"/>
        <v>870.70104746418178</v>
      </c>
      <c r="M39" s="476">
        <f t="shared" si="8"/>
        <v>22</v>
      </c>
      <c r="N39" s="477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797">
        <v>16</v>
      </c>
      <c r="S39" s="798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8">
        <v>1.2</v>
      </c>
      <c r="X39" s="9"/>
      <c r="Y39" s="856">
        <f t="shared" si="31"/>
        <v>385.24696945747809</v>
      </c>
      <c r="Z39" s="856"/>
      <c r="AA39" s="857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5" t="s">
        <v>523</v>
      </c>
      <c r="C40" s="466">
        <v>5</v>
      </c>
      <c r="D40" s="464">
        <v>1000</v>
      </c>
      <c r="E40" s="789">
        <f t="shared" si="28"/>
        <v>105.87095644746678</v>
      </c>
      <c r="F40" s="789"/>
      <c r="G40" s="464">
        <v>400</v>
      </c>
      <c r="H40" s="455">
        <f t="shared" si="9"/>
        <v>32.329541724930039</v>
      </c>
      <c r="I40" s="453">
        <f t="shared" si="29"/>
        <v>0</v>
      </c>
      <c r="J40" s="456">
        <f t="shared" si="6"/>
        <v>31.553965384352551</v>
      </c>
      <c r="K40" s="77">
        <v>0</v>
      </c>
      <c r="L40" s="453">
        <f t="shared" si="30"/>
        <v>864.65908344986008</v>
      </c>
      <c r="M40" s="476">
        <f t="shared" si="8"/>
        <v>22</v>
      </c>
      <c r="N40" s="477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799" t="s">
        <v>440</v>
      </c>
      <c r="S40" s="799"/>
      <c r="T40" s="799"/>
      <c r="U40" s="799"/>
      <c r="V40" s="799"/>
      <c r="W40" s="799"/>
      <c r="X40" s="397"/>
      <c r="Y40" s="858">
        <f>SUM(Y34:AA39)</f>
        <v>385.24696945747809</v>
      </c>
      <c r="Z40" s="858"/>
      <c r="AA40" s="858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5" t="s">
        <v>524</v>
      </c>
      <c r="C41" s="466"/>
      <c r="D41" s="464">
        <v>1000</v>
      </c>
      <c r="E41" s="789">
        <f t="shared" si="28"/>
        <v>269.24694826892033</v>
      </c>
      <c r="F41" s="789"/>
      <c r="G41" s="464">
        <v>400</v>
      </c>
      <c r="H41" s="455">
        <f t="shared" si="9"/>
        <v>159.59589487869363</v>
      </c>
      <c r="I41" s="453">
        <f t="shared" si="29"/>
        <v>0</v>
      </c>
      <c r="J41" s="456">
        <f t="shared" si="6"/>
        <v>4.8787216286808741</v>
      </c>
      <c r="K41" s="77">
        <v>0</v>
      </c>
      <c r="L41" s="453">
        <f t="shared" si="30"/>
        <v>1119.1917897573871</v>
      </c>
      <c r="M41" s="476">
        <f t="shared" si="8"/>
        <v>22</v>
      </c>
      <c r="N41" s="477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800"/>
      <c r="S41" s="800"/>
      <c r="T41" s="800"/>
      <c r="U41" s="800"/>
      <c r="V41" s="800"/>
      <c r="W41" s="800"/>
      <c r="X41" s="44"/>
      <c r="Y41" s="858"/>
      <c r="Z41" s="858"/>
      <c r="AA41" s="858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5" t="s">
        <v>524</v>
      </c>
      <c r="C42" s="466"/>
      <c r="D42" s="464">
        <v>1000</v>
      </c>
      <c r="E42" s="789">
        <f t="shared" si="28"/>
        <v>269.24694826892033</v>
      </c>
      <c r="F42" s="789"/>
      <c r="G42" s="464">
        <v>400</v>
      </c>
      <c r="H42" s="455">
        <f t="shared" si="9"/>
        <v>159.59589487869363</v>
      </c>
      <c r="I42" s="453">
        <f t="shared" si="29"/>
        <v>0</v>
      </c>
      <c r="J42" s="456">
        <f t="shared" si="6"/>
        <v>4.8787216286808741</v>
      </c>
      <c r="K42" s="77">
        <v>0</v>
      </c>
      <c r="L42" s="453">
        <f t="shared" si="30"/>
        <v>1119.1917897573871</v>
      </c>
      <c r="M42" s="476">
        <f t="shared" si="8"/>
        <v>22</v>
      </c>
      <c r="N42" s="477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5" t="s">
        <v>524</v>
      </c>
      <c r="C43" s="466"/>
      <c r="D43" s="464">
        <v>1000</v>
      </c>
      <c r="E43" s="789">
        <f t="shared" si="28"/>
        <v>269.24694826892033</v>
      </c>
      <c r="F43" s="789"/>
      <c r="G43" s="464">
        <v>400</v>
      </c>
      <c r="H43" s="455">
        <f t="shared" si="9"/>
        <v>159.59589487869363</v>
      </c>
      <c r="I43" s="453">
        <f t="shared" si="29"/>
        <v>0</v>
      </c>
      <c r="J43" s="456">
        <f t="shared" si="6"/>
        <v>4.8787216286808741</v>
      </c>
      <c r="K43" s="77">
        <v>0</v>
      </c>
      <c r="L43" s="453">
        <f t="shared" si="30"/>
        <v>1119.1917897573871</v>
      </c>
      <c r="M43" s="476">
        <f t="shared" si="8"/>
        <v>22</v>
      </c>
      <c r="N43" s="477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51" t="s">
        <v>686</v>
      </c>
      <c r="S43" s="852"/>
      <c r="T43" s="852"/>
      <c r="U43" s="852"/>
      <c r="V43" s="852"/>
      <c r="W43" s="852"/>
      <c r="X43" s="852"/>
      <c r="Y43" s="852"/>
      <c r="Z43" s="852"/>
      <c r="AA43" s="853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5" t="s">
        <v>524</v>
      </c>
      <c r="C44" s="466"/>
      <c r="D44" s="464">
        <v>1000</v>
      </c>
      <c r="E44" s="789">
        <f t="shared" si="28"/>
        <v>269.24694826892033</v>
      </c>
      <c r="F44" s="789"/>
      <c r="G44" s="464">
        <v>400</v>
      </c>
      <c r="H44" s="455">
        <f t="shared" si="9"/>
        <v>159.59589487869363</v>
      </c>
      <c r="I44" s="453">
        <f t="shared" si="29"/>
        <v>0</v>
      </c>
      <c r="J44" s="456">
        <f t="shared" si="6"/>
        <v>4.8787216286808741</v>
      </c>
      <c r="K44" s="77">
        <v>0</v>
      </c>
      <c r="L44" s="453">
        <f t="shared" si="30"/>
        <v>1119.1917897573871</v>
      </c>
      <c r="M44" s="476">
        <f t="shared" si="8"/>
        <v>22</v>
      </c>
      <c r="N44" s="477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854" t="s">
        <v>140</v>
      </c>
      <c r="S44" s="855"/>
      <c r="T44" s="354" t="s">
        <v>691</v>
      </c>
      <c r="U44" s="331" t="s">
        <v>692</v>
      </c>
      <c r="V44" s="331" t="s">
        <v>693</v>
      </c>
      <c r="W44" s="355"/>
      <c r="X44" s="331"/>
      <c r="Y44" s="356" t="s">
        <v>436</v>
      </c>
      <c r="Z44" s="357"/>
      <c r="AA44" s="358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5" t="s">
        <v>524</v>
      </c>
      <c r="C45" s="466"/>
      <c r="D45" s="464">
        <v>1000</v>
      </c>
      <c r="E45" s="789">
        <f t="shared" si="28"/>
        <v>269.24694826892033</v>
      </c>
      <c r="F45" s="789"/>
      <c r="G45" s="464">
        <v>400</v>
      </c>
      <c r="H45" s="455">
        <f t="shared" si="9"/>
        <v>159.59589487869363</v>
      </c>
      <c r="I45" s="453">
        <f t="shared" si="29"/>
        <v>0</v>
      </c>
      <c r="J45" s="456">
        <f t="shared" si="6"/>
        <v>4.8787216286808741</v>
      </c>
      <c r="K45" s="77">
        <v>0</v>
      </c>
      <c r="L45" s="453">
        <f t="shared" si="30"/>
        <v>1119.1917897573871</v>
      </c>
      <c r="M45" s="476">
        <f t="shared" si="8"/>
        <v>22</v>
      </c>
      <c r="N45" s="477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790" t="s">
        <v>687</v>
      </c>
      <c r="S45" s="790"/>
      <c r="T45" s="9"/>
      <c r="U45" s="228"/>
      <c r="V45" s="228"/>
      <c r="W45" s="228"/>
      <c r="X45" s="212"/>
      <c r="Y45" s="849">
        <f>U45</f>
        <v>0</v>
      </c>
      <c r="Z45" s="849"/>
      <c r="AA45" s="849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5" t="s">
        <v>524</v>
      </c>
      <c r="C46" s="466"/>
      <c r="D46" s="464">
        <v>1000</v>
      </c>
      <c r="E46" s="789">
        <f t="shared" si="28"/>
        <v>269.24694826892033</v>
      </c>
      <c r="F46" s="789"/>
      <c r="G46" s="464">
        <v>400</v>
      </c>
      <c r="H46" s="455">
        <f t="shared" si="9"/>
        <v>159.59589487869363</v>
      </c>
      <c r="I46" s="453">
        <f t="shared" si="29"/>
        <v>0</v>
      </c>
      <c r="J46" s="456">
        <f t="shared" si="6"/>
        <v>4.8787216286808741</v>
      </c>
      <c r="K46" s="77">
        <v>0</v>
      </c>
      <c r="L46" s="453">
        <f t="shared" si="30"/>
        <v>1119.1917897573871</v>
      </c>
      <c r="M46" s="476">
        <f t="shared" si="8"/>
        <v>22</v>
      </c>
      <c r="N46" s="477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790"/>
      <c r="S46" s="790"/>
      <c r="T46" s="9"/>
      <c r="U46" s="228"/>
      <c r="V46" s="228"/>
      <c r="W46" s="228"/>
      <c r="X46" s="212"/>
      <c r="Y46" s="849">
        <f t="shared" ref="Y46:Y49" si="32">U46</f>
        <v>0</v>
      </c>
      <c r="Z46" s="849"/>
      <c r="AA46" s="849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5" t="s">
        <v>524</v>
      </c>
      <c r="C47" s="466"/>
      <c r="D47" s="464">
        <v>1000</v>
      </c>
      <c r="E47" s="789">
        <f t="shared" si="28"/>
        <v>269.24694826892033</v>
      </c>
      <c r="F47" s="789"/>
      <c r="G47" s="464">
        <v>400</v>
      </c>
      <c r="H47" s="455">
        <f t="shared" si="9"/>
        <v>159.59589487869363</v>
      </c>
      <c r="I47" s="453">
        <f t="shared" si="29"/>
        <v>0</v>
      </c>
      <c r="J47" s="456">
        <f t="shared" si="6"/>
        <v>4.8787216286808741</v>
      </c>
      <c r="K47" s="77">
        <v>0</v>
      </c>
      <c r="L47" s="453">
        <f t="shared" si="30"/>
        <v>1119.1917897573871</v>
      </c>
      <c r="M47" s="476">
        <f t="shared" si="8"/>
        <v>22</v>
      </c>
      <c r="N47" s="477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790"/>
      <c r="S47" s="790"/>
      <c r="T47" s="262"/>
      <c r="U47" s="228"/>
      <c r="V47" s="228"/>
      <c r="W47" s="228"/>
      <c r="X47" s="9"/>
      <c r="Y47" s="849">
        <f t="shared" si="32"/>
        <v>0</v>
      </c>
      <c r="Z47" s="849"/>
      <c r="AA47" s="849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5" t="s">
        <v>524</v>
      </c>
      <c r="C48" s="466"/>
      <c r="D48" s="464">
        <v>1000</v>
      </c>
      <c r="E48" s="789">
        <f t="shared" si="28"/>
        <v>269.24694826892033</v>
      </c>
      <c r="F48" s="789"/>
      <c r="G48" s="464">
        <v>400</v>
      </c>
      <c r="H48" s="455">
        <f t="shared" si="9"/>
        <v>159.59589487869363</v>
      </c>
      <c r="I48" s="453">
        <f t="shared" si="29"/>
        <v>0</v>
      </c>
      <c r="J48" s="456">
        <f t="shared" si="6"/>
        <v>4.8787216286808741</v>
      </c>
      <c r="K48" s="77">
        <v>0</v>
      </c>
      <c r="L48" s="453">
        <f t="shared" si="30"/>
        <v>1119.1917897573871</v>
      </c>
      <c r="M48" s="476">
        <f t="shared" si="8"/>
        <v>22</v>
      </c>
      <c r="N48" s="477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790" t="s">
        <v>688</v>
      </c>
      <c r="S48" s="790"/>
      <c r="T48" s="262"/>
      <c r="U48" s="228"/>
      <c r="V48" s="228"/>
      <c r="W48" s="228"/>
      <c r="X48" s="9"/>
      <c r="Y48" s="849">
        <f t="shared" si="32"/>
        <v>0</v>
      </c>
      <c r="Z48" s="849"/>
      <c r="AA48" s="849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30" t="s">
        <v>428</v>
      </c>
      <c r="B49" s="465" t="s">
        <v>524</v>
      </c>
      <c r="C49" s="467"/>
      <c r="D49" s="464">
        <v>1000</v>
      </c>
      <c r="E49" s="850">
        <f t="shared" si="28"/>
        <v>269.24694826892033</v>
      </c>
      <c r="F49" s="850"/>
      <c r="G49" s="464">
        <v>400</v>
      </c>
      <c r="H49" s="455">
        <f t="shared" si="9"/>
        <v>159.59589487869363</v>
      </c>
      <c r="I49" s="457">
        <f t="shared" si="29"/>
        <v>0</v>
      </c>
      <c r="J49" s="456">
        <f t="shared" si="6"/>
        <v>4.8787216286808741</v>
      </c>
      <c r="K49" s="77">
        <v>0</v>
      </c>
      <c r="L49" s="457">
        <f t="shared" si="30"/>
        <v>1119.1917897573871</v>
      </c>
      <c r="M49" s="476">
        <f t="shared" si="8"/>
        <v>22</v>
      </c>
      <c r="N49" s="477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790" t="s">
        <v>688</v>
      </c>
      <c r="S49" s="790"/>
      <c r="T49" s="262"/>
      <c r="U49" s="228"/>
      <c r="V49" s="228"/>
      <c r="W49" s="228"/>
      <c r="X49" s="9"/>
      <c r="Y49" s="849">
        <f t="shared" si="32"/>
        <v>0</v>
      </c>
      <c r="Z49" s="849"/>
      <c r="AA49" s="849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5" t="s">
        <v>524</v>
      </c>
      <c r="C50" s="466"/>
      <c r="D50" s="464">
        <v>1000</v>
      </c>
      <c r="E50" s="789">
        <f t="shared" si="28"/>
        <v>269.24694826892033</v>
      </c>
      <c r="F50" s="789"/>
      <c r="G50" s="464">
        <v>400</v>
      </c>
      <c r="H50" s="455">
        <f t="shared" si="9"/>
        <v>159.59589487869363</v>
      </c>
      <c r="I50" s="453">
        <f t="shared" si="29"/>
        <v>0</v>
      </c>
      <c r="J50" s="456">
        <f t="shared" si="6"/>
        <v>4.8787216286808741</v>
      </c>
      <c r="K50" s="77">
        <v>0</v>
      </c>
      <c r="L50" s="453">
        <f t="shared" si="30"/>
        <v>1119.1917897573871</v>
      </c>
      <c r="M50" s="476">
        <f t="shared" si="8"/>
        <v>22</v>
      </c>
      <c r="N50" s="477">
        <f t="shared" si="10"/>
        <v>0</v>
      </c>
      <c r="O50" s="271">
        <f t="shared" si="11"/>
        <v>0</v>
      </c>
      <c r="P50" s="271">
        <f t="shared" si="12"/>
        <v>0</v>
      </c>
      <c r="Q50" s="359"/>
      <c r="R50" s="790" t="s">
        <v>688</v>
      </c>
      <c r="S50" s="790"/>
      <c r="T50" s="329"/>
      <c r="U50" s="329"/>
      <c r="V50" s="329"/>
      <c r="W50" s="329"/>
      <c r="X50" s="229"/>
      <c r="Y50" s="332"/>
      <c r="Z50" s="332"/>
      <c r="AA50" s="332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5" t="s">
        <v>524</v>
      </c>
      <c r="C51" s="466"/>
      <c r="D51" s="464">
        <v>1000</v>
      </c>
      <c r="E51" s="789">
        <f t="shared" si="28"/>
        <v>269.24694826892033</v>
      </c>
      <c r="F51" s="789"/>
      <c r="G51" s="464">
        <v>400</v>
      </c>
      <c r="H51" s="455">
        <f t="shared" si="9"/>
        <v>159.59589487869363</v>
      </c>
      <c r="I51" s="453">
        <f t="shared" si="29"/>
        <v>0</v>
      </c>
      <c r="J51" s="456">
        <f t="shared" si="6"/>
        <v>4.8787216286808741</v>
      </c>
      <c r="K51" s="77">
        <v>0</v>
      </c>
      <c r="L51" s="453">
        <f t="shared" si="30"/>
        <v>1119.1917897573871</v>
      </c>
      <c r="M51" s="476">
        <f t="shared" si="8"/>
        <v>22</v>
      </c>
      <c r="N51" s="477">
        <f t="shared" si="10"/>
        <v>0</v>
      </c>
      <c r="O51" s="271">
        <f t="shared" si="11"/>
        <v>0</v>
      </c>
      <c r="P51" s="271">
        <f t="shared" si="12"/>
        <v>0</v>
      </c>
      <c r="Q51" s="348"/>
      <c r="R51" s="848"/>
      <c r="S51" s="848"/>
      <c r="T51" s="329"/>
      <c r="U51" s="329"/>
      <c r="V51" s="329"/>
      <c r="W51" s="329"/>
      <c r="X51" s="229"/>
      <c r="Y51" s="332"/>
      <c r="Z51" s="332"/>
      <c r="AA51" s="332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5" t="s">
        <v>524</v>
      </c>
      <c r="C52" s="466"/>
      <c r="D52" s="464">
        <v>1000</v>
      </c>
      <c r="E52" s="789">
        <f t="shared" ref="E52:E80" si="33">IF(H52&gt;0,1.3*((H52*G52)^0.625)/((H52+G52)^0.25),G52)</f>
        <v>269.24694826892033</v>
      </c>
      <c r="F52" s="789"/>
      <c r="G52" s="464">
        <v>400</v>
      </c>
      <c r="H52" s="455">
        <f t="shared" si="9"/>
        <v>159.59589487869363</v>
      </c>
      <c r="I52" s="453">
        <f t="shared" ref="I52:I80" si="34">(IF(B52="E",C52,$H$18))*K52</f>
        <v>0</v>
      </c>
      <c r="J52" s="456">
        <f t="shared" si="6"/>
        <v>4.8787216286808741</v>
      </c>
      <c r="K52" s="77">
        <v>0</v>
      </c>
      <c r="L52" s="453">
        <f t="shared" ref="L52:L80" si="35">SUM(2*H52,2*G52)</f>
        <v>1119.1917897573871</v>
      </c>
      <c r="M52" s="476">
        <f t="shared" si="8"/>
        <v>22</v>
      </c>
      <c r="N52" s="477">
        <f t="shared" si="10"/>
        <v>0</v>
      </c>
      <c r="O52" s="271">
        <f t="shared" si="11"/>
        <v>0</v>
      </c>
      <c r="P52" s="271">
        <f t="shared" si="12"/>
        <v>0</v>
      </c>
      <c r="Q52" s="348"/>
      <c r="R52" s="848"/>
      <c r="S52" s="848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5" t="s">
        <v>524</v>
      </c>
      <c r="C53" s="466"/>
      <c r="D53" s="464">
        <v>1000</v>
      </c>
      <c r="E53" s="789">
        <f t="shared" si="33"/>
        <v>269.24694826892033</v>
      </c>
      <c r="F53" s="789"/>
      <c r="G53" s="464">
        <v>400</v>
      </c>
      <c r="H53" s="455">
        <f t="shared" si="9"/>
        <v>159.59589487869363</v>
      </c>
      <c r="I53" s="453">
        <f t="shared" si="34"/>
        <v>0</v>
      </c>
      <c r="J53" s="456">
        <f t="shared" si="6"/>
        <v>4.8787216286808741</v>
      </c>
      <c r="K53" s="77">
        <v>0</v>
      </c>
      <c r="L53" s="453">
        <f t="shared" si="35"/>
        <v>1119.1917897573871</v>
      </c>
      <c r="M53" s="476">
        <f t="shared" si="8"/>
        <v>22</v>
      </c>
      <c r="N53" s="477">
        <f t="shared" si="10"/>
        <v>0</v>
      </c>
      <c r="O53" s="271">
        <f t="shared" si="11"/>
        <v>0</v>
      </c>
      <c r="P53" s="271">
        <f t="shared" si="12"/>
        <v>0</v>
      </c>
      <c r="Q53" s="349"/>
      <c r="R53" s="848"/>
      <c r="S53" s="848"/>
      <c r="T53" s="333"/>
      <c r="U53" s="333"/>
      <c r="V53" s="333"/>
      <c r="W53" s="333"/>
      <c r="X53" s="333"/>
      <c r="Y53" s="333"/>
      <c r="Z53" s="333"/>
      <c r="AA53" s="333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5" t="s">
        <v>524</v>
      </c>
      <c r="C54" s="466"/>
      <c r="D54" s="464">
        <v>1000</v>
      </c>
      <c r="E54" s="789">
        <f t="shared" si="33"/>
        <v>269.24694826892033</v>
      </c>
      <c r="F54" s="789"/>
      <c r="G54" s="464">
        <v>400</v>
      </c>
      <c r="H54" s="455">
        <f t="shared" si="9"/>
        <v>159.59589487869363</v>
      </c>
      <c r="I54" s="453">
        <f t="shared" si="34"/>
        <v>0</v>
      </c>
      <c r="J54" s="456">
        <f t="shared" si="6"/>
        <v>4.8787216286808741</v>
      </c>
      <c r="K54" s="77">
        <v>0</v>
      </c>
      <c r="L54" s="453">
        <f t="shared" si="35"/>
        <v>1119.1917897573871</v>
      </c>
      <c r="M54" s="476">
        <f t="shared" si="8"/>
        <v>22</v>
      </c>
      <c r="N54" s="477">
        <f t="shared" si="10"/>
        <v>0</v>
      </c>
      <c r="O54" s="271">
        <f t="shared" si="11"/>
        <v>0</v>
      </c>
      <c r="P54" s="271">
        <f t="shared" si="12"/>
        <v>0</v>
      </c>
      <c r="Q54" s="349"/>
      <c r="R54" s="848"/>
      <c r="S54" s="848"/>
      <c r="T54" s="333"/>
      <c r="U54" s="333"/>
      <c r="V54" s="333"/>
      <c r="W54" s="333"/>
      <c r="X54" s="333"/>
      <c r="Y54" s="333"/>
      <c r="Z54" s="333"/>
      <c r="AA54" s="333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5" t="s">
        <v>524</v>
      </c>
      <c r="C55" s="466"/>
      <c r="D55" s="464">
        <v>1000</v>
      </c>
      <c r="E55" s="789">
        <f t="shared" si="33"/>
        <v>269.24694826892033</v>
      </c>
      <c r="F55" s="789"/>
      <c r="G55" s="464">
        <v>400</v>
      </c>
      <c r="H55" s="455">
        <f t="shared" si="9"/>
        <v>159.59589487869363</v>
      </c>
      <c r="I55" s="453">
        <f t="shared" si="34"/>
        <v>0</v>
      </c>
      <c r="J55" s="456">
        <f t="shared" si="6"/>
        <v>4.8787216286808741</v>
      </c>
      <c r="K55" s="77">
        <v>0</v>
      </c>
      <c r="L55" s="453">
        <f t="shared" si="35"/>
        <v>1119.1917897573871</v>
      </c>
      <c r="M55" s="476">
        <f t="shared" si="8"/>
        <v>22</v>
      </c>
      <c r="N55" s="477">
        <f t="shared" si="10"/>
        <v>0</v>
      </c>
      <c r="O55" s="271">
        <f t="shared" si="11"/>
        <v>0</v>
      </c>
      <c r="P55" s="271">
        <f t="shared" si="12"/>
        <v>0</v>
      </c>
      <c r="Q55" s="349"/>
      <c r="R55" s="848"/>
      <c r="S55" s="848"/>
      <c r="T55" s="333"/>
      <c r="U55" s="333"/>
      <c r="V55" s="333"/>
      <c r="W55" s="333"/>
      <c r="X55" s="333"/>
      <c r="Y55" s="333"/>
      <c r="Z55" s="333"/>
      <c r="AA55" s="333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5" t="s">
        <v>524</v>
      </c>
      <c r="C56" s="466"/>
      <c r="D56" s="464">
        <v>1000</v>
      </c>
      <c r="E56" s="789">
        <f t="shared" si="33"/>
        <v>269.24694826892033</v>
      </c>
      <c r="F56" s="789"/>
      <c r="G56" s="464">
        <v>400</v>
      </c>
      <c r="H56" s="455">
        <f t="shared" si="9"/>
        <v>159.59589487869363</v>
      </c>
      <c r="I56" s="453">
        <f t="shared" si="34"/>
        <v>0</v>
      </c>
      <c r="J56" s="456">
        <f t="shared" si="6"/>
        <v>4.8787216286808741</v>
      </c>
      <c r="K56" s="77">
        <v>0</v>
      </c>
      <c r="L56" s="453">
        <f t="shared" si="35"/>
        <v>1119.1917897573871</v>
      </c>
      <c r="M56" s="476">
        <f t="shared" si="8"/>
        <v>22</v>
      </c>
      <c r="N56" s="477">
        <f t="shared" si="10"/>
        <v>0</v>
      </c>
      <c r="O56" s="271">
        <f t="shared" si="11"/>
        <v>0</v>
      </c>
      <c r="P56" s="271">
        <f t="shared" si="12"/>
        <v>0</v>
      </c>
      <c r="Q56" s="350"/>
      <c r="R56" s="848"/>
      <c r="S56" s="848"/>
      <c r="T56" s="228"/>
      <c r="U56" s="334"/>
      <c r="V56" s="335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5" t="s">
        <v>524</v>
      </c>
      <c r="C57" s="466"/>
      <c r="D57" s="464">
        <v>1000</v>
      </c>
      <c r="E57" s="789">
        <f t="shared" si="33"/>
        <v>269.24694826892033</v>
      </c>
      <c r="F57" s="789"/>
      <c r="G57" s="464">
        <v>400</v>
      </c>
      <c r="H57" s="455">
        <f t="shared" si="9"/>
        <v>159.59589487869363</v>
      </c>
      <c r="I57" s="453">
        <f t="shared" si="34"/>
        <v>0</v>
      </c>
      <c r="J57" s="456">
        <f t="shared" si="6"/>
        <v>4.8787216286808741</v>
      </c>
      <c r="K57" s="77">
        <v>0</v>
      </c>
      <c r="L57" s="453">
        <f t="shared" si="35"/>
        <v>1119.1917897573871</v>
      </c>
      <c r="M57" s="476">
        <f t="shared" si="8"/>
        <v>22</v>
      </c>
      <c r="N57" s="477">
        <f t="shared" si="10"/>
        <v>0</v>
      </c>
      <c r="O57" s="271">
        <f t="shared" si="11"/>
        <v>0</v>
      </c>
      <c r="P57" s="271">
        <f t="shared" si="12"/>
        <v>0</v>
      </c>
      <c r="Q57" s="351"/>
      <c r="R57" s="848"/>
      <c r="S57" s="848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5" t="s">
        <v>524</v>
      </c>
      <c r="C58" s="466"/>
      <c r="D58" s="464">
        <v>1000</v>
      </c>
      <c r="E58" s="789">
        <f t="shared" si="33"/>
        <v>269.24694826892033</v>
      </c>
      <c r="F58" s="789"/>
      <c r="G58" s="464">
        <v>400</v>
      </c>
      <c r="H58" s="455">
        <f t="shared" si="9"/>
        <v>159.59589487869363</v>
      </c>
      <c r="I58" s="453">
        <f t="shared" si="34"/>
        <v>0</v>
      </c>
      <c r="J58" s="456">
        <f t="shared" si="6"/>
        <v>4.8787216286808741</v>
      </c>
      <c r="K58" s="77">
        <v>0</v>
      </c>
      <c r="L58" s="453">
        <f t="shared" si="35"/>
        <v>1119.1917897573871</v>
      </c>
      <c r="M58" s="476">
        <f t="shared" si="8"/>
        <v>22</v>
      </c>
      <c r="N58" s="477">
        <f t="shared" si="10"/>
        <v>0</v>
      </c>
      <c r="O58" s="271">
        <f t="shared" si="11"/>
        <v>0</v>
      </c>
      <c r="P58" s="271">
        <f t="shared" si="12"/>
        <v>0</v>
      </c>
      <c r="Q58" s="352"/>
      <c r="R58" s="790" t="s">
        <v>688</v>
      </c>
      <c r="S58" s="790"/>
      <c r="T58" s="336"/>
      <c r="U58" s="336"/>
      <c r="V58" s="336"/>
      <c r="W58" s="336"/>
      <c r="X58" s="336"/>
      <c r="Y58" s="336"/>
      <c r="Z58" s="336"/>
      <c r="AA58" s="336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5" t="s">
        <v>524</v>
      </c>
      <c r="C59" s="466"/>
      <c r="D59" s="464">
        <v>1000</v>
      </c>
      <c r="E59" s="789">
        <f t="shared" si="33"/>
        <v>269.24694826892033</v>
      </c>
      <c r="F59" s="789"/>
      <c r="G59" s="464">
        <v>400</v>
      </c>
      <c r="H59" s="455">
        <f t="shared" si="9"/>
        <v>159.59589487869363</v>
      </c>
      <c r="I59" s="453">
        <f t="shared" si="34"/>
        <v>0</v>
      </c>
      <c r="J59" s="456">
        <f t="shared" si="6"/>
        <v>4.8787216286808741</v>
      </c>
      <c r="K59" s="77">
        <v>0</v>
      </c>
      <c r="L59" s="453">
        <f t="shared" si="35"/>
        <v>1119.1917897573871</v>
      </c>
      <c r="M59" s="476">
        <f t="shared" si="8"/>
        <v>22</v>
      </c>
      <c r="N59" s="477">
        <f t="shared" si="10"/>
        <v>0</v>
      </c>
      <c r="O59" s="271">
        <f t="shared" si="11"/>
        <v>0</v>
      </c>
      <c r="P59" s="271">
        <f t="shared" si="12"/>
        <v>0</v>
      </c>
      <c r="Q59" s="353"/>
      <c r="R59" s="790" t="s">
        <v>689</v>
      </c>
      <c r="S59" s="790"/>
      <c r="T59" s="337"/>
      <c r="U59" s="9"/>
      <c r="V59" s="9"/>
      <c r="W59" s="338"/>
      <c r="X59" s="338"/>
      <c r="Y59" s="338"/>
      <c r="Z59" s="338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5" t="s">
        <v>524</v>
      </c>
      <c r="C60" s="466"/>
      <c r="D60" s="464">
        <v>1000</v>
      </c>
      <c r="E60" s="789">
        <f t="shared" si="33"/>
        <v>269.24694826892033</v>
      </c>
      <c r="F60" s="789"/>
      <c r="G60" s="464">
        <v>400</v>
      </c>
      <c r="H60" s="455">
        <f t="shared" si="9"/>
        <v>159.59589487869363</v>
      </c>
      <c r="I60" s="453">
        <f t="shared" si="34"/>
        <v>0</v>
      </c>
      <c r="J60" s="456">
        <f t="shared" si="6"/>
        <v>4.8787216286808741</v>
      </c>
      <c r="K60" s="77">
        <v>0</v>
      </c>
      <c r="L60" s="453">
        <f t="shared" si="35"/>
        <v>1119.1917897573871</v>
      </c>
      <c r="M60" s="476">
        <f t="shared" si="8"/>
        <v>22</v>
      </c>
      <c r="N60" s="477">
        <f t="shared" si="10"/>
        <v>0</v>
      </c>
      <c r="O60" s="271">
        <f t="shared" si="11"/>
        <v>0</v>
      </c>
      <c r="P60" s="271">
        <f t="shared" si="12"/>
        <v>0</v>
      </c>
      <c r="Q60" s="353"/>
      <c r="R60" s="790" t="s">
        <v>690</v>
      </c>
      <c r="S60" s="790"/>
      <c r="T60" s="337"/>
      <c r="U60" s="9"/>
      <c r="V60" s="9"/>
      <c r="W60" s="338"/>
      <c r="X60" s="338"/>
      <c r="Y60" s="338"/>
      <c r="Z60" s="338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5" t="s">
        <v>524</v>
      </c>
      <c r="C61" s="466"/>
      <c r="D61" s="464">
        <v>1000</v>
      </c>
      <c r="E61" s="789">
        <f t="shared" si="33"/>
        <v>269.24694826892033</v>
      </c>
      <c r="F61" s="789"/>
      <c r="G61" s="464">
        <v>400</v>
      </c>
      <c r="H61" s="455">
        <f t="shared" si="9"/>
        <v>159.59589487869363</v>
      </c>
      <c r="I61" s="453">
        <f t="shared" si="34"/>
        <v>0</v>
      </c>
      <c r="J61" s="456">
        <f t="shared" si="6"/>
        <v>4.8787216286808741</v>
      </c>
      <c r="K61" s="77">
        <v>0</v>
      </c>
      <c r="L61" s="453">
        <f t="shared" si="35"/>
        <v>1119.1917897573871</v>
      </c>
      <c r="M61" s="476">
        <f t="shared" si="8"/>
        <v>22</v>
      </c>
      <c r="N61" s="477">
        <f t="shared" si="10"/>
        <v>0</v>
      </c>
      <c r="O61" s="271">
        <f t="shared" si="11"/>
        <v>0</v>
      </c>
      <c r="P61" s="271">
        <f t="shared" si="12"/>
        <v>0</v>
      </c>
      <c r="Q61" s="348"/>
      <c r="R61" s="9"/>
      <c r="S61" s="9"/>
      <c r="T61" s="9"/>
      <c r="U61" s="9"/>
      <c r="V61" s="9"/>
      <c r="W61" s="339"/>
      <c r="X61" s="339"/>
      <c r="Y61" s="339"/>
      <c r="Z61" s="339"/>
      <c r="AA61" s="310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5" t="s">
        <v>524</v>
      </c>
      <c r="C62" s="466"/>
      <c r="D62" s="464">
        <v>1000</v>
      </c>
      <c r="E62" s="789">
        <f t="shared" si="33"/>
        <v>269.24694826892033</v>
      </c>
      <c r="F62" s="789"/>
      <c r="G62" s="464">
        <v>400</v>
      </c>
      <c r="H62" s="455">
        <f t="shared" si="9"/>
        <v>159.59589487869363</v>
      </c>
      <c r="I62" s="453">
        <f t="shared" si="34"/>
        <v>0</v>
      </c>
      <c r="J62" s="456">
        <f t="shared" si="6"/>
        <v>4.8787216286808741</v>
      </c>
      <c r="K62" s="77">
        <v>0</v>
      </c>
      <c r="L62" s="453">
        <f t="shared" si="35"/>
        <v>1119.1917897573871</v>
      </c>
      <c r="M62" s="476">
        <f t="shared" si="8"/>
        <v>22</v>
      </c>
      <c r="N62" s="477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9"/>
      <c r="X62" s="339"/>
      <c r="Y62" s="339"/>
      <c r="Z62" s="339"/>
      <c r="AA62" s="310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5" t="s">
        <v>524</v>
      </c>
      <c r="C63" s="466"/>
      <c r="D63" s="464">
        <v>1000</v>
      </c>
      <c r="E63" s="789">
        <f t="shared" si="33"/>
        <v>269.24694826892033</v>
      </c>
      <c r="F63" s="789"/>
      <c r="G63" s="464">
        <v>400</v>
      </c>
      <c r="H63" s="455">
        <f t="shared" si="9"/>
        <v>159.59589487869363</v>
      </c>
      <c r="I63" s="453">
        <f t="shared" si="34"/>
        <v>0</v>
      </c>
      <c r="J63" s="456">
        <f t="shared" si="6"/>
        <v>4.8787216286808741</v>
      </c>
      <c r="K63" s="77">
        <v>0</v>
      </c>
      <c r="L63" s="453">
        <f t="shared" si="35"/>
        <v>1119.1917897573871</v>
      </c>
      <c r="M63" s="476">
        <f t="shared" si="8"/>
        <v>22</v>
      </c>
      <c r="N63" s="477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9"/>
      <c r="X63" s="339"/>
      <c r="Y63" s="339"/>
      <c r="Z63" s="339"/>
      <c r="AA63" s="310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5" t="s">
        <v>524</v>
      </c>
      <c r="C64" s="466"/>
      <c r="D64" s="464">
        <v>1000</v>
      </c>
      <c r="E64" s="789">
        <f t="shared" si="33"/>
        <v>269.24694826892033</v>
      </c>
      <c r="F64" s="789"/>
      <c r="G64" s="464">
        <v>400</v>
      </c>
      <c r="H64" s="455">
        <f t="shared" si="9"/>
        <v>159.59589487869363</v>
      </c>
      <c r="I64" s="453">
        <f t="shared" si="34"/>
        <v>0</v>
      </c>
      <c r="J64" s="456">
        <f t="shared" si="6"/>
        <v>4.8787216286808741</v>
      </c>
      <c r="K64" s="77">
        <v>0</v>
      </c>
      <c r="L64" s="453">
        <f t="shared" si="35"/>
        <v>1119.1917897573871</v>
      </c>
      <c r="M64" s="476">
        <f t="shared" si="8"/>
        <v>22</v>
      </c>
      <c r="N64" s="477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5" t="s">
        <v>524</v>
      </c>
      <c r="C65" s="466"/>
      <c r="D65" s="464">
        <v>1000</v>
      </c>
      <c r="E65" s="789">
        <f t="shared" si="33"/>
        <v>269.24694826892033</v>
      </c>
      <c r="F65" s="789"/>
      <c r="G65" s="464">
        <v>400</v>
      </c>
      <c r="H65" s="455">
        <f t="shared" si="9"/>
        <v>159.59589487869363</v>
      </c>
      <c r="I65" s="453">
        <f t="shared" si="34"/>
        <v>0</v>
      </c>
      <c r="J65" s="456">
        <f t="shared" si="6"/>
        <v>4.8787216286808741</v>
      </c>
      <c r="K65" s="77">
        <v>0</v>
      </c>
      <c r="L65" s="453">
        <f t="shared" si="35"/>
        <v>1119.1917897573871</v>
      </c>
      <c r="M65" s="476">
        <f t="shared" si="8"/>
        <v>22</v>
      </c>
      <c r="N65" s="477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5" t="s">
        <v>524</v>
      </c>
      <c r="C66" s="466"/>
      <c r="D66" s="464">
        <v>1000</v>
      </c>
      <c r="E66" s="789">
        <f t="shared" si="33"/>
        <v>269.24694826892033</v>
      </c>
      <c r="F66" s="789"/>
      <c r="G66" s="464">
        <v>400</v>
      </c>
      <c r="H66" s="455">
        <f t="shared" si="9"/>
        <v>159.59589487869363</v>
      </c>
      <c r="I66" s="453">
        <f t="shared" si="34"/>
        <v>0</v>
      </c>
      <c r="J66" s="456">
        <f t="shared" si="6"/>
        <v>4.8787216286808741</v>
      </c>
      <c r="K66" s="77">
        <v>0</v>
      </c>
      <c r="L66" s="453">
        <f t="shared" si="35"/>
        <v>1119.1917897573871</v>
      </c>
      <c r="M66" s="476">
        <f t="shared" si="8"/>
        <v>22</v>
      </c>
      <c r="N66" s="477">
        <f t="shared" si="10"/>
        <v>0</v>
      </c>
      <c r="O66" s="271">
        <f t="shared" si="11"/>
        <v>0</v>
      </c>
      <c r="P66" s="271">
        <f t="shared" si="12"/>
        <v>0</v>
      </c>
      <c r="Q66" s="344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5" t="s">
        <v>524</v>
      </c>
      <c r="C67" s="466"/>
      <c r="D67" s="464">
        <v>1000</v>
      </c>
      <c r="E67" s="789">
        <f t="shared" si="33"/>
        <v>269.24694826892033</v>
      </c>
      <c r="F67" s="789"/>
      <c r="G67" s="464">
        <v>400</v>
      </c>
      <c r="H67" s="455">
        <f t="shared" si="9"/>
        <v>159.59589487869363</v>
      </c>
      <c r="I67" s="453">
        <f t="shared" si="34"/>
        <v>0</v>
      </c>
      <c r="J67" s="456">
        <f t="shared" si="6"/>
        <v>4.8787216286808741</v>
      </c>
      <c r="K67" s="77">
        <v>0</v>
      </c>
      <c r="L67" s="453">
        <f t="shared" si="35"/>
        <v>1119.1917897573871</v>
      </c>
      <c r="M67" s="476">
        <f t="shared" si="8"/>
        <v>22</v>
      </c>
      <c r="N67" s="477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5" t="s">
        <v>524</v>
      </c>
      <c r="C68" s="466"/>
      <c r="D68" s="464">
        <v>1000</v>
      </c>
      <c r="E68" s="789">
        <f t="shared" si="33"/>
        <v>269.24694826892033</v>
      </c>
      <c r="F68" s="789"/>
      <c r="G68" s="464">
        <v>400</v>
      </c>
      <c r="H68" s="455">
        <f t="shared" si="9"/>
        <v>159.59589487869363</v>
      </c>
      <c r="I68" s="453">
        <f t="shared" si="34"/>
        <v>0</v>
      </c>
      <c r="J68" s="456">
        <f t="shared" si="6"/>
        <v>4.8787216286808741</v>
      </c>
      <c r="K68" s="77">
        <v>0</v>
      </c>
      <c r="L68" s="453">
        <f t="shared" si="35"/>
        <v>1119.1917897573871</v>
      </c>
      <c r="M68" s="476">
        <f t="shared" si="8"/>
        <v>22</v>
      </c>
      <c r="N68" s="477">
        <f t="shared" si="10"/>
        <v>0</v>
      </c>
      <c r="O68" s="271">
        <f t="shared" si="11"/>
        <v>0</v>
      </c>
      <c r="P68" s="271">
        <f t="shared" si="12"/>
        <v>0</v>
      </c>
      <c r="Q68" s="34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5" t="s">
        <v>524</v>
      </c>
      <c r="C69" s="466"/>
      <c r="D69" s="464">
        <v>1000</v>
      </c>
      <c r="E69" s="789">
        <f t="shared" si="33"/>
        <v>269.24694826892033</v>
      </c>
      <c r="F69" s="789"/>
      <c r="G69" s="464">
        <v>400</v>
      </c>
      <c r="H69" s="455">
        <f t="shared" si="9"/>
        <v>159.59589487869363</v>
      </c>
      <c r="I69" s="453">
        <f t="shared" si="34"/>
        <v>0</v>
      </c>
      <c r="J69" s="456">
        <f t="shared" si="6"/>
        <v>4.8787216286808741</v>
      </c>
      <c r="K69" s="77">
        <v>0</v>
      </c>
      <c r="L69" s="453">
        <f t="shared" si="35"/>
        <v>1119.1917897573871</v>
      </c>
      <c r="M69" s="476">
        <f t="shared" si="8"/>
        <v>22</v>
      </c>
      <c r="N69" s="477">
        <f t="shared" si="10"/>
        <v>0</v>
      </c>
      <c r="O69" s="271">
        <f t="shared" si="11"/>
        <v>0</v>
      </c>
      <c r="P69" s="271">
        <f t="shared" si="12"/>
        <v>0</v>
      </c>
      <c r="Q69" s="343"/>
      <c r="R69" s="333"/>
      <c r="S69" s="333"/>
      <c r="T69" s="333"/>
      <c r="U69" s="333"/>
      <c r="V69" s="333"/>
      <c r="W69" s="333"/>
      <c r="X69" s="333"/>
      <c r="Y69" s="333"/>
      <c r="Z69" s="333"/>
      <c r="AA69" s="333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5" t="s">
        <v>524</v>
      </c>
      <c r="C70" s="466"/>
      <c r="D70" s="464">
        <v>1000</v>
      </c>
      <c r="E70" s="789">
        <f t="shared" si="33"/>
        <v>269.24694826892033</v>
      </c>
      <c r="F70" s="789"/>
      <c r="G70" s="464">
        <v>400</v>
      </c>
      <c r="H70" s="455">
        <f t="shared" si="9"/>
        <v>159.59589487869363</v>
      </c>
      <c r="I70" s="453">
        <f t="shared" si="34"/>
        <v>0</v>
      </c>
      <c r="J70" s="456">
        <f t="shared" si="6"/>
        <v>4.8787216286808741</v>
      </c>
      <c r="K70" s="77">
        <v>0</v>
      </c>
      <c r="L70" s="453">
        <f t="shared" si="35"/>
        <v>1119.1917897573871</v>
      </c>
      <c r="M70" s="476">
        <f t="shared" si="8"/>
        <v>22</v>
      </c>
      <c r="N70" s="477">
        <f t="shared" si="10"/>
        <v>0</v>
      </c>
      <c r="O70" s="271">
        <f t="shared" si="11"/>
        <v>0</v>
      </c>
      <c r="P70" s="271">
        <f t="shared" si="12"/>
        <v>0</v>
      </c>
      <c r="Q70" s="34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5" t="s">
        <v>524</v>
      </c>
      <c r="C71" s="466"/>
      <c r="D71" s="466">
        <v>1000</v>
      </c>
      <c r="E71" s="789">
        <f t="shared" si="33"/>
        <v>269.24694826892033</v>
      </c>
      <c r="F71" s="789"/>
      <c r="G71" s="464">
        <v>400</v>
      </c>
      <c r="H71" s="455">
        <f t="shared" si="9"/>
        <v>159.59589487869363</v>
      </c>
      <c r="I71" s="453">
        <f t="shared" si="34"/>
        <v>0</v>
      </c>
      <c r="J71" s="456">
        <f t="shared" si="6"/>
        <v>4.8787216286808741</v>
      </c>
      <c r="K71" s="77">
        <v>0</v>
      </c>
      <c r="L71" s="453">
        <f t="shared" si="35"/>
        <v>1119.1917897573871</v>
      </c>
      <c r="M71" s="476">
        <f t="shared" si="8"/>
        <v>22</v>
      </c>
      <c r="N71" s="477">
        <f t="shared" si="10"/>
        <v>0</v>
      </c>
      <c r="O71" s="271">
        <f t="shared" si="11"/>
        <v>0</v>
      </c>
      <c r="P71" s="271">
        <f t="shared" si="12"/>
        <v>0</v>
      </c>
      <c r="Q71" s="345"/>
      <c r="R71" s="340"/>
      <c r="S71" s="335"/>
      <c r="T71" s="335"/>
      <c r="U71" s="334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5" t="s">
        <v>524</v>
      </c>
      <c r="C72" s="466"/>
      <c r="D72" s="466">
        <v>1000</v>
      </c>
      <c r="E72" s="789">
        <f t="shared" si="33"/>
        <v>269.24694826892033</v>
      </c>
      <c r="F72" s="789"/>
      <c r="G72" s="464">
        <v>400</v>
      </c>
      <c r="H72" s="455">
        <f t="shared" si="9"/>
        <v>159.59589487869363</v>
      </c>
      <c r="I72" s="453">
        <f t="shared" si="34"/>
        <v>0</v>
      </c>
      <c r="J72" s="456">
        <f t="shared" si="6"/>
        <v>4.8787216286808741</v>
      </c>
      <c r="K72" s="77">
        <v>0</v>
      </c>
      <c r="L72" s="453">
        <f t="shared" si="35"/>
        <v>1119.1917897573871</v>
      </c>
      <c r="M72" s="476">
        <f t="shared" si="8"/>
        <v>22</v>
      </c>
      <c r="N72" s="477">
        <f t="shared" si="10"/>
        <v>0</v>
      </c>
      <c r="O72" s="271">
        <f t="shared" si="11"/>
        <v>0</v>
      </c>
      <c r="P72" s="271">
        <f t="shared" si="12"/>
        <v>0</v>
      </c>
      <c r="Q72" s="346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5" t="s">
        <v>524</v>
      </c>
      <c r="C73" s="466"/>
      <c r="D73" s="466">
        <v>1000</v>
      </c>
      <c r="E73" s="789">
        <f t="shared" si="33"/>
        <v>269.24694826892033</v>
      </c>
      <c r="F73" s="789"/>
      <c r="G73" s="464">
        <v>400</v>
      </c>
      <c r="H73" s="455">
        <f t="shared" si="9"/>
        <v>159.59589487869363</v>
      </c>
      <c r="I73" s="453">
        <f t="shared" si="34"/>
        <v>0</v>
      </c>
      <c r="J73" s="456">
        <f t="shared" si="6"/>
        <v>4.8787216286808741</v>
      </c>
      <c r="K73" s="77">
        <v>0</v>
      </c>
      <c r="L73" s="453">
        <f t="shared" si="35"/>
        <v>1119.1917897573871</v>
      </c>
      <c r="M73" s="476">
        <f t="shared" si="8"/>
        <v>22</v>
      </c>
      <c r="N73" s="477">
        <f t="shared" si="10"/>
        <v>0</v>
      </c>
      <c r="O73" s="271">
        <f t="shared" si="11"/>
        <v>0</v>
      </c>
      <c r="P73" s="271">
        <f t="shared" si="12"/>
        <v>0</v>
      </c>
      <c r="Q73" s="347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5" t="s">
        <v>524</v>
      </c>
      <c r="C74" s="466"/>
      <c r="D74" s="466">
        <v>1000</v>
      </c>
      <c r="E74" s="789">
        <f t="shared" si="33"/>
        <v>269.24694826892033</v>
      </c>
      <c r="F74" s="789"/>
      <c r="G74" s="464">
        <v>400</v>
      </c>
      <c r="H74" s="455">
        <f t="shared" si="9"/>
        <v>159.59589487869363</v>
      </c>
      <c r="I74" s="453">
        <f t="shared" si="34"/>
        <v>0</v>
      </c>
      <c r="J74" s="456">
        <f t="shared" si="6"/>
        <v>4.8787216286808741</v>
      </c>
      <c r="K74" s="77">
        <v>0</v>
      </c>
      <c r="L74" s="453">
        <f t="shared" si="35"/>
        <v>1119.1917897573871</v>
      </c>
      <c r="M74" s="476">
        <f t="shared" si="8"/>
        <v>22</v>
      </c>
      <c r="N74" s="477">
        <f t="shared" si="10"/>
        <v>0</v>
      </c>
      <c r="O74" s="271">
        <f t="shared" si="11"/>
        <v>0</v>
      </c>
      <c r="P74" s="271">
        <f t="shared" si="12"/>
        <v>0</v>
      </c>
      <c r="Q74" s="308"/>
      <c r="R74" s="96"/>
      <c r="S74" s="9"/>
      <c r="T74" s="9"/>
      <c r="U74" s="9"/>
      <c r="V74" s="338"/>
      <c r="W74" s="338"/>
      <c r="X74" s="338"/>
      <c r="Y74" s="338"/>
      <c r="Z74" s="342"/>
      <c r="AA74" s="342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5" t="s">
        <v>524</v>
      </c>
      <c r="C75" s="466"/>
      <c r="D75" s="466">
        <v>1000</v>
      </c>
      <c r="E75" s="789">
        <f t="shared" si="33"/>
        <v>269.24694826892033</v>
      </c>
      <c r="F75" s="789"/>
      <c r="G75" s="464">
        <v>400</v>
      </c>
      <c r="H75" s="455">
        <f t="shared" si="9"/>
        <v>159.59589487869363</v>
      </c>
      <c r="I75" s="453">
        <f t="shared" si="34"/>
        <v>0</v>
      </c>
      <c r="J75" s="456">
        <f t="shared" si="6"/>
        <v>4.8787216286808741</v>
      </c>
      <c r="K75" s="77">
        <v>0</v>
      </c>
      <c r="L75" s="453">
        <f t="shared" si="35"/>
        <v>1119.1917897573871</v>
      </c>
      <c r="M75" s="476">
        <f t="shared" si="8"/>
        <v>22</v>
      </c>
      <c r="N75" s="477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8"/>
      <c r="W75" s="338"/>
      <c r="X75" s="338"/>
      <c r="Y75" s="338"/>
      <c r="Z75" s="342"/>
      <c r="AA75" s="342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5" t="s">
        <v>524</v>
      </c>
      <c r="C76" s="466"/>
      <c r="D76" s="466">
        <v>1000</v>
      </c>
      <c r="E76" s="789">
        <f t="shared" si="33"/>
        <v>269.24694826892033</v>
      </c>
      <c r="F76" s="789"/>
      <c r="G76" s="464">
        <v>400</v>
      </c>
      <c r="H76" s="455">
        <f t="shared" si="9"/>
        <v>159.59589487869363</v>
      </c>
      <c r="I76" s="453">
        <f t="shared" si="34"/>
        <v>0</v>
      </c>
      <c r="J76" s="456">
        <f t="shared" si="6"/>
        <v>4.8787216286808741</v>
      </c>
      <c r="K76" s="77">
        <v>0</v>
      </c>
      <c r="L76" s="453">
        <f t="shared" si="35"/>
        <v>1119.1917897573871</v>
      </c>
      <c r="M76" s="476">
        <f t="shared" si="8"/>
        <v>22</v>
      </c>
      <c r="N76" s="477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5" t="s">
        <v>524</v>
      </c>
      <c r="C77" s="466"/>
      <c r="D77" s="466">
        <v>1000</v>
      </c>
      <c r="E77" s="789">
        <f t="shared" si="33"/>
        <v>269.24694826892033</v>
      </c>
      <c r="F77" s="789"/>
      <c r="G77" s="464">
        <v>400</v>
      </c>
      <c r="H77" s="455">
        <f t="shared" si="9"/>
        <v>159.59589487869363</v>
      </c>
      <c r="I77" s="453">
        <f t="shared" si="34"/>
        <v>0</v>
      </c>
      <c r="J77" s="456">
        <f t="shared" si="6"/>
        <v>4.8787216286808741</v>
      </c>
      <c r="K77" s="77">
        <v>0</v>
      </c>
      <c r="L77" s="453">
        <f t="shared" si="35"/>
        <v>1119.1917897573871</v>
      </c>
      <c r="M77" s="476">
        <f t="shared" si="8"/>
        <v>22</v>
      </c>
      <c r="N77" s="477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5" t="s">
        <v>524</v>
      </c>
      <c r="C78" s="466"/>
      <c r="D78" s="466">
        <v>1000</v>
      </c>
      <c r="E78" s="789">
        <f t="shared" si="33"/>
        <v>269.24694826892033</v>
      </c>
      <c r="F78" s="789"/>
      <c r="G78" s="464">
        <v>400</v>
      </c>
      <c r="H78" s="455">
        <f t="shared" si="9"/>
        <v>159.59589487869363</v>
      </c>
      <c r="I78" s="453">
        <f t="shared" si="34"/>
        <v>0</v>
      </c>
      <c r="J78" s="456">
        <f t="shared" si="6"/>
        <v>4.8787216286808741</v>
      </c>
      <c r="K78" s="77">
        <v>0</v>
      </c>
      <c r="L78" s="453">
        <f t="shared" si="35"/>
        <v>1119.1917897573871</v>
      </c>
      <c r="M78" s="476">
        <f t="shared" si="8"/>
        <v>22</v>
      </c>
      <c r="N78" s="477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5" t="s">
        <v>524</v>
      </c>
      <c r="C79" s="466"/>
      <c r="D79" s="466">
        <v>1000</v>
      </c>
      <c r="E79" s="789">
        <f t="shared" si="33"/>
        <v>260.34147436675869</v>
      </c>
      <c r="F79" s="789"/>
      <c r="G79" s="464">
        <v>500</v>
      </c>
      <c r="H79" s="455">
        <f t="shared" si="9"/>
        <v>126.58492378524669</v>
      </c>
      <c r="I79" s="453">
        <f t="shared" si="34"/>
        <v>0</v>
      </c>
      <c r="J79" s="456">
        <f t="shared" si="6"/>
        <v>5.2182021311930828</v>
      </c>
      <c r="K79" s="77">
        <v>0</v>
      </c>
      <c r="L79" s="453">
        <f t="shared" si="35"/>
        <v>1253.1698475704934</v>
      </c>
      <c r="M79" s="476">
        <f t="shared" si="8"/>
        <v>20</v>
      </c>
      <c r="N79" s="477">
        <f t="shared" si="10"/>
        <v>0</v>
      </c>
      <c r="O79" s="271">
        <f t="shared" si="11"/>
        <v>0</v>
      </c>
      <c r="P79" s="271">
        <f t="shared" si="12"/>
        <v>0</v>
      </c>
      <c r="Q79" s="34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5" t="s">
        <v>524</v>
      </c>
      <c r="C80" s="466"/>
      <c r="D80" s="466">
        <v>1000</v>
      </c>
      <c r="E80" s="789">
        <f t="shared" si="33"/>
        <v>260.34147436675869</v>
      </c>
      <c r="F80" s="789"/>
      <c r="G80" s="464">
        <v>500</v>
      </c>
      <c r="H80" s="455">
        <f t="shared" si="9"/>
        <v>126.58492378524669</v>
      </c>
      <c r="I80" s="453">
        <f t="shared" si="34"/>
        <v>0</v>
      </c>
      <c r="J80" s="456">
        <f t="shared" si="6"/>
        <v>5.2182021311930828</v>
      </c>
      <c r="K80" s="77">
        <v>0</v>
      </c>
      <c r="L80" s="453">
        <f t="shared" si="35"/>
        <v>1253.1698475704934</v>
      </c>
      <c r="M80" s="476">
        <f t="shared" si="8"/>
        <v>20</v>
      </c>
      <c r="N80" s="477">
        <f t="shared" si="10"/>
        <v>0</v>
      </c>
      <c r="O80" s="271">
        <f t="shared" si="11"/>
        <v>0</v>
      </c>
      <c r="P80" s="271">
        <f t="shared" si="12"/>
        <v>0</v>
      </c>
      <c r="Q80" s="34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844" t="s">
        <v>470</v>
      </c>
      <c r="B81" s="845"/>
      <c r="C81" s="845"/>
      <c r="D81" s="845"/>
      <c r="E81" s="845"/>
      <c r="F81" s="845"/>
      <c r="G81" s="845"/>
      <c r="H81" s="845"/>
      <c r="I81" s="845"/>
      <c r="J81" s="845"/>
      <c r="K81" s="845"/>
      <c r="L81" s="846"/>
      <c r="M81" s="282"/>
      <c r="N81" s="282"/>
      <c r="O81" s="282"/>
      <c r="P81" s="282"/>
      <c r="Q81" s="282"/>
    </row>
    <row r="82" spans="1:49" ht="15" customHeight="1" x14ac:dyDescent="0.3">
      <c r="A82" s="840" t="s">
        <v>534</v>
      </c>
      <c r="B82" s="841"/>
      <c r="C82" s="266" t="s">
        <v>526</v>
      </c>
      <c r="D82" s="266" t="s">
        <v>527</v>
      </c>
      <c r="E82" s="847" t="s">
        <v>528</v>
      </c>
      <c r="F82" s="847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842"/>
      <c r="B83" s="843"/>
      <c r="C83" s="268">
        <f>LARGE(C22:C80,1)</f>
        <v>5</v>
      </c>
      <c r="D83" s="256">
        <f>LARGE(D22:D51,1)</f>
        <v>10000</v>
      </c>
      <c r="E83" s="839">
        <f>MEDIAN(E22:F80)</f>
        <v>269.24694826892033</v>
      </c>
      <c r="F83" s="839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833" t="s">
        <v>441</v>
      </c>
      <c r="AE95" s="833"/>
      <c r="AF95" s="833"/>
      <c r="AG95" s="833"/>
      <c r="AH95" s="833"/>
      <c r="AI95" s="833"/>
      <c r="AJ95" s="833"/>
      <c r="AK95" s="833"/>
      <c r="AL95" s="833"/>
      <c r="AM95" s="833"/>
      <c r="AN95" s="833"/>
      <c r="AO95" s="833"/>
      <c r="AP95" s="833"/>
      <c r="AQ95" s="833"/>
      <c r="AR95" s="833"/>
      <c r="AS95" s="833"/>
      <c r="AT95" s="833"/>
      <c r="AU95" s="833"/>
      <c r="AV95" s="833"/>
      <c r="AW95" s="833"/>
    </row>
    <row r="96" spans="1:49" x14ac:dyDescent="0.3">
      <c r="AD96" s="833"/>
      <c r="AE96" s="833"/>
      <c r="AF96" s="833"/>
      <c r="AG96" s="833"/>
      <c r="AH96" s="833"/>
      <c r="AI96" s="833"/>
      <c r="AJ96" s="833"/>
      <c r="AK96" s="833"/>
      <c r="AL96" s="833"/>
      <c r="AM96" s="833"/>
      <c r="AN96" s="833"/>
      <c r="AO96" s="833"/>
      <c r="AP96" s="833"/>
      <c r="AQ96" s="833"/>
      <c r="AR96" s="833"/>
      <c r="AS96" s="833"/>
      <c r="AT96" s="833"/>
      <c r="AU96" s="833"/>
      <c r="AV96" s="833"/>
      <c r="AW96" s="833"/>
    </row>
    <row r="97" spans="30:49" x14ac:dyDescent="0.3">
      <c r="AD97" s="826" t="s">
        <v>409</v>
      </c>
      <c r="AE97" s="826"/>
      <c r="AF97" s="826"/>
      <c r="AG97" s="826"/>
      <c r="AH97" s="826"/>
      <c r="AI97" s="826"/>
      <c r="AJ97" s="826"/>
      <c r="AK97" s="826"/>
      <c r="AL97" s="826"/>
      <c r="AM97" s="826"/>
      <c r="AN97" s="826"/>
      <c r="AO97" s="826"/>
      <c r="AP97" s="826"/>
      <c r="AQ97" s="826"/>
      <c r="AR97" s="826"/>
      <c r="AS97" s="826"/>
      <c r="AT97" s="826"/>
      <c r="AU97" s="826"/>
      <c r="AV97" s="826"/>
      <c r="AW97" s="826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833" t="s">
        <v>441</v>
      </c>
      <c r="AE112" s="833"/>
      <c r="AF112" s="833"/>
      <c r="AG112" s="833"/>
      <c r="AH112" s="833"/>
      <c r="AI112" s="833"/>
      <c r="AJ112" s="833"/>
      <c r="AK112" s="833"/>
      <c r="AL112" s="833"/>
      <c r="AM112" s="833"/>
      <c r="AN112" s="833"/>
      <c r="AO112" s="833"/>
      <c r="AP112" s="833"/>
      <c r="AQ112" s="833"/>
      <c r="AR112" s="833"/>
      <c r="AS112" s="833"/>
      <c r="AT112" s="833"/>
      <c r="AU112" s="833"/>
      <c r="AV112" s="833"/>
      <c r="AW112" s="833"/>
    </row>
    <row r="113" spans="30:49" x14ac:dyDescent="0.3">
      <c r="AD113" s="833"/>
      <c r="AE113" s="833"/>
      <c r="AF113" s="833"/>
      <c r="AG113" s="833"/>
      <c r="AH113" s="833"/>
      <c r="AI113" s="833"/>
      <c r="AJ113" s="833"/>
      <c r="AK113" s="833"/>
      <c r="AL113" s="833"/>
      <c r="AM113" s="833"/>
      <c r="AN113" s="833"/>
      <c r="AO113" s="833"/>
      <c r="AP113" s="833"/>
      <c r="AQ113" s="833"/>
      <c r="AR113" s="833"/>
      <c r="AS113" s="833"/>
      <c r="AT113" s="833"/>
      <c r="AU113" s="833"/>
      <c r="AV113" s="833"/>
      <c r="AW113" s="833"/>
    </row>
    <row r="114" spans="30:49" x14ac:dyDescent="0.3">
      <c r="AD114" s="826" t="s">
        <v>574</v>
      </c>
      <c r="AE114" s="826"/>
      <c r="AF114" s="826"/>
      <c r="AG114" s="826"/>
      <c r="AH114" s="826"/>
      <c r="AI114" s="826"/>
      <c r="AJ114" s="826"/>
      <c r="AK114" s="826"/>
      <c r="AL114" s="826"/>
      <c r="AM114" s="826"/>
      <c r="AN114" s="826"/>
      <c r="AO114" s="826"/>
      <c r="AP114" s="826"/>
      <c r="AQ114" s="826"/>
      <c r="AR114" s="826"/>
      <c r="AS114" s="826"/>
      <c r="AT114" s="826"/>
      <c r="AU114" s="826"/>
      <c r="AV114" s="826"/>
      <c r="AW114" s="826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834" t="s">
        <v>444</v>
      </c>
      <c r="AE124" s="835"/>
      <c r="AF124" s="835"/>
      <c r="AG124" s="835"/>
      <c r="AH124" s="835"/>
      <c r="AI124" s="835"/>
      <c r="AJ124" s="835"/>
      <c r="AK124" s="835"/>
      <c r="AL124" s="835"/>
      <c r="AM124" s="835"/>
      <c r="AN124" s="835"/>
      <c r="AO124" s="835"/>
      <c r="AP124" s="835"/>
      <c r="AQ124" s="835"/>
      <c r="AR124" s="835"/>
      <c r="AS124" s="835"/>
      <c r="AT124" s="835"/>
      <c r="AU124" s="835"/>
      <c r="AV124" s="835"/>
      <c r="AW124" s="836"/>
    </row>
    <row r="125" spans="30:49" x14ac:dyDescent="0.3">
      <c r="AD125" s="837"/>
      <c r="AE125" s="833"/>
      <c r="AF125" s="833"/>
      <c r="AG125" s="833"/>
      <c r="AH125" s="833"/>
      <c r="AI125" s="833"/>
      <c r="AJ125" s="833"/>
      <c r="AK125" s="833"/>
      <c r="AL125" s="833"/>
      <c r="AM125" s="833"/>
      <c r="AN125" s="833"/>
      <c r="AO125" s="833"/>
      <c r="AP125" s="833"/>
      <c r="AQ125" s="833"/>
      <c r="AR125" s="833"/>
      <c r="AS125" s="833"/>
      <c r="AT125" s="833"/>
      <c r="AU125" s="833"/>
      <c r="AV125" s="833"/>
      <c r="AW125" s="838"/>
    </row>
    <row r="126" spans="30:49" x14ac:dyDescent="0.3">
      <c r="AD126" s="825" t="s">
        <v>460</v>
      </c>
      <c r="AE126" s="826"/>
      <c r="AF126" s="826"/>
      <c r="AG126" s="826"/>
      <c r="AH126" s="826"/>
      <c r="AI126" s="826"/>
      <c r="AJ126" s="826"/>
      <c r="AK126" s="826"/>
      <c r="AL126" s="826"/>
      <c r="AM126" s="826"/>
      <c r="AN126" s="826"/>
      <c r="AO126" s="826"/>
      <c r="AP126" s="826"/>
      <c r="AQ126" s="826"/>
      <c r="AR126" s="826"/>
      <c r="AS126" s="826"/>
      <c r="AT126" s="826"/>
      <c r="AU126" s="826"/>
      <c r="AV126" s="826"/>
      <c r="AW126" s="827"/>
    </row>
    <row r="127" spans="30:49" x14ac:dyDescent="0.3">
      <c r="AD127" s="818" t="s">
        <v>445</v>
      </c>
      <c r="AE127" s="716"/>
      <c r="AF127" s="716"/>
      <c r="AG127" s="716"/>
      <c r="AH127" s="716"/>
      <c r="AI127" s="716"/>
      <c r="AK127" s="819" t="s">
        <v>470</v>
      </c>
      <c r="AL127" s="820"/>
      <c r="AM127" s="820"/>
      <c r="AN127" s="821"/>
      <c r="AW127" s="108"/>
    </row>
    <row r="128" spans="30:49" x14ac:dyDescent="0.3">
      <c r="AD128" s="230" t="s">
        <v>447</v>
      </c>
      <c r="AE128" s="814" t="s">
        <v>2</v>
      </c>
      <c r="AF128" s="814"/>
      <c r="AG128" s="814"/>
      <c r="AH128" s="814"/>
      <c r="AI128" s="38" t="s">
        <v>452</v>
      </c>
      <c r="AK128" s="245" t="s">
        <v>493</v>
      </c>
      <c r="AL128" s="237"/>
      <c r="AM128" s="237"/>
      <c r="AN128" s="238"/>
      <c r="AP128" s="815"/>
      <c r="AQ128" s="815"/>
      <c r="AR128" s="815"/>
      <c r="AS128" s="815"/>
      <c r="AT128" s="815"/>
      <c r="AU128" s="815"/>
      <c r="AV128" s="815"/>
      <c r="AW128" s="816"/>
    </row>
    <row r="129" spans="30:49" x14ac:dyDescent="0.3">
      <c r="AD129" s="243" t="s">
        <v>450</v>
      </c>
      <c r="AE129" s="831" t="s">
        <v>456</v>
      </c>
      <c r="AF129" s="831"/>
      <c r="AG129" s="831"/>
      <c r="AH129" s="831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815"/>
      <c r="AQ129" s="815"/>
      <c r="AR129" s="815"/>
      <c r="AS129" s="815"/>
      <c r="AT129" s="815"/>
      <c r="AU129" s="815"/>
      <c r="AV129" s="815"/>
      <c r="AW129" s="816"/>
    </row>
    <row r="130" spans="30:49" x14ac:dyDescent="0.3">
      <c r="AD130" s="244" t="s">
        <v>455</v>
      </c>
      <c r="AE130" s="832" t="s">
        <v>457</v>
      </c>
      <c r="AF130" s="832"/>
      <c r="AG130" s="832"/>
      <c r="AH130" s="832"/>
      <c r="AI130" s="260">
        <f>B16+273.15</f>
        <v>286.14999999999998</v>
      </c>
      <c r="AK130" s="246"/>
      <c r="AL130" s="222"/>
      <c r="AM130" s="222"/>
      <c r="AN130" s="239"/>
      <c r="AP130" s="815"/>
      <c r="AQ130" s="815"/>
      <c r="AR130" s="815"/>
      <c r="AS130" s="815"/>
      <c r="AT130" s="815"/>
      <c r="AU130" s="815"/>
      <c r="AV130" s="815"/>
      <c r="AW130" s="816"/>
    </row>
    <row r="131" spans="30:49" x14ac:dyDescent="0.3">
      <c r="AD131" s="39"/>
      <c r="AE131" s="814"/>
      <c r="AF131" s="814"/>
      <c r="AG131" s="814"/>
      <c r="AH131" s="814"/>
      <c r="AI131" s="14"/>
      <c r="AK131" s="221"/>
      <c r="AL131" s="222"/>
      <c r="AM131" s="222"/>
      <c r="AN131" s="239"/>
      <c r="AP131" s="815"/>
      <c r="AQ131" s="815"/>
      <c r="AR131" s="815"/>
      <c r="AS131" s="815"/>
      <c r="AT131" s="815"/>
      <c r="AU131" s="815"/>
      <c r="AV131" s="815"/>
      <c r="AW131" s="816"/>
    </row>
    <row r="132" spans="30:49" x14ac:dyDescent="0.3">
      <c r="AD132" s="39"/>
      <c r="AE132" s="814"/>
      <c r="AF132" s="814"/>
      <c r="AG132" s="814"/>
      <c r="AH132" s="814"/>
      <c r="AI132" s="14"/>
      <c r="AK132" s="240"/>
      <c r="AL132" s="241"/>
      <c r="AM132" s="241"/>
      <c r="AN132" s="242"/>
      <c r="AP132" s="815"/>
      <c r="AQ132" s="815"/>
      <c r="AR132" s="815"/>
      <c r="AS132" s="815"/>
      <c r="AT132" s="815"/>
      <c r="AU132" s="815"/>
      <c r="AV132" s="815"/>
      <c r="AW132" s="816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825" t="s">
        <v>459</v>
      </c>
      <c r="AE134" s="826"/>
      <c r="AF134" s="826"/>
      <c r="AG134" s="826"/>
      <c r="AH134" s="826"/>
      <c r="AI134" s="826"/>
      <c r="AJ134" s="826"/>
      <c r="AK134" s="826"/>
      <c r="AL134" s="826"/>
      <c r="AM134" s="826"/>
      <c r="AN134" s="826"/>
      <c r="AO134" s="826"/>
      <c r="AP134" s="826"/>
      <c r="AQ134" s="826"/>
      <c r="AR134" s="826"/>
      <c r="AS134" s="826"/>
      <c r="AT134" s="826"/>
      <c r="AU134" s="826"/>
      <c r="AV134" s="826"/>
      <c r="AW134" s="827"/>
    </row>
    <row r="135" spans="30:49" x14ac:dyDescent="0.3">
      <c r="AD135" s="818" t="s">
        <v>445</v>
      </c>
      <c r="AE135" s="716"/>
      <c r="AF135" s="716"/>
      <c r="AG135" s="716"/>
      <c r="AH135" s="716"/>
      <c r="AI135" s="716"/>
      <c r="AK135" s="819" t="s">
        <v>470</v>
      </c>
      <c r="AL135" s="820"/>
      <c r="AM135" s="820"/>
      <c r="AN135" s="821"/>
      <c r="AW135" s="108"/>
    </row>
    <row r="136" spans="30:49" x14ac:dyDescent="0.3">
      <c r="AD136" s="230" t="s">
        <v>447</v>
      </c>
      <c r="AE136" s="814" t="s">
        <v>2</v>
      </c>
      <c r="AF136" s="814"/>
      <c r="AG136" s="814"/>
      <c r="AH136" s="814"/>
      <c r="AI136" s="38" t="s">
        <v>452</v>
      </c>
      <c r="AK136" s="245"/>
      <c r="AL136" s="237"/>
      <c r="AM136" s="237"/>
      <c r="AN136" s="238"/>
      <c r="AP136" s="815"/>
      <c r="AQ136" s="815"/>
      <c r="AR136" s="815"/>
      <c r="AS136" s="815"/>
      <c r="AT136" s="815"/>
      <c r="AU136" s="815"/>
      <c r="AV136" s="815"/>
      <c r="AW136" s="816"/>
    </row>
    <row r="137" spans="30:49" x14ac:dyDescent="0.3">
      <c r="AD137" s="230" t="s">
        <v>453</v>
      </c>
      <c r="AE137" s="716" t="s">
        <v>454</v>
      </c>
      <c r="AF137" s="716"/>
      <c r="AG137" s="716"/>
      <c r="AH137" s="716"/>
      <c r="AI137" s="251">
        <f>(AI139*AI140)/AI142</f>
        <v>462263.26713769883</v>
      </c>
      <c r="AK137" s="246"/>
      <c r="AL137" s="222"/>
      <c r="AM137" s="222"/>
      <c r="AN137" s="239"/>
      <c r="AP137" s="815"/>
      <c r="AQ137" s="815"/>
      <c r="AR137" s="815"/>
      <c r="AS137" s="815"/>
      <c r="AT137" s="815"/>
      <c r="AU137" s="815"/>
      <c r="AV137" s="815"/>
      <c r="AW137" s="816"/>
    </row>
    <row r="138" spans="30:49" x14ac:dyDescent="0.3">
      <c r="AD138" s="230" t="s">
        <v>446</v>
      </c>
      <c r="AE138" s="716" t="s">
        <v>472</v>
      </c>
      <c r="AF138" s="716"/>
      <c r="AG138" s="716"/>
      <c r="AH138" s="716"/>
      <c r="AI138" s="248">
        <f>AI198</f>
        <v>1.0667653501891912</v>
      </c>
      <c r="AK138" s="246"/>
      <c r="AL138" s="222"/>
      <c r="AM138" s="222"/>
      <c r="AN138" s="239"/>
      <c r="AP138" s="815"/>
      <c r="AQ138" s="815"/>
      <c r="AR138" s="815"/>
      <c r="AS138" s="815"/>
      <c r="AT138" s="815"/>
      <c r="AU138" s="815"/>
      <c r="AV138" s="815"/>
      <c r="AW138" s="816"/>
    </row>
    <row r="139" spans="30:49" x14ac:dyDescent="0.3">
      <c r="AD139" s="39" t="s">
        <v>448</v>
      </c>
      <c r="AE139" s="822" t="s">
        <v>509</v>
      </c>
      <c r="AF139" s="823"/>
      <c r="AG139" s="823"/>
      <c r="AH139" s="824"/>
      <c r="AI139" s="260">
        <f>B15</f>
        <v>10</v>
      </c>
      <c r="AK139" s="221"/>
      <c r="AL139" s="222"/>
      <c r="AM139" s="222"/>
      <c r="AN139" s="239"/>
      <c r="AP139" s="815"/>
      <c r="AQ139" s="815"/>
      <c r="AR139" s="815"/>
      <c r="AS139" s="815"/>
      <c r="AT139" s="815"/>
      <c r="AU139" s="815"/>
      <c r="AV139" s="815"/>
      <c r="AW139" s="816"/>
    </row>
    <row r="140" spans="30:49" x14ac:dyDescent="0.3">
      <c r="AD140" s="39" t="s">
        <v>449</v>
      </c>
      <c r="AE140" s="822" t="s">
        <v>508</v>
      </c>
      <c r="AF140" s="823"/>
      <c r="AG140" s="823"/>
      <c r="AH140" s="824"/>
      <c r="AI140" s="260">
        <f>E22/1000</f>
        <v>0.66731463560602244</v>
      </c>
      <c r="AK140" s="240"/>
      <c r="AL140" s="241"/>
      <c r="AM140" s="241"/>
      <c r="AN140" s="242"/>
      <c r="AP140" s="815"/>
      <c r="AQ140" s="815"/>
      <c r="AR140" s="815"/>
      <c r="AS140" s="815"/>
      <c r="AT140" s="815"/>
      <c r="AU140" s="815"/>
      <c r="AV140" s="815"/>
      <c r="AW140" s="816"/>
    </row>
    <row r="141" spans="30:49" x14ac:dyDescent="0.3">
      <c r="AD141" s="230" t="s">
        <v>505</v>
      </c>
      <c r="AE141" s="822" t="s">
        <v>506</v>
      </c>
      <c r="AF141" s="823"/>
      <c r="AG141" s="823"/>
      <c r="AH141" s="824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822" t="s">
        <v>451</v>
      </c>
      <c r="AF142" s="823"/>
      <c r="AG142" s="823"/>
      <c r="AH142" s="824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825" t="s">
        <v>458</v>
      </c>
      <c r="AE143" s="826"/>
      <c r="AF143" s="826"/>
      <c r="AG143" s="826"/>
      <c r="AH143" s="826"/>
      <c r="AI143" s="826"/>
      <c r="AJ143" s="826"/>
      <c r="AK143" s="826"/>
      <c r="AL143" s="826"/>
      <c r="AM143" s="826"/>
      <c r="AN143" s="826"/>
      <c r="AO143" s="826"/>
      <c r="AP143" s="826"/>
      <c r="AQ143" s="826"/>
      <c r="AR143" s="826"/>
      <c r="AS143" s="826"/>
      <c r="AT143" s="826"/>
      <c r="AU143" s="826"/>
      <c r="AV143" s="826"/>
      <c r="AW143" s="827"/>
    </row>
    <row r="144" spans="30:49" x14ac:dyDescent="0.3">
      <c r="AD144" s="818" t="s">
        <v>445</v>
      </c>
      <c r="AE144" s="716"/>
      <c r="AF144" s="716"/>
      <c r="AG144" s="716"/>
      <c r="AH144" s="716"/>
      <c r="AI144" s="716"/>
      <c r="AJ144" s="222"/>
      <c r="AK144" s="819" t="s">
        <v>470</v>
      </c>
      <c r="AL144" s="820"/>
      <c r="AM144" s="820"/>
      <c r="AN144" s="821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814" t="s">
        <v>2</v>
      </c>
      <c r="AF145" s="814"/>
      <c r="AG145" s="814"/>
      <c r="AH145" s="814"/>
      <c r="AI145" s="38" t="s">
        <v>452</v>
      </c>
      <c r="AJ145" s="222"/>
      <c r="AK145" s="236"/>
      <c r="AL145" s="237"/>
      <c r="AM145" s="237"/>
      <c r="AN145" s="238"/>
      <c r="AO145" s="222"/>
      <c r="AP145" s="815"/>
      <c r="AQ145" s="815"/>
      <c r="AR145" s="815"/>
      <c r="AS145" s="815"/>
      <c r="AT145" s="815"/>
      <c r="AU145" s="815"/>
      <c r="AV145" s="815"/>
      <c r="AW145" s="816"/>
    </row>
    <row r="146" spans="30:49" x14ac:dyDescent="0.3">
      <c r="AD146" s="230" t="s">
        <v>461</v>
      </c>
      <c r="AE146" s="716" t="s">
        <v>469</v>
      </c>
      <c r="AF146" s="716"/>
      <c r="AG146" s="716"/>
      <c r="AH146" s="716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815"/>
      <c r="AQ146" s="815"/>
      <c r="AR146" s="815"/>
      <c r="AS146" s="815"/>
      <c r="AT146" s="815"/>
      <c r="AU146" s="815"/>
      <c r="AV146" s="815"/>
      <c r="AW146" s="816"/>
    </row>
    <row r="147" spans="30:49" x14ac:dyDescent="0.3">
      <c r="AD147" s="230" t="s">
        <v>462</v>
      </c>
      <c r="AE147" s="716" t="s">
        <v>471</v>
      </c>
      <c r="AF147" s="716"/>
      <c r="AG147" s="716"/>
      <c r="AH147" s="716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815"/>
      <c r="AQ147" s="815"/>
      <c r="AR147" s="815"/>
      <c r="AS147" s="815"/>
      <c r="AT147" s="815"/>
      <c r="AU147" s="815"/>
      <c r="AV147" s="815"/>
      <c r="AW147" s="816"/>
    </row>
    <row r="148" spans="30:49" x14ac:dyDescent="0.3">
      <c r="AD148" s="39" t="s">
        <v>449</v>
      </c>
      <c r="AE148" s="822" t="s">
        <v>463</v>
      </c>
      <c r="AF148" s="823"/>
      <c r="AG148" s="823"/>
      <c r="AH148" s="824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815"/>
      <c r="AQ148" s="815"/>
      <c r="AR148" s="815"/>
      <c r="AS148" s="815"/>
      <c r="AT148" s="815"/>
      <c r="AU148" s="815"/>
      <c r="AV148" s="815"/>
      <c r="AW148" s="816"/>
    </row>
    <row r="149" spans="30:49" x14ac:dyDescent="0.3">
      <c r="AD149" s="39" t="s">
        <v>453</v>
      </c>
      <c r="AE149" s="822" t="s">
        <v>454</v>
      </c>
      <c r="AF149" s="823"/>
      <c r="AG149" s="823"/>
      <c r="AH149" s="824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815"/>
      <c r="AQ149" s="815"/>
      <c r="AR149" s="815"/>
      <c r="AS149" s="815"/>
      <c r="AT149" s="815"/>
      <c r="AU149" s="815"/>
      <c r="AV149" s="815"/>
      <c r="AW149" s="816"/>
    </row>
    <row r="150" spans="30:49" ht="15" thickBot="1" x14ac:dyDescent="0.35">
      <c r="AD150" s="183"/>
      <c r="AE150" s="828"/>
      <c r="AF150" s="829"/>
      <c r="AG150" s="829"/>
      <c r="AH150" s="830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811" t="s">
        <v>473</v>
      </c>
      <c r="AE151" s="812"/>
      <c r="AF151" s="812"/>
      <c r="AG151" s="812"/>
      <c r="AH151" s="812"/>
      <c r="AI151" s="812"/>
      <c r="AJ151" s="812"/>
      <c r="AK151" s="812"/>
      <c r="AL151" s="812"/>
      <c r="AM151" s="812"/>
      <c r="AN151" s="812"/>
      <c r="AO151" s="812"/>
      <c r="AP151" s="812"/>
      <c r="AQ151" s="812"/>
      <c r="AR151" s="812"/>
      <c r="AS151" s="812"/>
      <c r="AT151" s="812"/>
      <c r="AU151" s="812"/>
      <c r="AV151" s="812"/>
      <c r="AW151" s="813"/>
    </row>
    <row r="152" spans="30:49" x14ac:dyDescent="0.3">
      <c r="AD152" s="818" t="s">
        <v>445</v>
      </c>
      <c r="AE152" s="716"/>
      <c r="AF152" s="716"/>
      <c r="AG152" s="716"/>
      <c r="AH152" s="716"/>
      <c r="AI152" s="716"/>
      <c r="AK152" s="819" t="s">
        <v>470</v>
      </c>
      <c r="AL152" s="820"/>
      <c r="AM152" s="820"/>
      <c r="AN152" s="821"/>
      <c r="AW152" s="108"/>
    </row>
    <row r="153" spans="30:49" x14ac:dyDescent="0.3">
      <c r="AD153" s="230" t="s">
        <v>447</v>
      </c>
      <c r="AE153" s="814" t="s">
        <v>2</v>
      </c>
      <c r="AF153" s="814"/>
      <c r="AG153" s="814"/>
      <c r="AH153" s="814"/>
      <c r="AI153" s="38" t="s">
        <v>452</v>
      </c>
      <c r="AK153" s="236" t="s">
        <v>481</v>
      </c>
      <c r="AL153" s="237"/>
      <c r="AM153" s="237"/>
      <c r="AN153" s="238"/>
      <c r="AP153" s="815"/>
      <c r="AQ153" s="815"/>
      <c r="AR153" s="815"/>
      <c r="AS153" s="815"/>
      <c r="AT153" s="815"/>
      <c r="AU153" s="815"/>
      <c r="AV153" s="815"/>
      <c r="AW153" s="816"/>
    </row>
    <row r="154" spans="30:49" x14ac:dyDescent="0.3">
      <c r="AD154" s="230" t="s">
        <v>464</v>
      </c>
      <c r="AE154" s="716" t="s">
        <v>480</v>
      </c>
      <c r="AF154" s="716"/>
      <c r="AG154" s="716"/>
      <c r="AH154" s="716"/>
      <c r="AI154" s="38" t="str">
        <f>B22</f>
        <v>E</v>
      </c>
      <c r="AK154" s="221" t="s">
        <v>482</v>
      </c>
      <c r="AL154" s="222"/>
      <c r="AM154" s="222"/>
      <c r="AN154" s="239"/>
      <c r="AP154" s="815"/>
      <c r="AQ154" s="815"/>
      <c r="AR154" s="815"/>
      <c r="AS154" s="815"/>
      <c r="AT154" s="815"/>
      <c r="AU154" s="815"/>
      <c r="AV154" s="815"/>
      <c r="AW154" s="816"/>
    </row>
    <row r="155" spans="30:49" x14ac:dyDescent="0.3">
      <c r="AD155" s="230" t="s">
        <v>461</v>
      </c>
      <c r="AE155" s="716" t="s">
        <v>474</v>
      </c>
      <c r="AF155" s="716"/>
      <c r="AG155" s="716"/>
      <c r="AH155" s="716"/>
      <c r="AI155" s="38">
        <f>AI146</f>
        <v>25.15068018990074</v>
      </c>
      <c r="AK155" s="221"/>
      <c r="AL155" s="222"/>
      <c r="AM155" s="222"/>
      <c r="AN155" s="239"/>
      <c r="AP155" s="815"/>
      <c r="AQ155" s="815"/>
      <c r="AR155" s="815"/>
      <c r="AS155" s="815"/>
      <c r="AT155" s="815"/>
      <c r="AU155" s="815"/>
      <c r="AV155" s="815"/>
      <c r="AW155" s="816"/>
    </row>
    <row r="156" spans="30:49" x14ac:dyDescent="0.3">
      <c r="AD156" s="39" t="s">
        <v>465</v>
      </c>
      <c r="AE156" s="814" t="s">
        <v>475</v>
      </c>
      <c r="AF156" s="814"/>
      <c r="AG156" s="814"/>
      <c r="AH156" s="814"/>
      <c r="AI156" s="38"/>
      <c r="AK156" s="221"/>
      <c r="AL156" s="222"/>
      <c r="AM156" s="222"/>
      <c r="AN156" s="239"/>
      <c r="AP156" s="815"/>
      <c r="AQ156" s="815"/>
      <c r="AR156" s="815"/>
      <c r="AS156" s="815"/>
      <c r="AT156" s="815"/>
      <c r="AU156" s="815"/>
      <c r="AV156" s="815"/>
      <c r="AW156" s="816"/>
    </row>
    <row r="157" spans="30:49" x14ac:dyDescent="0.3">
      <c r="AD157" s="39" t="s">
        <v>449</v>
      </c>
      <c r="AE157" s="814" t="s">
        <v>476</v>
      </c>
      <c r="AF157" s="814"/>
      <c r="AG157" s="814"/>
      <c r="AH157" s="814"/>
      <c r="AI157" s="38"/>
      <c r="AK157" s="240"/>
      <c r="AL157" s="241"/>
      <c r="AM157" s="241"/>
      <c r="AN157" s="242"/>
      <c r="AP157" s="815"/>
      <c r="AQ157" s="815"/>
      <c r="AR157" s="815"/>
      <c r="AS157" s="815"/>
      <c r="AT157" s="815"/>
      <c r="AU157" s="815"/>
      <c r="AV157" s="815"/>
      <c r="AW157" s="816"/>
    </row>
    <row r="158" spans="30:49" x14ac:dyDescent="0.3">
      <c r="AD158" s="39" t="s">
        <v>466</v>
      </c>
      <c r="AE158" s="814" t="s">
        <v>477</v>
      </c>
      <c r="AF158" s="814"/>
      <c r="AG158" s="814"/>
      <c r="AH158" s="814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814" t="s">
        <v>478</v>
      </c>
      <c r="AF159" s="814"/>
      <c r="AG159" s="814"/>
      <c r="AH159" s="814"/>
      <c r="AI159" s="38">
        <v>9.8000000000000007</v>
      </c>
      <c r="AW159" s="108"/>
    </row>
    <row r="160" spans="30:49" ht="15" thickBot="1" x14ac:dyDescent="0.35">
      <c r="AD160" s="231" t="s">
        <v>468</v>
      </c>
      <c r="AE160" s="817" t="s">
        <v>479</v>
      </c>
      <c r="AF160" s="817"/>
      <c r="AG160" s="817"/>
      <c r="AH160" s="817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811" t="s">
        <v>483</v>
      </c>
      <c r="AE161" s="812"/>
      <c r="AF161" s="812"/>
      <c r="AG161" s="812"/>
      <c r="AH161" s="812"/>
      <c r="AI161" s="812"/>
      <c r="AJ161" s="812"/>
      <c r="AK161" s="812"/>
      <c r="AL161" s="812"/>
      <c r="AM161" s="812"/>
      <c r="AN161" s="812"/>
      <c r="AO161" s="812"/>
      <c r="AP161" s="812"/>
      <c r="AQ161" s="812"/>
      <c r="AR161" s="812"/>
      <c r="AS161" s="812"/>
      <c r="AT161" s="812"/>
      <c r="AU161" s="812"/>
      <c r="AV161" s="812"/>
      <c r="AW161" s="813"/>
    </row>
    <row r="162" spans="30:49" x14ac:dyDescent="0.3">
      <c r="AD162" s="818" t="s">
        <v>445</v>
      </c>
      <c r="AE162" s="716"/>
      <c r="AF162" s="716"/>
      <c r="AG162" s="716"/>
      <c r="AH162" s="716"/>
      <c r="AI162" s="716"/>
      <c r="AK162" s="819" t="s">
        <v>470</v>
      </c>
      <c r="AL162" s="820"/>
      <c r="AM162" s="820"/>
      <c r="AN162" s="821"/>
      <c r="AW162" s="108"/>
    </row>
    <row r="163" spans="30:49" x14ac:dyDescent="0.3">
      <c r="AD163" s="230" t="s">
        <v>447</v>
      </c>
      <c r="AE163" s="814" t="s">
        <v>2</v>
      </c>
      <c r="AF163" s="814"/>
      <c r="AG163" s="814"/>
      <c r="AH163" s="814"/>
      <c r="AI163" s="38" t="s">
        <v>452</v>
      </c>
      <c r="AK163" s="236" t="s">
        <v>481</v>
      </c>
      <c r="AL163" s="237"/>
      <c r="AM163" s="237"/>
      <c r="AN163" s="238"/>
      <c r="AP163" s="815"/>
      <c r="AQ163" s="815"/>
      <c r="AR163" s="815"/>
      <c r="AS163" s="815"/>
      <c r="AT163" s="815"/>
      <c r="AU163" s="815"/>
      <c r="AV163" s="815"/>
      <c r="AW163" s="816"/>
    </row>
    <row r="164" spans="30:49" x14ac:dyDescent="0.3">
      <c r="AD164" s="230" t="s">
        <v>487</v>
      </c>
      <c r="AE164" s="716" t="s">
        <v>489</v>
      </c>
      <c r="AF164" s="716"/>
      <c r="AG164" s="716"/>
      <c r="AH164" s="716"/>
      <c r="AI164" s="14"/>
      <c r="AK164" s="221" t="s">
        <v>482</v>
      </c>
      <c r="AL164" s="222"/>
      <c r="AM164" s="222"/>
      <c r="AN164" s="239"/>
      <c r="AP164" s="815"/>
      <c r="AQ164" s="815"/>
      <c r="AR164" s="815"/>
      <c r="AS164" s="815"/>
      <c r="AT164" s="815"/>
      <c r="AU164" s="815"/>
      <c r="AV164" s="815"/>
      <c r="AW164" s="816"/>
    </row>
    <row r="165" spans="30:49" x14ac:dyDescent="0.3">
      <c r="AD165" s="230" t="s">
        <v>488</v>
      </c>
      <c r="AE165" s="716" t="s">
        <v>490</v>
      </c>
      <c r="AF165" s="716"/>
      <c r="AG165" s="716"/>
      <c r="AH165" s="716"/>
      <c r="AI165" s="14"/>
      <c r="AK165" s="221" t="s">
        <v>484</v>
      </c>
      <c r="AL165" s="222"/>
      <c r="AM165" s="222"/>
      <c r="AN165" s="239"/>
      <c r="AP165" s="815"/>
      <c r="AQ165" s="815"/>
      <c r="AR165" s="815"/>
      <c r="AS165" s="815"/>
      <c r="AT165" s="815"/>
      <c r="AU165" s="815"/>
      <c r="AV165" s="815"/>
      <c r="AW165" s="816"/>
    </row>
    <row r="166" spans="30:49" x14ac:dyDescent="0.3">
      <c r="AD166" s="39"/>
      <c r="AE166" s="814"/>
      <c r="AF166" s="814"/>
      <c r="AG166" s="814"/>
      <c r="AH166" s="814"/>
      <c r="AI166" s="14"/>
      <c r="AK166" s="221" t="s">
        <v>485</v>
      </c>
      <c r="AL166" s="222"/>
      <c r="AM166" s="222"/>
      <c r="AN166" s="239"/>
      <c r="AP166" s="815"/>
      <c r="AQ166" s="815"/>
      <c r="AR166" s="815"/>
      <c r="AS166" s="815"/>
      <c r="AT166" s="815"/>
      <c r="AU166" s="815"/>
      <c r="AV166" s="815"/>
      <c r="AW166" s="816"/>
    </row>
    <row r="167" spans="30:49" x14ac:dyDescent="0.3">
      <c r="AD167" s="39"/>
      <c r="AE167" s="814"/>
      <c r="AF167" s="814"/>
      <c r="AG167" s="814"/>
      <c r="AH167" s="814"/>
      <c r="AI167" s="14"/>
      <c r="AK167" s="240"/>
      <c r="AL167" s="241"/>
      <c r="AM167" s="241"/>
      <c r="AN167" s="242"/>
      <c r="AP167" s="815"/>
      <c r="AQ167" s="815"/>
      <c r="AR167" s="815"/>
      <c r="AS167" s="815"/>
      <c r="AT167" s="815"/>
      <c r="AU167" s="815"/>
      <c r="AV167" s="815"/>
      <c r="AW167" s="816"/>
    </row>
    <row r="168" spans="30:49" x14ac:dyDescent="0.3">
      <c r="AD168" s="39"/>
      <c r="AE168" s="814"/>
      <c r="AF168" s="814"/>
      <c r="AG168" s="814"/>
      <c r="AH168" s="814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814"/>
      <c r="AF169" s="814"/>
      <c r="AG169" s="814"/>
      <c r="AH169" s="814"/>
      <c r="AI169" s="14"/>
      <c r="AW169" s="108"/>
    </row>
    <row r="170" spans="30:49" x14ac:dyDescent="0.3">
      <c r="AD170" s="39"/>
      <c r="AE170" s="814"/>
      <c r="AF170" s="814"/>
      <c r="AG170" s="814"/>
      <c r="AH170" s="814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811" t="s">
        <v>486</v>
      </c>
      <c r="AE177" s="812"/>
      <c r="AF177" s="812"/>
      <c r="AG177" s="812"/>
      <c r="AH177" s="812"/>
      <c r="AI177" s="812"/>
      <c r="AJ177" s="812"/>
      <c r="AK177" s="812"/>
      <c r="AL177" s="812"/>
      <c r="AM177" s="812"/>
      <c r="AN177" s="812"/>
      <c r="AO177" s="812"/>
      <c r="AP177" s="812"/>
      <c r="AQ177" s="812"/>
      <c r="AR177" s="812"/>
      <c r="AS177" s="812"/>
      <c r="AT177" s="812"/>
      <c r="AU177" s="812"/>
      <c r="AV177" s="812"/>
      <c r="AW177" s="813"/>
    </row>
    <row r="178" spans="30:49" x14ac:dyDescent="0.3">
      <c r="AD178" s="818" t="s">
        <v>445</v>
      </c>
      <c r="AE178" s="716"/>
      <c r="AF178" s="716"/>
      <c r="AG178" s="716"/>
      <c r="AH178" s="716"/>
      <c r="AI178" s="716"/>
      <c r="AK178" s="819" t="s">
        <v>470</v>
      </c>
      <c r="AL178" s="820"/>
      <c r="AM178" s="820"/>
      <c r="AN178" s="821"/>
      <c r="AW178" s="108"/>
    </row>
    <row r="179" spans="30:49" x14ac:dyDescent="0.3">
      <c r="AD179" s="230" t="s">
        <v>447</v>
      </c>
      <c r="AE179" s="814" t="s">
        <v>2</v>
      </c>
      <c r="AF179" s="814"/>
      <c r="AG179" s="814"/>
      <c r="AH179" s="814"/>
      <c r="AI179" s="38" t="s">
        <v>452</v>
      </c>
      <c r="AK179" s="236" t="s">
        <v>501</v>
      </c>
      <c r="AL179" s="237"/>
      <c r="AM179" s="237"/>
      <c r="AN179" s="238"/>
      <c r="AP179" s="815"/>
      <c r="AQ179" s="815"/>
      <c r="AR179" s="815"/>
      <c r="AS179" s="815"/>
      <c r="AT179" s="815"/>
      <c r="AU179" s="815"/>
      <c r="AV179" s="815"/>
      <c r="AW179" s="816"/>
    </row>
    <row r="180" spans="30:49" x14ac:dyDescent="0.3">
      <c r="AD180" s="230" t="s">
        <v>494</v>
      </c>
      <c r="AE180" s="716" t="s">
        <v>496</v>
      </c>
      <c r="AF180" s="716"/>
      <c r="AG180" s="716"/>
      <c r="AH180" s="716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815"/>
      <c r="AQ180" s="815"/>
      <c r="AR180" s="815"/>
      <c r="AS180" s="815"/>
      <c r="AT180" s="815"/>
      <c r="AU180" s="815"/>
      <c r="AV180" s="815"/>
      <c r="AW180" s="816"/>
    </row>
    <row r="181" spans="30:49" x14ac:dyDescent="0.3">
      <c r="AD181" s="230" t="s">
        <v>495</v>
      </c>
      <c r="AE181" s="716" t="s">
        <v>497</v>
      </c>
      <c r="AF181" s="716"/>
      <c r="AG181" s="716"/>
      <c r="AH181" s="716"/>
      <c r="AI181" s="249">
        <v>101.3</v>
      </c>
      <c r="AK181" s="221"/>
      <c r="AL181" s="222"/>
      <c r="AM181" s="222"/>
      <c r="AN181" s="239"/>
      <c r="AP181" s="815"/>
      <c r="AQ181" s="815"/>
      <c r="AR181" s="815"/>
      <c r="AS181" s="815"/>
      <c r="AT181" s="815"/>
      <c r="AU181" s="815"/>
      <c r="AV181" s="815"/>
      <c r="AW181" s="816"/>
    </row>
    <row r="182" spans="30:49" x14ac:dyDescent="0.3">
      <c r="AD182" s="39" t="s">
        <v>455</v>
      </c>
      <c r="AE182" s="814" t="s">
        <v>498</v>
      </c>
      <c r="AF182" s="814"/>
      <c r="AG182" s="814"/>
      <c r="AH182" s="814"/>
      <c r="AI182" s="260">
        <f>B16</f>
        <v>13</v>
      </c>
      <c r="AK182" s="221"/>
      <c r="AL182" s="222"/>
      <c r="AM182" s="222"/>
      <c r="AN182" s="239"/>
      <c r="AP182" s="815"/>
      <c r="AQ182" s="815"/>
      <c r="AR182" s="815"/>
      <c r="AS182" s="815"/>
      <c r="AT182" s="815"/>
      <c r="AU182" s="815"/>
      <c r="AV182" s="815"/>
      <c r="AW182" s="816"/>
    </row>
    <row r="183" spans="30:49" x14ac:dyDescent="0.3">
      <c r="AD183" s="39" t="s">
        <v>499</v>
      </c>
      <c r="AE183" s="814" t="s">
        <v>500</v>
      </c>
      <c r="AF183" s="814"/>
      <c r="AG183" s="814"/>
      <c r="AH183" s="814"/>
      <c r="AI183" s="260">
        <f>B17</f>
        <v>1200</v>
      </c>
      <c r="AK183" s="240"/>
      <c r="AL183" s="241"/>
      <c r="AM183" s="241"/>
      <c r="AN183" s="242"/>
      <c r="AP183" s="815"/>
      <c r="AQ183" s="815"/>
      <c r="AR183" s="815"/>
      <c r="AS183" s="815"/>
      <c r="AT183" s="815"/>
      <c r="AU183" s="815"/>
      <c r="AV183" s="815"/>
      <c r="AW183" s="816"/>
    </row>
    <row r="184" spans="30:49" x14ac:dyDescent="0.3">
      <c r="AD184" s="39"/>
      <c r="AE184" s="814"/>
      <c r="AF184" s="814"/>
      <c r="AG184" s="814"/>
      <c r="AH184" s="814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814"/>
      <c r="AF185" s="814"/>
      <c r="AG185" s="814"/>
      <c r="AH185" s="814"/>
      <c r="AI185" s="38"/>
      <c r="AW185" s="108"/>
    </row>
    <row r="186" spans="30:49" ht="15" thickBot="1" x14ac:dyDescent="0.35">
      <c r="AD186" s="231"/>
      <c r="AE186" s="817"/>
      <c r="AF186" s="817"/>
      <c r="AG186" s="817"/>
      <c r="AH186" s="817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825" t="s">
        <v>510</v>
      </c>
      <c r="AE187" s="826"/>
      <c r="AF187" s="826"/>
      <c r="AG187" s="826"/>
      <c r="AH187" s="826"/>
      <c r="AI187" s="826"/>
      <c r="AJ187" s="826"/>
      <c r="AK187" s="826"/>
      <c r="AL187" s="826"/>
      <c r="AM187" s="826"/>
      <c r="AN187" s="826"/>
      <c r="AO187" s="826"/>
      <c r="AP187" s="826"/>
      <c r="AQ187" s="826"/>
      <c r="AR187" s="826"/>
      <c r="AS187" s="826"/>
      <c r="AT187" s="826"/>
      <c r="AU187" s="826"/>
      <c r="AV187" s="826"/>
      <c r="AW187" s="827"/>
    </row>
    <row r="188" spans="30:49" x14ac:dyDescent="0.3">
      <c r="AD188" s="818" t="s">
        <v>445</v>
      </c>
      <c r="AE188" s="716"/>
      <c r="AF188" s="716"/>
      <c r="AG188" s="716"/>
      <c r="AH188" s="716"/>
      <c r="AI188" s="716"/>
      <c r="AK188" s="819" t="s">
        <v>470</v>
      </c>
      <c r="AL188" s="820"/>
      <c r="AM188" s="820"/>
      <c r="AN188" s="821"/>
      <c r="AW188" s="108"/>
    </row>
    <row r="189" spans="30:49" x14ac:dyDescent="0.3">
      <c r="AD189" s="230" t="s">
        <v>447</v>
      </c>
      <c r="AE189" s="814" t="s">
        <v>2</v>
      </c>
      <c r="AF189" s="814"/>
      <c r="AG189" s="814"/>
      <c r="AH189" s="814"/>
      <c r="AI189" s="38" t="s">
        <v>452</v>
      </c>
      <c r="AK189" s="236"/>
      <c r="AL189" s="237"/>
      <c r="AM189" s="237"/>
      <c r="AN189" s="238"/>
      <c r="AP189" s="815"/>
      <c r="AQ189" s="815"/>
      <c r="AR189" s="815"/>
      <c r="AS189" s="815"/>
      <c r="AT189" s="815"/>
      <c r="AU189" s="815"/>
      <c r="AV189" s="815"/>
      <c r="AW189" s="816"/>
    </row>
    <row r="190" spans="30:49" x14ac:dyDescent="0.3">
      <c r="AD190" s="230" t="s">
        <v>511</v>
      </c>
      <c r="AE190" s="716" t="s">
        <v>9</v>
      </c>
      <c r="AF190" s="716"/>
      <c r="AG190" s="716"/>
      <c r="AH190" s="716"/>
      <c r="AI190" s="14"/>
      <c r="AK190" s="221"/>
      <c r="AL190" s="222"/>
      <c r="AM190" s="222"/>
      <c r="AN190" s="239"/>
      <c r="AP190" s="815"/>
      <c r="AQ190" s="815"/>
      <c r="AR190" s="815"/>
      <c r="AS190" s="815"/>
      <c r="AT190" s="815"/>
      <c r="AU190" s="815"/>
      <c r="AV190" s="815"/>
      <c r="AW190" s="816"/>
    </row>
    <row r="191" spans="30:49" x14ac:dyDescent="0.3">
      <c r="AD191" s="230" t="s">
        <v>136</v>
      </c>
      <c r="AE191" s="716" t="s">
        <v>4</v>
      </c>
      <c r="AF191" s="716"/>
      <c r="AG191" s="716"/>
      <c r="AH191" s="716"/>
      <c r="AI191" s="247"/>
      <c r="AK191" s="221"/>
      <c r="AL191" s="222"/>
      <c r="AM191" s="222"/>
      <c r="AN191" s="239"/>
      <c r="AP191" s="815"/>
      <c r="AQ191" s="815"/>
      <c r="AR191" s="815"/>
      <c r="AS191" s="815"/>
      <c r="AT191" s="815"/>
      <c r="AU191" s="815"/>
      <c r="AV191" s="815"/>
      <c r="AW191" s="816"/>
    </row>
    <row r="192" spans="30:49" x14ac:dyDescent="0.3">
      <c r="AD192" s="39" t="s">
        <v>512</v>
      </c>
      <c r="AE192" s="822" t="s">
        <v>513</v>
      </c>
      <c r="AF192" s="823"/>
      <c r="AG192" s="823"/>
      <c r="AH192" s="824"/>
      <c r="AI192" s="14"/>
      <c r="AK192" s="221"/>
      <c r="AL192" s="222"/>
      <c r="AM192" s="222"/>
      <c r="AN192" s="239"/>
      <c r="AP192" s="815"/>
      <c r="AQ192" s="815"/>
      <c r="AR192" s="815"/>
      <c r="AS192" s="815"/>
      <c r="AT192" s="815"/>
      <c r="AU192" s="815"/>
      <c r="AV192" s="815"/>
      <c r="AW192" s="816"/>
    </row>
    <row r="193" spans="30:49" x14ac:dyDescent="0.3">
      <c r="AD193" s="39"/>
      <c r="AE193" s="822"/>
      <c r="AF193" s="823"/>
      <c r="AG193" s="823"/>
      <c r="AH193" s="824"/>
      <c r="AI193" s="14"/>
      <c r="AK193" s="240"/>
      <c r="AL193" s="241"/>
      <c r="AM193" s="241"/>
      <c r="AN193" s="242"/>
      <c r="AP193" s="815"/>
      <c r="AQ193" s="815"/>
      <c r="AR193" s="815"/>
      <c r="AS193" s="815"/>
      <c r="AT193" s="815"/>
      <c r="AU193" s="815"/>
      <c r="AV193" s="815"/>
      <c r="AW193" s="816"/>
    </row>
    <row r="194" spans="30:49" ht="15" thickBot="1" x14ac:dyDescent="0.35">
      <c r="AD194" s="39"/>
      <c r="AE194" s="822"/>
      <c r="AF194" s="823"/>
      <c r="AG194" s="823"/>
      <c r="AH194" s="824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811" t="s">
        <v>491</v>
      </c>
      <c r="AE195" s="812"/>
      <c r="AF195" s="812"/>
      <c r="AG195" s="812"/>
      <c r="AH195" s="812"/>
      <c r="AI195" s="812"/>
      <c r="AJ195" s="812"/>
      <c r="AK195" s="812"/>
      <c r="AL195" s="812"/>
      <c r="AM195" s="812"/>
      <c r="AN195" s="812"/>
      <c r="AO195" s="812"/>
      <c r="AP195" s="812"/>
      <c r="AQ195" s="812"/>
      <c r="AR195" s="812"/>
      <c r="AS195" s="812"/>
      <c r="AT195" s="812"/>
      <c r="AU195" s="812"/>
      <c r="AV195" s="812"/>
      <c r="AW195" s="813"/>
    </row>
    <row r="196" spans="30:49" x14ac:dyDescent="0.3">
      <c r="AD196" s="818" t="s">
        <v>445</v>
      </c>
      <c r="AE196" s="716"/>
      <c r="AF196" s="716"/>
      <c r="AG196" s="716"/>
      <c r="AH196" s="716"/>
      <c r="AI196" s="716"/>
      <c r="AK196" s="819" t="s">
        <v>470</v>
      </c>
      <c r="AL196" s="820"/>
      <c r="AM196" s="820"/>
      <c r="AN196" s="821"/>
      <c r="AW196" s="108"/>
    </row>
    <row r="197" spans="30:49" x14ac:dyDescent="0.3">
      <c r="AD197" s="230" t="s">
        <v>447</v>
      </c>
      <c r="AE197" s="814" t="s">
        <v>2</v>
      </c>
      <c r="AF197" s="814"/>
      <c r="AG197" s="814"/>
      <c r="AH197" s="814"/>
      <c r="AI197" s="38" t="s">
        <v>452</v>
      </c>
      <c r="AK197" s="236" t="s">
        <v>504</v>
      </c>
      <c r="AL197" s="237"/>
      <c r="AM197" s="237"/>
      <c r="AN197" s="238"/>
      <c r="AO197" s="234"/>
      <c r="AP197" s="815"/>
      <c r="AQ197" s="815"/>
      <c r="AR197" s="815"/>
      <c r="AS197" s="815"/>
      <c r="AT197" s="815"/>
      <c r="AU197" s="815"/>
      <c r="AV197" s="815"/>
      <c r="AW197" s="816"/>
    </row>
    <row r="198" spans="30:49" x14ac:dyDescent="0.3">
      <c r="AD198" s="230" t="s">
        <v>446</v>
      </c>
      <c r="AE198" s="716" t="s">
        <v>492</v>
      </c>
      <c r="AF198" s="716"/>
      <c r="AG198" s="716"/>
      <c r="AH198" s="716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815"/>
      <c r="AQ198" s="815"/>
      <c r="AR198" s="815"/>
      <c r="AS198" s="815"/>
      <c r="AT198" s="815"/>
      <c r="AU198" s="815"/>
      <c r="AV198" s="815"/>
      <c r="AW198" s="816"/>
    </row>
    <row r="199" spans="30:49" x14ac:dyDescent="0.3">
      <c r="AD199" s="230" t="s">
        <v>455</v>
      </c>
      <c r="AE199" s="716" t="s">
        <v>502</v>
      </c>
      <c r="AF199" s="716"/>
      <c r="AG199" s="716"/>
      <c r="AH199" s="716"/>
      <c r="AI199" s="259">
        <f>B16</f>
        <v>13</v>
      </c>
      <c r="AK199" s="221"/>
      <c r="AL199" s="222"/>
      <c r="AM199" s="222"/>
      <c r="AN199" s="239"/>
      <c r="AO199" s="234"/>
      <c r="AP199" s="815"/>
      <c r="AQ199" s="815"/>
      <c r="AR199" s="815"/>
      <c r="AS199" s="815"/>
      <c r="AT199" s="815"/>
      <c r="AU199" s="815"/>
      <c r="AV199" s="815"/>
      <c r="AW199" s="816"/>
    </row>
    <row r="200" spans="30:49" x14ac:dyDescent="0.3">
      <c r="AD200" s="39"/>
      <c r="AE200" s="814"/>
      <c r="AF200" s="814"/>
      <c r="AG200" s="814"/>
      <c r="AH200" s="814"/>
      <c r="AI200" s="14"/>
      <c r="AK200" s="221"/>
      <c r="AL200" s="222"/>
      <c r="AM200" s="222"/>
      <c r="AN200" s="239"/>
      <c r="AO200" s="234"/>
      <c r="AP200" s="815"/>
      <c r="AQ200" s="815"/>
      <c r="AR200" s="815"/>
      <c r="AS200" s="815"/>
      <c r="AT200" s="815"/>
      <c r="AU200" s="815"/>
      <c r="AV200" s="815"/>
      <c r="AW200" s="816"/>
    </row>
    <row r="201" spans="30:49" x14ac:dyDescent="0.3">
      <c r="AD201" s="39"/>
      <c r="AE201" s="814"/>
      <c r="AF201" s="814"/>
      <c r="AG201" s="814"/>
      <c r="AH201" s="814"/>
      <c r="AI201" s="14"/>
      <c r="AK201" s="240"/>
      <c r="AL201" s="241"/>
      <c r="AM201" s="241"/>
      <c r="AN201" s="242"/>
      <c r="AO201" s="234"/>
      <c r="AP201" s="815"/>
      <c r="AQ201" s="815"/>
      <c r="AR201" s="815"/>
      <c r="AS201" s="815"/>
      <c r="AT201" s="815"/>
      <c r="AU201" s="815"/>
      <c r="AV201" s="815"/>
      <c r="AW201" s="816"/>
    </row>
    <row r="202" spans="30:49" x14ac:dyDescent="0.3">
      <c r="AD202" s="39"/>
      <c r="AE202" s="814"/>
      <c r="AF202" s="814"/>
      <c r="AG202" s="814"/>
      <c r="AH202" s="814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814"/>
      <c r="AF203" s="814"/>
      <c r="AG203" s="814"/>
      <c r="AH203" s="814"/>
      <c r="AI203" s="14"/>
      <c r="AW203" s="108"/>
    </row>
    <row r="204" spans="30:49" ht="15" thickBot="1" x14ac:dyDescent="0.35">
      <c r="AD204" s="231"/>
      <c r="AE204" s="817"/>
      <c r="AF204" s="817"/>
      <c r="AG204" s="817"/>
      <c r="AH204" s="817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811" t="s">
        <v>515</v>
      </c>
      <c r="AE205" s="812"/>
      <c r="AF205" s="812"/>
      <c r="AG205" s="812"/>
      <c r="AH205" s="812"/>
      <c r="AI205" s="812"/>
      <c r="AJ205" s="812"/>
      <c r="AK205" s="812"/>
      <c r="AL205" s="812"/>
      <c r="AM205" s="812"/>
      <c r="AN205" s="812"/>
      <c r="AO205" s="812"/>
      <c r="AP205" s="812"/>
      <c r="AQ205" s="812"/>
      <c r="AR205" s="812"/>
      <c r="AS205" s="812"/>
      <c r="AT205" s="812"/>
      <c r="AU205" s="812"/>
      <c r="AV205" s="812"/>
      <c r="AW205" s="813"/>
    </row>
    <row r="206" spans="30:49" x14ac:dyDescent="0.3">
      <c r="AD206" s="818" t="s">
        <v>445</v>
      </c>
      <c r="AE206" s="716"/>
      <c r="AF206" s="716"/>
      <c r="AG206" s="716"/>
      <c r="AH206" s="716"/>
      <c r="AI206" s="716"/>
      <c r="AK206" s="819" t="s">
        <v>470</v>
      </c>
      <c r="AL206" s="820"/>
      <c r="AM206" s="820"/>
      <c r="AN206" s="821"/>
      <c r="AW206" s="108"/>
    </row>
    <row r="207" spans="30:49" x14ac:dyDescent="0.3">
      <c r="AD207" s="230" t="s">
        <v>447</v>
      </c>
      <c r="AE207" s="814" t="s">
        <v>2</v>
      </c>
      <c r="AF207" s="814"/>
      <c r="AG207" s="814"/>
      <c r="AH207" s="814"/>
      <c r="AI207" s="38" t="s">
        <v>452</v>
      </c>
      <c r="AK207" s="236"/>
      <c r="AL207" s="237"/>
      <c r="AM207" s="237"/>
      <c r="AN207" s="238"/>
      <c r="AO207" s="234"/>
      <c r="AP207" s="815"/>
      <c r="AQ207" s="815"/>
      <c r="AR207" s="815"/>
      <c r="AS207" s="815"/>
      <c r="AT207" s="815"/>
      <c r="AU207" s="815"/>
      <c r="AV207" s="815"/>
      <c r="AW207" s="816"/>
    </row>
    <row r="208" spans="30:49" x14ac:dyDescent="0.3">
      <c r="AD208" s="230" t="s">
        <v>516</v>
      </c>
      <c r="AE208" s="716">
        <f>AI140*1000</f>
        <v>667.31463560602242</v>
      </c>
      <c r="AF208" s="716"/>
      <c r="AG208" s="716"/>
      <c r="AH208" s="716"/>
      <c r="AI208" s="250"/>
      <c r="AK208" s="221"/>
      <c r="AL208" s="222"/>
      <c r="AM208" s="222"/>
      <c r="AN208" s="239"/>
      <c r="AO208" s="234"/>
      <c r="AP208" s="815"/>
      <c r="AQ208" s="815"/>
      <c r="AR208" s="815"/>
      <c r="AS208" s="815"/>
      <c r="AT208" s="815"/>
      <c r="AU208" s="815"/>
      <c r="AV208" s="815"/>
      <c r="AW208" s="816"/>
    </row>
    <row r="209" spans="30:49" x14ac:dyDescent="0.3">
      <c r="AD209" s="230" t="s">
        <v>517</v>
      </c>
      <c r="AE209" s="716">
        <f>G22</f>
        <v>500</v>
      </c>
      <c r="AF209" s="716"/>
      <c r="AG209" s="716"/>
      <c r="AH209" s="716"/>
      <c r="AI209" s="259"/>
      <c r="AK209" s="221"/>
      <c r="AL209" s="222"/>
      <c r="AM209" s="222"/>
      <c r="AN209" s="239"/>
      <c r="AO209" s="234"/>
      <c r="AP209" s="815"/>
      <c r="AQ209" s="815"/>
      <c r="AR209" s="815"/>
      <c r="AS209" s="815"/>
      <c r="AT209" s="815"/>
      <c r="AU209" s="815"/>
      <c r="AV209" s="815"/>
      <c r="AW209" s="816"/>
    </row>
    <row r="210" spans="30:49" x14ac:dyDescent="0.3">
      <c r="AD210" s="39" t="s">
        <v>518</v>
      </c>
      <c r="AE210" s="814"/>
      <c r="AF210" s="814"/>
      <c r="AG210" s="814"/>
      <c r="AH210" s="814"/>
      <c r="AI210" s="14"/>
      <c r="AK210" s="221"/>
      <c r="AL210" s="222"/>
      <c r="AM210" s="222"/>
      <c r="AN210" s="239"/>
      <c r="AO210" s="234"/>
      <c r="AP210" s="815"/>
      <c r="AQ210" s="815"/>
      <c r="AR210" s="815"/>
      <c r="AS210" s="815"/>
      <c r="AT210" s="815"/>
      <c r="AU210" s="815"/>
      <c r="AV210" s="815"/>
      <c r="AW210" s="816"/>
    </row>
    <row r="211" spans="30:49" x14ac:dyDescent="0.3">
      <c r="AD211" s="39"/>
      <c r="AE211" s="814"/>
      <c r="AF211" s="814"/>
      <c r="AG211" s="814"/>
      <c r="AH211" s="814"/>
      <c r="AI211" s="14"/>
      <c r="AK211" s="240"/>
      <c r="AL211" s="241"/>
      <c r="AM211" s="241"/>
      <c r="AN211" s="242"/>
      <c r="AO211" s="234"/>
      <c r="AP211" s="815"/>
      <c r="AQ211" s="815"/>
      <c r="AR211" s="815"/>
      <c r="AS211" s="815"/>
      <c r="AT211" s="815"/>
      <c r="AU211" s="815"/>
      <c r="AV211" s="815"/>
      <c r="AW211" s="816"/>
    </row>
    <row r="212" spans="30:49" x14ac:dyDescent="0.3">
      <c r="AD212" s="39"/>
      <c r="AE212" s="814"/>
      <c r="AF212" s="814"/>
      <c r="AG212" s="814"/>
      <c r="AH212" s="814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814"/>
      <c r="AF213" s="814"/>
      <c r="AG213" s="814"/>
      <c r="AH213" s="814"/>
      <c r="AI213" s="14"/>
      <c r="AW213" s="108"/>
    </row>
    <row r="214" spans="30:49" ht="15" thickBot="1" x14ac:dyDescent="0.35">
      <c r="AD214" s="231"/>
      <c r="AE214" s="817"/>
      <c r="AF214" s="817"/>
      <c r="AG214" s="817"/>
      <c r="AH214" s="817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811" t="s">
        <v>622</v>
      </c>
      <c r="AE215" s="812"/>
      <c r="AF215" s="812"/>
      <c r="AG215" s="812"/>
      <c r="AH215" s="812"/>
      <c r="AI215" s="812"/>
      <c r="AJ215" s="812"/>
      <c r="AK215" s="812"/>
      <c r="AL215" s="812"/>
      <c r="AM215" s="812"/>
      <c r="AN215" s="812"/>
      <c r="AO215" s="812"/>
      <c r="AP215" s="812"/>
      <c r="AQ215" s="812"/>
      <c r="AR215" s="812"/>
      <c r="AS215" s="812"/>
      <c r="AT215" s="812"/>
      <c r="AU215" s="812"/>
      <c r="AV215" s="812"/>
      <c r="AW215" s="813"/>
    </row>
    <row r="216" spans="30:49" ht="30.75" customHeight="1" x14ac:dyDescent="0.3">
      <c r="AD216" s="801" t="s">
        <v>643</v>
      </c>
      <c r="AE216" s="801"/>
      <c r="AF216" s="801"/>
      <c r="AG216" s="801"/>
      <c r="AH216" s="801"/>
      <c r="AI216" s="801"/>
      <c r="AJ216" s="801"/>
      <c r="AK216" s="801"/>
      <c r="AL216" s="801"/>
      <c r="AM216" s="801"/>
      <c r="AN216" s="801"/>
      <c r="AO216" s="325"/>
      <c r="AP216" s="325"/>
      <c r="AQ216" s="325"/>
      <c r="AR216" s="325"/>
      <c r="AS216" s="325"/>
      <c r="AT216" s="325"/>
      <c r="AU216" s="325"/>
      <c r="AV216" s="325"/>
      <c r="AW216" s="326"/>
    </row>
    <row r="217" spans="30:49" ht="15" customHeight="1" x14ac:dyDescent="0.3">
      <c r="AD217" s="802" t="s">
        <v>620</v>
      </c>
      <c r="AE217" s="38" t="s">
        <v>623</v>
      </c>
      <c r="AF217" s="805" t="s">
        <v>642</v>
      </c>
      <c r="AG217" s="808" t="s">
        <v>663</v>
      </c>
      <c r="AH217" s="809"/>
      <c r="AI217" s="809"/>
      <c r="AJ217" s="809"/>
      <c r="AK217" s="809"/>
      <c r="AL217" s="809"/>
      <c r="AM217" s="809"/>
      <c r="AN217" s="810"/>
      <c r="AO217" s="321"/>
      <c r="AP217" s="321"/>
      <c r="AQ217" s="321"/>
      <c r="AR217" s="321"/>
      <c r="AS217" s="321"/>
      <c r="AT217" s="321"/>
      <c r="AU217" s="321"/>
      <c r="AV217" s="321"/>
      <c r="AW217" s="322"/>
    </row>
    <row r="218" spans="30:49" x14ac:dyDescent="0.3">
      <c r="AD218" s="803"/>
      <c r="AE218" s="802" t="s">
        <v>641</v>
      </c>
      <c r="AF218" s="806"/>
      <c r="AG218" s="808" t="s">
        <v>664</v>
      </c>
      <c r="AH218" s="809"/>
      <c r="AI218" s="809"/>
      <c r="AJ218" s="809"/>
      <c r="AK218" s="809"/>
      <c r="AL218" s="809"/>
      <c r="AM218" s="809"/>
      <c r="AN218" s="810"/>
      <c r="AW218" s="108"/>
    </row>
    <row r="219" spans="30:49" x14ac:dyDescent="0.3">
      <c r="AD219" s="804"/>
      <c r="AE219" s="804"/>
      <c r="AF219" s="807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3" t="s">
        <v>507</v>
      </c>
      <c r="AH221" s="323" t="s">
        <v>507</v>
      </c>
      <c r="AI221" s="323" t="s">
        <v>507</v>
      </c>
      <c r="AJ221" s="323" t="s">
        <v>507</v>
      </c>
      <c r="AK221" s="323" t="s">
        <v>507</v>
      </c>
      <c r="AL221" s="323" t="s">
        <v>507</v>
      </c>
      <c r="AM221" s="323" t="s">
        <v>507</v>
      </c>
      <c r="AN221" s="323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3" t="s">
        <v>507</v>
      </c>
      <c r="AH222" s="323" t="s">
        <v>507</v>
      </c>
      <c r="AI222" s="323" t="s">
        <v>507</v>
      </c>
      <c r="AJ222" s="323" t="s">
        <v>507</v>
      </c>
      <c r="AK222" s="323" t="s">
        <v>507</v>
      </c>
      <c r="AL222" s="323" t="s">
        <v>507</v>
      </c>
      <c r="AM222" s="323" t="s">
        <v>507</v>
      </c>
      <c r="AN222" s="323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3" t="s">
        <v>507</v>
      </c>
      <c r="AH223" s="323" t="s">
        <v>507</v>
      </c>
      <c r="AI223" s="323" t="s">
        <v>507</v>
      </c>
      <c r="AJ223" s="323" t="s">
        <v>507</v>
      </c>
      <c r="AK223" s="323" t="s">
        <v>507</v>
      </c>
      <c r="AL223" s="323" t="s">
        <v>507</v>
      </c>
      <c r="AM223" s="323" t="s">
        <v>507</v>
      </c>
      <c r="AN223" s="323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3" t="s">
        <v>507</v>
      </c>
      <c r="AH224" s="323" t="s">
        <v>507</v>
      </c>
      <c r="AI224" s="323" t="s">
        <v>507</v>
      </c>
      <c r="AJ224" s="323" t="s">
        <v>507</v>
      </c>
      <c r="AK224" s="323" t="s">
        <v>507</v>
      </c>
      <c r="AL224" s="323" t="s">
        <v>507</v>
      </c>
      <c r="AM224" s="323" t="s">
        <v>507</v>
      </c>
      <c r="AN224" s="323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3" t="s">
        <v>507</v>
      </c>
      <c r="AH225" s="323" t="s">
        <v>507</v>
      </c>
      <c r="AI225" s="323" t="s">
        <v>507</v>
      </c>
      <c r="AJ225" s="323" t="s">
        <v>507</v>
      </c>
      <c r="AK225" s="323" t="s">
        <v>507</v>
      </c>
      <c r="AL225" s="323" t="s">
        <v>507</v>
      </c>
      <c r="AM225" s="323" t="s">
        <v>507</v>
      </c>
      <c r="AN225" s="323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4" t="s">
        <v>507</v>
      </c>
      <c r="AE235" s="13" t="s">
        <v>638</v>
      </c>
      <c r="AF235" s="324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4" t="s">
        <v>507</v>
      </c>
      <c r="AE236" s="13" t="s">
        <v>639</v>
      </c>
      <c r="AF236" s="324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4" t="s">
        <v>507</v>
      </c>
      <c r="AE237" s="13" t="s">
        <v>640</v>
      </c>
      <c r="AF237" s="324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801" t="s">
        <v>665</v>
      </c>
      <c r="AE238" s="801"/>
      <c r="AF238" s="801"/>
      <c r="AG238" s="801"/>
      <c r="AH238" s="801"/>
      <c r="AI238" s="801"/>
      <c r="AJ238" s="801"/>
      <c r="AK238" s="801"/>
      <c r="AL238" s="801"/>
      <c r="AM238" s="801"/>
      <c r="AN238" s="801"/>
    </row>
    <row r="239" spans="30:40" x14ac:dyDescent="0.3">
      <c r="AD239" s="802" t="s">
        <v>620</v>
      </c>
      <c r="AE239" s="38" t="s">
        <v>623</v>
      </c>
      <c r="AF239" s="805" t="s">
        <v>642</v>
      </c>
      <c r="AG239" s="808" t="s">
        <v>663</v>
      </c>
      <c r="AH239" s="809"/>
      <c r="AI239" s="809"/>
      <c r="AJ239" s="809"/>
      <c r="AK239" s="809"/>
      <c r="AL239" s="809"/>
      <c r="AM239" s="809"/>
      <c r="AN239" s="810"/>
    </row>
    <row r="240" spans="30:40" x14ac:dyDescent="0.3">
      <c r="AD240" s="803"/>
      <c r="AE240" s="802" t="s">
        <v>641</v>
      </c>
      <c r="AF240" s="806"/>
      <c r="AG240" s="808" t="s">
        <v>664</v>
      </c>
      <c r="AH240" s="809"/>
      <c r="AI240" s="809"/>
      <c r="AJ240" s="809"/>
      <c r="AK240" s="809"/>
      <c r="AL240" s="809"/>
      <c r="AM240" s="809"/>
      <c r="AN240" s="810"/>
    </row>
    <row r="241" spans="30:40" x14ac:dyDescent="0.3">
      <c r="AD241" s="804"/>
      <c r="AE241" s="804"/>
      <c r="AF241" s="807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3" t="s">
        <v>507</v>
      </c>
      <c r="AH243" s="323" t="s">
        <v>507</v>
      </c>
      <c r="AI243" s="323" t="s">
        <v>507</v>
      </c>
      <c r="AJ243" s="323" t="s">
        <v>507</v>
      </c>
      <c r="AK243" s="323" t="s">
        <v>507</v>
      </c>
      <c r="AL243" s="323" t="s">
        <v>507</v>
      </c>
      <c r="AM243" s="323" t="s">
        <v>507</v>
      </c>
      <c r="AN243" s="323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3" t="s">
        <v>507</v>
      </c>
      <c r="AH244" s="323" t="s">
        <v>507</v>
      </c>
      <c r="AI244" s="323" t="s">
        <v>507</v>
      </c>
      <c r="AJ244" s="323" t="s">
        <v>507</v>
      </c>
      <c r="AK244" s="323" t="s">
        <v>507</v>
      </c>
      <c r="AL244" s="323" t="s">
        <v>507</v>
      </c>
      <c r="AM244" s="323" t="s">
        <v>507</v>
      </c>
      <c r="AN244" s="323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3" t="s">
        <v>507</v>
      </c>
      <c r="AH245" s="323" t="s">
        <v>507</v>
      </c>
      <c r="AI245" s="323" t="s">
        <v>507</v>
      </c>
      <c r="AJ245" s="323" t="s">
        <v>507</v>
      </c>
      <c r="AK245" s="323" t="s">
        <v>507</v>
      </c>
      <c r="AL245" s="323" t="s">
        <v>507</v>
      </c>
      <c r="AM245" s="323" t="s">
        <v>507</v>
      </c>
      <c r="AN245" s="323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3" t="s">
        <v>507</v>
      </c>
      <c r="AH246" s="323" t="s">
        <v>507</v>
      </c>
      <c r="AI246" s="323" t="s">
        <v>507</v>
      </c>
      <c r="AJ246" s="323" t="s">
        <v>507</v>
      </c>
      <c r="AK246" s="323" t="s">
        <v>507</v>
      </c>
      <c r="AL246" s="323" t="s">
        <v>507</v>
      </c>
      <c r="AM246" s="323" t="s">
        <v>507</v>
      </c>
      <c r="AN246" s="323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3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3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4" t="s">
        <v>507</v>
      </c>
      <c r="AE257" s="13" t="s">
        <v>638</v>
      </c>
      <c r="AF257" s="324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4" t="s">
        <v>507</v>
      </c>
      <c r="AE258" s="13" t="s">
        <v>639</v>
      </c>
      <c r="AF258" s="324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4" t="s">
        <v>507</v>
      </c>
      <c r="AE259" s="13" t="s">
        <v>640</v>
      </c>
      <c r="AF259" s="324" t="s">
        <v>507</v>
      </c>
      <c r="AG259" s="324" t="s">
        <v>507</v>
      </c>
      <c r="AH259" s="327" t="s">
        <v>667</v>
      </c>
      <c r="AI259" s="328" t="s">
        <v>669</v>
      </c>
      <c r="AJ259" s="328" t="s">
        <v>669</v>
      </c>
      <c r="AK259" s="328" t="s">
        <v>671</v>
      </c>
      <c r="AL259" s="328" t="s">
        <v>662</v>
      </c>
      <c r="AM259" s="328" t="s">
        <v>662</v>
      </c>
      <c r="AN259" s="328" t="s">
        <v>662</v>
      </c>
    </row>
    <row r="260" spans="30:40" ht="38.4" x14ac:dyDescent="0.3">
      <c r="AD260" s="801" t="s">
        <v>672</v>
      </c>
      <c r="AE260" s="801"/>
      <c r="AF260" s="801"/>
      <c r="AG260" s="801"/>
      <c r="AH260" s="801"/>
      <c r="AI260" s="801"/>
      <c r="AJ260" s="801"/>
      <c r="AK260" s="801"/>
      <c r="AL260" s="801"/>
      <c r="AM260" s="801"/>
      <c r="AN260" s="801"/>
    </row>
    <row r="261" spans="30:40" x14ac:dyDescent="0.3">
      <c r="AD261" s="802" t="s">
        <v>620</v>
      </c>
      <c r="AE261" s="38" t="s">
        <v>623</v>
      </c>
      <c r="AF261" s="805" t="s">
        <v>642</v>
      </c>
      <c r="AG261" s="808" t="s">
        <v>663</v>
      </c>
      <c r="AH261" s="809"/>
      <c r="AI261" s="809"/>
      <c r="AJ261" s="809"/>
      <c r="AK261" s="809"/>
      <c r="AL261" s="809"/>
      <c r="AM261" s="809"/>
      <c r="AN261" s="810"/>
    </row>
    <row r="262" spans="30:40" x14ac:dyDescent="0.3">
      <c r="AD262" s="803"/>
      <c r="AE262" s="802" t="s">
        <v>641</v>
      </c>
      <c r="AF262" s="806"/>
      <c r="AG262" s="808" t="s">
        <v>664</v>
      </c>
      <c r="AH262" s="809"/>
      <c r="AI262" s="809"/>
      <c r="AJ262" s="809"/>
      <c r="AK262" s="809"/>
      <c r="AL262" s="809"/>
      <c r="AM262" s="809"/>
      <c r="AN262" s="810"/>
    </row>
    <row r="263" spans="30:40" x14ac:dyDescent="0.3">
      <c r="AD263" s="804"/>
      <c r="AE263" s="804"/>
      <c r="AF263" s="807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3" t="s">
        <v>507</v>
      </c>
      <c r="AH265" s="323" t="s">
        <v>507</v>
      </c>
      <c r="AI265" s="323" t="s">
        <v>507</v>
      </c>
      <c r="AJ265" s="323" t="s">
        <v>507</v>
      </c>
      <c r="AK265" s="323" t="s">
        <v>507</v>
      </c>
      <c r="AL265" s="323" t="s">
        <v>507</v>
      </c>
      <c r="AM265" s="323" t="s">
        <v>507</v>
      </c>
      <c r="AN265" s="323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3" t="s">
        <v>507</v>
      </c>
      <c r="AH266" s="323" t="s">
        <v>507</v>
      </c>
      <c r="AI266" s="323" t="s">
        <v>507</v>
      </c>
      <c r="AJ266" s="323" t="s">
        <v>507</v>
      </c>
      <c r="AK266" s="323" t="s">
        <v>507</v>
      </c>
      <c r="AL266" s="323" t="s">
        <v>507</v>
      </c>
      <c r="AM266" s="323" t="s">
        <v>507</v>
      </c>
      <c r="AN266" s="323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3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3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3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3" t="s">
        <v>507</v>
      </c>
      <c r="AE277" s="13" t="s">
        <v>636</v>
      </c>
      <c r="AF277" s="324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3" t="s">
        <v>507</v>
      </c>
      <c r="AE278" s="13" t="s">
        <v>637</v>
      </c>
      <c r="AF278" s="324" t="s">
        <v>507</v>
      </c>
      <c r="AG278" s="324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4" t="s">
        <v>507</v>
      </c>
      <c r="AE279" s="13" t="s">
        <v>638</v>
      </c>
      <c r="AF279" s="324" t="s">
        <v>507</v>
      </c>
      <c r="AG279" s="324" t="s">
        <v>507</v>
      </c>
      <c r="AH279" s="327" t="s">
        <v>667</v>
      </c>
      <c r="AI279" s="327" t="s">
        <v>675</v>
      </c>
      <c r="AJ279" s="327" t="s">
        <v>678</v>
      </c>
      <c r="AK279" s="327" t="s">
        <v>678</v>
      </c>
      <c r="AL279" s="328" t="s">
        <v>681</v>
      </c>
      <c r="AM279" s="328" t="s">
        <v>662</v>
      </c>
      <c r="AN279" s="328" t="s">
        <v>662</v>
      </c>
    </row>
    <row r="280" spans="30:40" ht="28.8" x14ac:dyDescent="0.3">
      <c r="AD280" s="324" t="s">
        <v>507</v>
      </c>
      <c r="AE280" s="13" t="s">
        <v>639</v>
      </c>
      <c r="AF280" s="324" t="s">
        <v>507</v>
      </c>
      <c r="AG280" s="324" t="s">
        <v>507</v>
      </c>
      <c r="AH280" s="324" t="s">
        <v>507</v>
      </c>
      <c r="AI280" s="327" t="s">
        <v>675</v>
      </c>
      <c r="AJ280" s="327" t="s">
        <v>679</v>
      </c>
      <c r="AK280" s="327" t="s">
        <v>678</v>
      </c>
      <c r="AL280" s="328" t="s">
        <v>670</v>
      </c>
      <c r="AM280" s="328" t="s">
        <v>681</v>
      </c>
      <c r="AN280" s="328" t="s">
        <v>662</v>
      </c>
    </row>
    <row r="281" spans="30:40" ht="28.8" x14ac:dyDescent="0.3">
      <c r="AD281" s="324" t="s">
        <v>507</v>
      </c>
      <c r="AE281" s="13" t="s">
        <v>640</v>
      </c>
      <c r="AF281" s="324" t="s">
        <v>507</v>
      </c>
      <c r="AG281" s="324" t="s">
        <v>507</v>
      </c>
      <c r="AH281" s="324" t="s">
        <v>507</v>
      </c>
      <c r="AI281" s="328" t="s">
        <v>676</v>
      </c>
      <c r="AJ281" s="328" t="s">
        <v>680</v>
      </c>
      <c r="AK281" s="328" t="s">
        <v>679</v>
      </c>
      <c r="AL281" s="328" t="s">
        <v>671</v>
      </c>
      <c r="AM281" s="328" t="s">
        <v>671</v>
      </c>
      <c r="AN281" s="328" t="s">
        <v>682</v>
      </c>
    </row>
  </sheetData>
  <mergeCells count="310"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zoomScaleNormal="100" zoomScaleSheetLayoutView="100" workbookViewId="0">
      <selection activeCell="B23" sqref="B23:E2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925"/>
      <c r="B1" s="960"/>
      <c r="C1" s="963" t="e">
        <f>CONCATENATE("ESTIMATIVA DE CUSTOS     -     ",D6,)</f>
        <v>#REF!</v>
      </c>
      <c r="D1" s="964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65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18"/>
      <c r="B2" s="716"/>
      <c r="C2" s="524" t="s">
        <v>46</v>
      </c>
      <c r="D2" s="525" t="e">
        <f>#REF!</f>
        <v>#REF!</v>
      </c>
      <c r="E2" s="966" t="s">
        <v>718</v>
      </c>
      <c r="F2" s="967"/>
      <c r="G2" s="967"/>
      <c r="H2" s="967"/>
      <c r="I2" s="967"/>
      <c r="J2" s="967"/>
      <c r="K2" s="967"/>
      <c r="L2" s="967"/>
      <c r="M2" s="967"/>
      <c r="N2" s="967"/>
      <c r="O2" s="967"/>
      <c r="P2" s="967"/>
      <c r="Q2" s="968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18"/>
      <c r="B3" s="716"/>
      <c r="C3" s="524" t="s">
        <v>47</v>
      </c>
      <c r="D3" s="525" t="e">
        <f>#REF!</f>
        <v>#REF!</v>
      </c>
      <c r="E3" s="969"/>
      <c r="F3" s="970"/>
      <c r="G3" s="970"/>
      <c r="H3" s="970"/>
      <c r="I3" s="970"/>
      <c r="J3" s="970"/>
      <c r="K3" s="970"/>
      <c r="L3" s="970"/>
      <c r="M3" s="970"/>
      <c r="N3" s="970"/>
      <c r="O3" s="970"/>
      <c r="P3" s="970"/>
      <c r="Q3" s="971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18"/>
      <c r="B4" s="716"/>
      <c r="C4" s="524" t="s">
        <v>48</v>
      </c>
      <c r="D4" s="525" t="s">
        <v>10</v>
      </c>
      <c r="E4" s="969"/>
      <c r="F4" s="970"/>
      <c r="G4" s="970"/>
      <c r="H4" s="970"/>
      <c r="I4" s="970"/>
      <c r="J4" s="970"/>
      <c r="K4" s="970"/>
      <c r="L4" s="970"/>
      <c r="M4" s="970"/>
      <c r="N4" s="970"/>
      <c r="O4" s="970"/>
      <c r="P4" s="970"/>
      <c r="Q4" s="971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18"/>
      <c r="B5" s="716"/>
      <c r="C5" s="524" t="s">
        <v>110</v>
      </c>
      <c r="D5" s="527">
        <f ca="1">NOW()</f>
        <v>46064.807083449072</v>
      </c>
      <c r="E5" s="969"/>
      <c r="F5" s="970"/>
      <c r="G5" s="970"/>
      <c r="H5" s="970"/>
      <c r="I5" s="970"/>
      <c r="J5" s="970"/>
      <c r="K5" s="970"/>
      <c r="L5" s="970"/>
      <c r="M5" s="970"/>
      <c r="N5" s="970"/>
      <c r="O5" s="970"/>
      <c r="P5" s="970"/>
      <c r="Q5" s="971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18"/>
      <c r="B6" s="716"/>
      <c r="C6" s="296" t="s">
        <v>950</v>
      </c>
      <c r="D6" s="526" t="e">
        <f>D3</f>
        <v>#REF!</v>
      </c>
      <c r="E6" s="969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1"/>
    </row>
    <row r="7" spans="1:29" ht="15" customHeight="1" x14ac:dyDescent="0.3">
      <c r="A7" s="961"/>
      <c r="B7" s="962"/>
      <c r="C7" s="296" t="s">
        <v>698</v>
      </c>
      <c r="D7" s="526" t="s">
        <v>7</v>
      </c>
      <c r="E7" s="969"/>
      <c r="F7" s="970"/>
      <c r="G7" s="970"/>
      <c r="H7" s="970"/>
      <c r="I7" s="970"/>
      <c r="J7" s="970"/>
      <c r="K7" s="970"/>
      <c r="L7" s="970"/>
      <c r="M7" s="970"/>
      <c r="N7" s="970"/>
      <c r="O7" s="970"/>
      <c r="P7" s="970"/>
      <c r="Q7" s="971"/>
    </row>
    <row r="8" spans="1:29" ht="5.0999999999999996" customHeight="1" thickBot="1" x14ac:dyDescent="0.35">
      <c r="A8" s="523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7"/>
      <c r="N8" s="387"/>
      <c r="O8" s="387"/>
      <c r="P8" s="387"/>
      <c r="Q8" s="388"/>
    </row>
    <row r="9" spans="1:29" x14ac:dyDescent="0.3">
      <c r="A9" s="972" t="s">
        <v>130</v>
      </c>
      <c r="B9" s="973"/>
      <c r="C9" s="973"/>
      <c r="D9" s="973"/>
      <c r="E9" s="973"/>
      <c r="F9" s="973"/>
      <c r="G9" s="973"/>
      <c r="H9" s="973"/>
      <c r="I9" s="973"/>
      <c r="J9" s="973"/>
      <c r="K9" s="973"/>
      <c r="L9" s="974"/>
      <c r="M9" s="975" t="s">
        <v>222</v>
      </c>
      <c r="N9" s="976"/>
      <c r="O9" s="976"/>
      <c r="P9" s="976"/>
      <c r="Q9" s="977"/>
    </row>
    <row r="10" spans="1:29" ht="15" customHeight="1" x14ac:dyDescent="0.3">
      <c r="A10" s="368" t="s">
        <v>131</v>
      </c>
      <c r="B10" s="978" t="s">
        <v>132</v>
      </c>
      <c r="C10" s="979"/>
      <c r="D10" s="979"/>
      <c r="E10" s="361" t="s">
        <v>133</v>
      </c>
      <c r="F10" s="973" t="s">
        <v>699</v>
      </c>
      <c r="G10" s="973"/>
      <c r="H10" s="973"/>
      <c r="I10" s="980" t="s">
        <v>134</v>
      </c>
      <c r="J10" s="980"/>
      <c r="K10" s="980" t="s">
        <v>135</v>
      </c>
      <c r="L10" s="981"/>
      <c r="M10" s="982" t="s">
        <v>719</v>
      </c>
      <c r="N10" s="983"/>
      <c r="O10" s="984"/>
      <c r="P10" s="991" t="s">
        <v>709</v>
      </c>
      <c r="Q10" s="992"/>
    </row>
    <row r="11" spans="1:29" x14ac:dyDescent="0.3">
      <c r="A11" s="368" t="s">
        <v>136</v>
      </c>
      <c r="B11" s="997" t="s">
        <v>137</v>
      </c>
      <c r="C11" s="998"/>
      <c r="D11" s="998"/>
      <c r="E11" s="362">
        <f ca="1">TODAY()</f>
        <v>46064</v>
      </c>
      <c r="F11" s="999">
        <f ca="1">E11+10</f>
        <v>46074</v>
      </c>
      <c r="G11" s="999"/>
      <c r="H11" s="999"/>
      <c r="I11" s="1000" t="s">
        <v>320</v>
      </c>
      <c r="J11" s="1000"/>
      <c r="K11" s="1000" t="s">
        <v>7</v>
      </c>
      <c r="L11" s="1001"/>
      <c r="M11" s="985"/>
      <c r="N11" s="986"/>
      <c r="O11" s="987"/>
      <c r="P11" s="993"/>
      <c r="Q11" s="994"/>
    </row>
    <row r="12" spans="1:29" x14ac:dyDescent="0.3">
      <c r="A12" s="369" t="s">
        <v>138</v>
      </c>
      <c r="B12" s="997"/>
      <c r="C12" s="998"/>
      <c r="D12" s="998"/>
      <c r="E12" s="336"/>
      <c r="F12" s="999"/>
      <c r="G12" s="999"/>
      <c r="H12" s="999"/>
      <c r="I12" s="1002"/>
      <c r="J12" s="1002"/>
      <c r="K12" s="1002"/>
      <c r="L12" s="1003"/>
      <c r="M12" s="985"/>
      <c r="N12" s="986"/>
      <c r="O12" s="987"/>
      <c r="P12" s="993"/>
      <c r="Q12" s="994"/>
    </row>
    <row r="13" spans="1:29" x14ac:dyDescent="0.3">
      <c r="A13" s="369" t="s">
        <v>139</v>
      </c>
      <c r="B13" s="997"/>
      <c r="C13" s="998"/>
      <c r="D13" s="998"/>
      <c r="E13" s="336"/>
      <c r="F13" s="999"/>
      <c r="G13" s="999"/>
      <c r="H13" s="999"/>
      <c r="I13" s="1000"/>
      <c r="J13" s="1000"/>
      <c r="K13" s="1000"/>
      <c r="L13" s="1001"/>
      <c r="M13" s="988"/>
      <c r="N13" s="989"/>
      <c r="O13" s="990"/>
      <c r="P13" s="995"/>
      <c r="Q13" s="996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3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9"/>
      <c r="N14" s="371"/>
      <c r="O14" s="371"/>
      <c r="P14" s="371"/>
      <c r="Q14" s="374"/>
    </row>
    <row r="15" spans="1:29" ht="15" customHeight="1" x14ac:dyDescent="0.3">
      <c r="A15" s="958" t="s">
        <v>140</v>
      </c>
      <c r="B15" s="1013" t="s">
        <v>141</v>
      </c>
      <c r="C15" s="1013"/>
      <c r="D15" s="1013"/>
      <c r="E15" s="1013"/>
      <c r="F15" s="1013" t="s">
        <v>142</v>
      </c>
      <c r="G15" s="1014" t="s">
        <v>143</v>
      </c>
      <c r="H15" s="1014" t="s">
        <v>144</v>
      </c>
      <c r="I15" s="1014"/>
      <c r="J15" s="1014" t="s">
        <v>145</v>
      </c>
      <c r="K15" s="1014"/>
      <c r="L15" s="1004" t="s">
        <v>146</v>
      </c>
      <c r="M15" s="1005" t="s">
        <v>703</v>
      </c>
      <c r="N15" s="1006"/>
      <c r="O15" s="1006"/>
      <c r="P15" s="1006"/>
      <c r="Q15" s="1007"/>
    </row>
    <row r="16" spans="1:29" ht="15" customHeight="1" x14ac:dyDescent="0.3">
      <c r="A16" s="958"/>
      <c r="B16" s="1013"/>
      <c r="C16" s="1013"/>
      <c r="D16" s="1013"/>
      <c r="E16" s="1013"/>
      <c r="F16" s="1013"/>
      <c r="G16" s="1014"/>
      <c r="H16" s="365" t="s">
        <v>147</v>
      </c>
      <c r="I16" s="365" t="s">
        <v>148</v>
      </c>
      <c r="J16" s="365" t="s">
        <v>147</v>
      </c>
      <c r="K16" s="365" t="s">
        <v>148</v>
      </c>
      <c r="L16" s="1004"/>
      <c r="M16" s="390" t="s">
        <v>700</v>
      </c>
      <c r="N16" s="363" t="s">
        <v>697</v>
      </c>
      <c r="O16" s="363" t="s">
        <v>696</v>
      </c>
      <c r="P16" s="363" t="s">
        <v>701</v>
      </c>
      <c r="Q16" s="375" t="s">
        <v>702</v>
      </c>
    </row>
    <row r="17" spans="1:23" x14ac:dyDescent="0.3">
      <c r="A17" s="376">
        <v>1</v>
      </c>
      <c r="B17" s="1008" t="s">
        <v>149</v>
      </c>
      <c r="C17" s="1008"/>
      <c r="D17" s="1008"/>
      <c r="E17" s="1008"/>
      <c r="F17" s="1009"/>
      <c r="G17" s="1009"/>
      <c r="H17" s="1009"/>
      <c r="I17" s="1009"/>
      <c r="J17" s="1009"/>
      <c r="K17" s="1009"/>
      <c r="L17" s="542" t="e">
        <f>SUM(L18,L52,L63,L69,L75,L82,L89,L96,L100,L104,L106,L108,L116,L118,L120)</f>
        <v>#REF!</v>
      </c>
      <c r="M17" s="1010"/>
      <c r="N17" s="1011"/>
      <c r="O17" s="1011"/>
      <c r="P17" s="1011"/>
      <c r="Q17" s="1012"/>
    </row>
    <row r="18" spans="1:23" ht="25.5" customHeight="1" x14ac:dyDescent="0.3">
      <c r="A18" s="377" t="str">
        <f ca="1">CONCATENATE($A$18,".",U18)</f>
        <v>1.1</v>
      </c>
      <c r="B18" s="959" t="s">
        <v>947</v>
      </c>
      <c r="C18" s="959"/>
      <c r="D18" s="959"/>
      <c r="E18" s="959"/>
      <c r="F18" s="367"/>
      <c r="G18" s="75"/>
      <c r="H18" s="75"/>
      <c r="I18" s="75"/>
      <c r="J18" s="385"/>
      <c r="K18" s="385"/>
      <c r="L18" s="541">
        <f>SUM(L19:L50)</f>
        <v>0</v>
      </c>
      <c r="M18" s="954"/>
      <c r="N18" s="955"/>
      <c r="O18" s="955"/>
      <c r="P18" s="955"/>
      <c r="Q18" s="956"/>
      <c r="T18" s="410" t="e">
        <f>L18/L17</f>
        <v>#REF!</v>
      </c>
    </row>
    <row r="19" spans="1:23" ht="15" customHeight="1" x14ac:dyDescent="0.3">
      <c r="A19" s="538" t="s">
        <v>151</v>
      </c>
      <c r="B19" s="957" t="str">
        <f>"Fornecimento de "&amp;INDUSTRIAL!M2&amp;"para "&amp;FD!A17</f>
        <v>Fornecimento de ; ; para 0</v>
      </c>
      <c r="C19" s="957"/>
      <c r="D19" s="957"/>
      <c r="E19" s="957"/>
      <c r="F19" s="154" t="s">
        <v>152</v>
      </c>
      <c r="G19" s="155">
        <f>IF(FD!G17="N+1",FD!R17,FD!Q17)</f>
        <v>0</v>
      </c>
      <c r="H19" s="364">
        <f>INDUSTRIAL!AB2</f>
        <v>0</v>
      </c>
      <c r="I19" s="364">
        <v>0</v>
      </c>
      <c r="J19" s="360">
        <f>H19*G19</f>
        <v>0</v>
      </c>
      <c r="K19" s="360">
        <f>I19*G19</f>
        <v>0</v>
      </c>
      <c r="L19" s="366">
        <f t="shared" ref="L19" si="0">J19+K19</f>
        <v>0</v>
      </c>
      <c r="M19" s="392" t="b">
        <f>INDUSTRIAL!AC2</f>
        <v>0</v>
      </c>
      <c r="N19" s="360" t="b">
        <f>INDUSTRIAL!AD2</f>
        <v>0</v>
      </c>
      <c r="O19" s="360" t="b">
        <f>INDUSTRIAL!AE2</f>
        <v>0</v>
      </c>
      <c r="P19" s="360" t="b">
        <f>INDUSTRIAL!AF2</f>
        <v>0</v>
      </c>
      <c r="Q19" s="380" t="b">
        <f>INDUSTRIAL!AG2</f>
        <v>0</v>
      </c>
      <c r="R19" s="395"/>
      <c r="T19" s="410"/>
      <c r="U19" s="87"/>
      <c r="V19" s="87"/>
      <c r="W19" s="87"/>
    </row>
    <row r="20" spans="1:23" ht="15" customHeight="1" x14ac:dyDescent="0.3">
      <c r="A20" s="538" t="s">
        <v>153</v>
      </c>
      <c r="B20" s="957" t="str">
        <f>"Fornecimento de "&amp;INDUSTRIAL!M3&amp;"para "&amp;FD!A18</f>
        <v>Fornecimento de ; ; para 0</v>
      </c>
      <c r="C20" s="957"/>
      <c r="D20" s="957"/>
      <c r="E20" s="957"/>
      <c r="F20" s="154" t="s">
        <v>152</v>
      </c>
      <c r="G20" s="155">
        <f>IF(FD!G18="N+1",FD!R18,FD!Q18)</f>
        <v>0</v>
      </c>
      <c r="H20" s="364">
        <f>INDUSTRIAL!AB3</f>
        <v>0</v>
      </c>
      <c r="I20" s="364">
        <v>0</v>
      </c>
      <c r="J20" s="360">
        <f>H20*G20</f>
        <v>0</v>
      </c>
      <c r="K20" s="360">
        <f>I20*G20</f>
        <v>0</v>
      </c>
      <c r="L20" s="366">
        <f t="shared" ref="L20" si="1">J20+K20</f>
        <v>0</v>
      </c>
      <c r="M20" s="392" t="b">
        <f>INDUSTRIAL!AC3</f>
        <v>0</v>
      </c>
      <c r="N20" s="360" t="b">
        <f>INDUSTRIAL!AD3</f>
        <v>0</v>
      </c>
      <c r="O20" s="360" t="b">
        <f>INDUSTRIAL!AE3</f>
        <v>0</v>
      </c>
      <c r="P20" s="360" t="b">
        <f>INDUSTRIAL!AF3</f>
        <v>0</v>
      </c>
      <c r="Q20" s="380" t="b">
        <f>INDUSTRIAL!AG3</f>
        <v>0</v>
      </c>
      <c r="R20" s="395"/>
      <c r="T20" s="410"/>
    </row>
    <row r="21" spans="1:23" ht="15" customHeight="1" x14ac:dyDescent="0.3">
      <c r="A21" s="538" t="s">
        <v>154</v>
      </c>
      <c r="B21" s="957" t="str">
        <f>"Fornecimento de "&amp;INDUSTRIAL!M4&amp;"para "&amp;FD!A19</f>
        <v>Fornecimento de ; ; para 0</v>
      </c>
      <c r="C21" s="957"/>
      <c r="D21" s="957"/>
      <c r="E21" s="957"/>
      <c r="F21" s="154" t="s">
        <v>152</v>
      </c>
      <c r="G21" s="155">
        <f>IF(FD!G19="N+1",FD!R19,FD!Q19)</f>
        <v>0</v>
      </c>
      <c r="H21" s="364">
        <f>INDUSTRIAL!AB4</f>
        <v>0</v>
      </c>
      <c r="I21" s="364">
        <v>0</v>
      </c>
      <c r="J21" s="360">
        <f>H21*G21</f>
        <v>0</v>
      </c>
      <c r="K21" s="360">
        <f>I21*G21</f>
        <v>0</v>
      </c>
      <c r="L21" s="366">
        <f t="shared" ref="L21" si="2">J21+K21</f>
        <v>0</v>
      </c>
      <c r="M21" s="392" t="b">
        <f>INDUSTRIAL!AC4</f>
        <v>0</v>
      </c>
      <c r="N21" s="360" t="b">
        <f>INDUSTRIAL!AD4</f>
        <v>0</v>
      </c>
      <c r="O21" s="360" t="b">
        <f>INDUSTRIAL!AE4</f>
        <v>0</v>
      </c>
      <c r="P21" s="360" t="b">
        <f>INDUSTRIAL!AF4</f>
        <v>0</v>
      </c>
      <c r="Q21" s="380" t="b">
        <f>INDUSTRIAL!AG4</f>
        <v>0</v>
      </c>
      <c r="R21" s="395"/>
      <c r="T21" s="410"/>
    </row>
    <row r="22" spans="1:23" ht="15" customHeight="1" x14ac:dyDescent="0.3">
      <c r="A22" s="538" t="s">
        <v>225</v>
      </c>
      <c r="B22" s="957" t="str">
        <f>"Fornecimento de "&amp;INDUSTRIAL!M5&amp;"para "&amp;FD!A20</f>
        <v>Fornecimento de ; ; para 0</v>
      </c>
      <c r="C22" s="957"/>
      <c r="D22" s="957"/>
      <c r="E22" s="957"/>
      <c r="F22" s="154" t="s">
        <v>152</v>
      </c>
      <c r="G22" s="155">
        <f>IF(FD!G20="N+1",FD!R20,FD!Q20)</f>
        <v>0</v>
      </c>
      <c r="H22" s="364">
        <f>INDUSTRIAL!AB5</f>
        <v>0</v>
      </c>
      <c r="I22" s="364">
        <v>0</v>
      </c>
      <c r="J22" s="360">
        <f>G22*H22</f>
        <v>0</v>
      </c>
      <c r="K22" s="360">
        <f>G22*I22</f>
        <v>0</v>
      </c>
      <c r="L22" s="366">
        <f>SUM(J22:K22)</f>
        <v>0</v>
      </c>
      <c r="M22" s="392" t="b">
        <f>INDUSTRIAL!AC5</f>
        <v>0</v>
      </c>
      <c r="N22" s="360" t="b">
        <f>INDUSTRIAL!AD5</f>
        <v>0</v>
      </c>
      <c r="O22" s="360" t="b">
        <f>INDUSTRIAL!AE5</f>
        <v>0</v>
      </c>
      <c r="P22" s="360" t="b">
        <f>INDUSTRIAL!AF5</f>
        <v>0</v>
      </c>
      <c r="Q22" s="380" t="b">
        <f>INDUSTRIAL!AG5</f>
        <v>0</v>
      </c>
      <c r="R22" s="395"/>
      <c r="S22" s="6"/>
      <c r="T22" s="410"/>
    </row>
    <row r="23" spans="1:23" ht="15" customHeight="1" x14ac:dyDescent="0.3">
      <c r="A23" s="538" t="s">
        <v>226</v>
      </c>
      <c r="B23" s="957" t="str">
        <f>"Fornecimento de "&amp;INDUSTRIAL!M6&amp;"para "&amp;FD!A21</f>
        <v>Fornecimento de ; ; para 0</v>
      </c>
      <c r="C23" s="957"/>
      <c r="D23" s="957"/>
      <c r="E23" s="957"/>
      <c r="F23" s="154" t="s">
        <v>152</v>
      </c>
      <c r="G23" s="155">
        <f>IF(FD!G21="N+1",FD!R21,FD!Q21)</f>
        <v>0</v>
      </c>
      <c r="H23" s="364">
        <f>INDUSTRIAL!AB6</f>
        <v>0</v>
      </c>
      <c r="I23" s="364">
        <v>0</v>
      </c>
      <c r="J23" s="360">
        <f t="shared" ref="J23:J28" si="3">G23*H23</f>
        <v>0</v>
      </c>
      <c r="K23" s="360">
        <f t="shared" ref="K23:K28" si="4">G23*I23</f>
        <v>0</v>
      </c>
      <c r="L23" s="366">
        <f t="shared" ref="L23:L28" si="5">SUM(J23:K23)</f>
        <v>0</v>
      </c>
      <c r="M23" s="392" t="b">
        <f>INDUSTRIAL!AC6</f>
        <v>0</v>
      </c>
      <c r="N23" s="360" t="b">
        <f>INDUSTRIAL!AD6</f>
        <v>0</v>
      </c>
      <c r="O23" s="360" t="b">
        <f>INDUSTRIAL!AE6</f>
        <v>0</v>
      </c>
      <c r="P23" s="360" t="b">
        <f>INDUSTRIAL!AF6</f>
        <v>0</v>
      </c>
      <c r="Q23" s="380" t="b">
        <f>INDUSTRIAL!AG6</f>
        <v>0</v>
      </c>
      <c r="R23" s="395"/>
      <c r="S23" s="6"/>
      <c r="T23" s="410"/>
    </row>
    <row r="24" spans="1:23" ht="15" customHeight="1" x14ac:dyDescent="0.3">
      <c r="A24" s="538" t="s">
        <v>336</v>
      </c>
      <c r="B24" s="957" t="str">
        <f>"Fornecimento de "&amp;INDUSTRIAL!M7&amp;"para "&amp;FD!A22</f>
        <v>Fornecimento de ; ; para 0</v>
      </c>
      <c r="C24" s="957"/>
      <c r="D24" s="957"/>
      <c r="E24" s="957"/>
      <c r="F24" s="154" t="s">
        <v>152</v>
      </c>
      <c r="G24" s="155">
        <f>IF(FD!G22="N+1",FD!R22,FD!Q22)</f>
        <v>0</v>
      </c>
      <c r="H24" s="364">
        <f>INDUSTRIAL!AB7</f>
        <v>0</v>
      </c>
      <c r="I24" s="364">
        <v>0</v>
      </c>
      <c r="J24" s="360">
        <f t="shared" si="3"/>
        <v>0</v>
      </c>
      <c r="K24" s="360">
        <f t="shared" si="4"/>
        <v>0</v>
      </c>
      <c r="L24" s="366">
        <f t="shared" si="5"/>
        <v>0</v>
      </c>
      <c r="M24" s="392" t="b">
        <f>INDUSTRIAL!AC7</f>
        <v>0</v>
      </c>
      <c r="N24" s="360" t="b">
        <f>INDUSTRIAL!AD7</f>
        <v>0</v>
      </c>
      <c r="O24" s="360" t="b">
        <f>INDUSTRIAL!AE7</f>
        <v>0</v>
      </c>
      <c r="P24" s="360" t="b">
        <f>INDUSTRIAL!AF7</f>
        <v>0</v>
      </c>
      <c r="Q24" s="380" t="b">
        <f>INDUSTRIAL!AG7</f>
        <v>0</v>
      </c>
      <c r="R24" s="395"/>
      <c r="S24" s="6"/>
      <c r="T24" s="410"/>
    </row>
    <row r="25" spans="1:23" ht="15" customHeight="1" x14ac:dyDescent="0.3">
      <c r="A25" s="538" t="s">
        <v>340</v>
      </c>
      <c r="B25" s="957" t="str">
        <f>"Fornecimento de "&amp;INDUSTRIAL!M8&amp;"para "&amp;FD!A23</f>
        <v>Fornecimento de ; ; para 0</v>
      </c>
      <c r="C25" s="957"/>
      <c r="D25" s="957"/>
      <c r="E25" s="957"/>
      <c r="F25" s="154" t="s">
        <v>152</v>
      </c>
      <c r="G25" s="155">
        <f>IF(FD!G23="N+1",FD!R23,FD!Q23)</f>
        <v>0</v>
      </c>
      <c r="H25" s="364">
        <f>INDUSTRIAL!AB8</f>
        <v>0</v>
      </c>
      <c r="I25" s="364">
        <v>0</v>
      </c>
      <c r="J25" s="360">
        <f t="shared" si="3"/>
        <v>0</v>
      </c>
      <c r="K25" s="360">
        <f t="shared" si="4"/>
        <v>0</v>
      </c>
      <c r="L25" s="366">
        <f t="shared" si="5"/>
        <v>0</v>
      </c>
      <c r="M25" s="392" t="b">
        <f>INDUSTRIAL!AC8</f>
        <v>0</v>
      </c>
      <c r="N25" s="360" t="b">
        <f>INDUSTRIAL!AD8</f>
        <v>0</v>
      </c>
      <c r="O25" s="360" t="b">
        <f>INDUSTRIAL!AE8</f>
        <v>0</v>
      </c>
      <c r="P25" s="360" t="b">
        <f>INDUSTRIAL!AF8</f>
        <v>0</v>
      </c>
      <c r="Q25" s="380" t="b">
        <f>INDUSTRIAL!AG8</f>
        <v>0</v>
      </c>
      <c r="R25" s="395"/>
      <c r="S25" s="6"/>
      <c r="T25" s="410"/>
    </row>
    <row r="26" spans="1:23" ht="15" customHeight="1" x14ac:dyDescent="0.3">
      <c r="A26" s="538" t="s">
        <v>944</v>
      </c>
      <c r="B26" s="957" t="str">
        <f>"Fornecimento de "&amp;INDUSTRIAL!M9&amp;"para "&amp;FD!A24</f>
        <v>Fornecimento de ; ; para 0</v>
      </c>
      <c r="C26" s="957"/>
      <c r="D26" s="957"/>
      <c r="E26" s="957"/>
      <c r="F26" s="154" t="s">
        <v>152</v>
      </c>
      <c r="G26" s="155">
        <f>IF(FD!G24="N+1",FD!R24,FD!Q24)</f>
        <v>0</v>
      </c>
      <c r="H26" s="364">
        <f>INDUSTRIAL!AB9</f>
        <v>0</v>
      </c>
      <c r="I26" s="364">
        <v>0</v>
      </c>
      <c r="J26" s="360">
        <f t="shared" si="3"/>
        <v>0</v>
      </c>
      <c r="K26" s="360">
        <f t="shared" si="4"/>
        <v>0</v>
      </c>
      <c r="L26" s="366">
        <f t="shared" si="5"/>
        <v>0</v>
      </c>
      <c r="M26" s="392" t="b">
        <f>INDUSTRIAL!AC9</f>
        <v>0</v>
      </c>
      <c r="N26" s="360" t="b">
        <f>INDUSTRIAL!AD9</f>
        <v>0</v>
      </c>
      <c r="O26" s="360" t="b">
        <f>INDUSTRIAL!AE9</f>
        <v>0</v>
      </c>
      <c r="P26" s="360" t="b">
        <f>INDUSTRIAL!AF9</f>
        <v>0</v>
      </c>
      <c r="Q26" s="380" t="b">
        <f>INDUSTRIAL!AG9</f>
        <v>0</v>
      </c>
      <c r="R26" s="395"/>
      <c r="S26" s="6"/>
      <c r="T26" s="410"/>
    </row>
    <row r="27" spans="1:23" ht="15" customHeight="1" x14ac:dyDescent="0.3">
      <c r="A27" s="538" t="s">
        <v>945</v>
      </c>
      <c r="B27" s="957" t="str">
        <f>"Fornecimento de "&amp;INDUSTRIAL!M10&amp;"para "&amp;FD!A25</f>
        <v>Fornecimento de ; ; para 0</v>
      </c>
      <c r="C27" s="957"/>
      <c r="D27" s="957"/>
      <c r="E27" s="957"/>
      <c r="F27" s="154" t="s">
        <v>152</v>
      </c>
      <c r="G27" s="155">
        <f>IF(FD!G25="N+1",FD!R25,FD!Q25)</f>
        <v>0</v>
      </c>
      <c r="H27" s="364">
        <f>INDUSTRIAL!AB10</f>
        <v>0</v>
      </c>
      <c r="I27" s="364">
        <v>0</v>
      </c>
      <c r="J27" s="360">
        <f t="shared" si="3"/>
        <v>0</v>
      </c>
      <c r="K27" s="360">
        <f t="shared" si="4"/>
        <v>0</v>
      </c>
      <c r="L27" s="366">
        <f t="shared" si="5"/>
        <v>0</v>
      </c>
      <c r="M27" s="392" t="b">
        <f>INDUSTRIAL!AC10</f>
        <v>0</v>
      </c>
      <c r="N27" s="360" t="b">
        <f>INDUSTRIAL!AD10</f>
        <v>0</v>
      </c>
      <c r="O27" s="360" t="b">
        <f>INDUSTRIAL!AE10</f>
        <v>0</v>
      </c>
      <c r="P27" s="360" t="b">
        <f>INDUSTRIAL!AF10</f>
        <v>0</v>
      </c>
      <c r="Q27" s="380" t="b">
        <f>INDUSTRIAL!AG10</f>
        <v>0</v>
      </c>
      <c r="R27" s="395"/>
      <c r="S27" s="6"/>
      <c r="T27" s="410"/>
    </row>
    <row r="28" spans="1:23" ht="15" customHeight="1" x14ac:dyDescent="0.3">
      <c r="A28" s="538" t="s">
        <v>946</v>
      </c>
      <c r="B28" s="957" t="str">
        <f>"Fornecimento de "&amp;INDUSTRIAL!M11&amp;"para "&amp;FD!A26</f>
        <v>Fornecimento de ; ; para 0</v>
      </c>
      <c r="C28" s="957"/>
      <c r="D28" s="957"/>
      <c r="E28" s="957"/>
      <c r="F28" s="154" t="s">
        <v>152</v>
      </c>
      <c r="G28" s="155">
        <f>IF(FD!G26="N+1",FD!R26,FD!Q26)</f>
        <v>0</v>
      </c>
      <c r="H28" s="364">
        <f>INDUSTRIAL!AB11</f>
        <v>0</v>
      </c>
      <c r="I28" s="364">
        <v>0</v>
      </c>
      <c r="J28" s="360">
        <f t="shared" si="3"/>
        <v>0</v>
      </c>
      <c r="K28" s="360">
        <f t="shared" si="4"/>
        <v>0</v>
      </c>
      <c r="L28" s="366">
        <f t="shared" si="5"/>
        <v>0</v>
      </c>
      <c r="M28" s="392" t="b">
        <f>INDUSTRIAL!AC11</f>
        <v>0</v>
      </c>
      <c r="N28" s="360" t="b">
        <f>INDUSTRIAL!AD11</f>
        <v>0</v>
      </c>
      <c r="O28" s="360" t="b">
        <f>INDUSTRIAL!AE11</f>
        <v>0</v>
      </c>
      <c r="P28" s="360" t="b">
        <f>INDUSTRIAL!AF11</f>
        <v>0</v>
      </c>
      <c r="Q28" s="380" t="b">
        <f>INDUSTRIAL!AG11</f>
        <v>0</v>
      </c>
      <c r="R28" s="395"/>
      <c r="S28" s="6"/>
      <c r="T28" s="410"/>
    </row>
    <row r="29" spans="1:23" ht="15" customHeight="1" x14ac:dyDescent="0.3">
      <c r="A29" s="538" t="s">
        <v>1353</v>
      </c>
      <c r="B29" s="957" t="str">
        <f>"Fornecimento de "&amp;INDUSTRIAL!M12&amp;"para "&amp;FD!A27</f>
        <v>Fornecimento de ; ; para 0</v>
      </c>
      <c r="C29" s="957"/>
      <c r="D29" s="957"/>
      <c r="E29" s="957"/>
      <c r="F29" s="154" t="s">
        <v>152</v>
      </c>
      <c r="G29" s="155">
        <f>IF(FD!G27="N+1",FD!R27,FD!Q27)</f>
        <v>0</v>
      </c>
      <c r="H29" s="364">
        <f>INDUSTRIAL!AB12</f>
        <v>0</v>
      </c>
      <c r="I29" s="364">
        <v>0</v>
      </c>
      <c r="J29" s="360">
        <f t="shared" ref="J29:J51" si="6">G29*H29</f>
        <v>0</v>
      </c>
      <c r="K29" s="360">
        <f t="shared" ref="K29:K51" si="7">G29*I29</f>
        <v>0</v>
      </c>
      <c r="L29" s="366">
        <f t="shared" ref="L29:L51" si="8">SUM(J29:K29)</f>
        <v>0</v>
      </c>
      <c r="M29" s="392" t="b">
        <f>INDUSTRIAL!AC12</f>
        <v>0</v>
      </c>
      <c r="N29" s="360" t="b">
        <f>INDUSTRIAL!AD12</f>
        <v>0</v>
      </c>
      <c r="O29" s="360" t="b">
        <f>INDUSTRIAL!AE12</f>
        <v>0</v>
      </c>
      <c r="P29" s="360" t="b">
        <f>INDUSTRIAL!AF12</f>
        <v>0</v>
      </c>
      <c r="Q29" s="380" t="b">
        <f>INDUSTRIAL!AG12</f>
        <v>0</v>
      </c>
      <c r="R29" s="395"/>
      <c r="S29" s="6"/>
      <c r="T29" s="410"/>
    </row>
    <row r="30" spans="1:23" ht="15" customHeight="1" x14ac:dyDescent="0.3">
      <c r="A30" s="538" t="s">
        <v>1354</v>
      </c>
      <c r="B30" s="957" t="str">
        <f>"Fornecimento de "&amp;INDUSTRIAL!M13&amp;"para "&amp;FD!A28</f>
        <v>Fornecimento de ; ; para 0</v>
      </c>
      <c r="C30" s="957"/>
      <c r="D30" s="957"/>
      <c r="E30" s="957"/>
      <c r="F30" s="154" t="s">
        <v>152</v>
      </c>
      <c r="G30" s="155">
        <f>IF(FD!G28="N+1",FD!R28,FD!Q28)</f>
        <v>0</v>
      </c>
      <c r="H30" s="364">
        <f>INDUSTRIAL!AB13</f>
        <v>0</v>
      </c>
      <c r="I30" s="364">
        <v>0</v>
      </c>
      <c r="J30" s="360">
        <f t="shared" si="6"/>
        <v>0</v>
      </c>
      <c r="K30" s="360">
        <f t="shared" si="7"/>
        <v>0</v>
      </c>
      <c r="L30" s="366">
        <f t="shared" si="8"/>
        <v>0</v>
      </c>
      <c r="M30" s="392" t="b">
        <f>INDUSTRIAL!AC13</f>
        <v>0</v>
      </c>
      <c r="N30" s="360" t="b">
        <f>INDUSTRIAL!AD13</f>
        <v>0</v>
      </c>
      <c r="O30" s="360" t="b">
        <f>INDUSTRIAL!AE13</f>
        <v>0</v>
      </c>
      <c r="P30" s="360" t="b">
        <f>INDUSTRIAL!AF13</f>
        <v>0</v>
      </c>
      <c r="Q30" s="380" t="b">
        <f>INDUSTRIAL!AG13</f>
        <v>0</v>
      </c>
      <c r="R30" s="395"/>
      <c r="S30" s="6"/>
      <c r="T30" s="410"/>
    </row>
    <row r="31" spans="1:23" ht="15" customHeight="1" x14ac:dyDescent="0.3">
      <c r="A31" s="538" t="s">
        <v>1355</v>
      </c>
      <c r="B31" s="957" t="str">
        <f>"Fornecimento de "&amp;INDUSTRIAL!M14&amp;"para "&amp;FD!A29</f>
        <v>Fornecimento de ; ; para 0</v>
      </c>
      <c r="C31" s="957"/>
      <c r="D31" s="957"/>
      <c r="E31" s="957"/>
      <c r="F31" s="154" t="s">
        <v>152</v>
      </c>
      <c r="G31" s="155">
        <f>IF(FD!G29="N+1",FD!R29,FD!Q29)</f>
        <v>0</v>
      </c>
      <c r="H31" s="364">
        <f>INDUSTRIAL!AB14</f>
        <v>0</v>
      </c>
      <c r="I31" s="364">
        <v>0</v>
      </c>
      <c r="J31" s="360">
        <f t="shared" si="6"/>
        <v>0</v>
      </c>
      <c r="K31" s="360">
        <f t="shared" si="7"/>
        <v>0</v>
      </c>
      <c r="L31" s="366">
        <f t="shared" si="8"/>
        <v>0</v>
      </c>
      <c r="M31" s="392" t="b">
        <f>INDUSTRIAL!AC14</f>
        <v>0</v>
      </c>
      <c r="N31" s="360" t="b">
        <f>INDUSTRIAL!AD14</f>
        <v>0</v>
      </c>
      <c r="O31" s="360" t="b">
        <f>INDUSTRIAL!AE14</f>
        <v>0</v>
      </c>
      <c r="P31" s="360" t="b">
        <f>INDUSTRIAL!AF14</f>
        <v>0</v>
      </c>
      <c r="Q31" s="380" t="b">
        <f>INDUSTRIAL!AG14</f>
        <v>0</v>
      </c>
      <c r="R31" s="395"/>
      <c r="S31" s="6"/>
      <c r="T31" s="410"/>
    </row>
    <row r="32" spans="1:23" ht="15" customHeight="1" x14ac:dyDescent="0.3">
      <c r="A32" s="538" t="s">
        <v>1356</v>
      </c>
      <c r="B32" s="957" t="str">
        <f>"Fornecimento de "&amp;INDUSTRIAL!M15&amp;"para "&amp;FD!A30</f>
        <v>Fornecimento de ; ; para 0</v>
      </c>
      <c r="C32" s="957"/>
      <c r="D32" s="957"/>
      <c r="E32" s="957"/>
      <c r="F32" s="154" t="s">
        <v>152</v>
      </c>
      <c r="G32" s="155">
        <f>IF(FD!G30="N+1",FD!R30,FD!Q30)</f>
        <v>0</v>
      </c>
      <c r="H32" s="364">
        <f>INDUSTRIAL!AB15</f>
        <v>0</v>
      </c>
      <c r="I32" s="364">
        <v>0</v>
      </c>
      <c r="J32" s="360">
        <f t="shared" si="6"/>
        <v>0</v>
      </c>
      <c r="K32" s="360">
        <f t="shared" si="7"/>
        <v>0</v>
      </c>
      <c r="L32" s="366">
        <f t="shared" si="8"/>
        <v>0</v>
      </c>
      <c r="M32" s="392" t="b">
        <f>INDUSTRIAL!AC15</f>
        <v>0</v>
      </c>
      <c r="N32" s="360" t="b">
        <f>INDUSTRIAL!AD15</f>
        <v>0</v>
      </c>
      <c r="O32" s="360" t="b">
        <f>INDUSTRIAL!AE15</f>
        <v>0</v>
      </c>
      <c r="P32" s="360" t="b">
        <f>INDUSTRIAL!AF15</f>
        <v>0</v>
      </c>
      <c r="Q32" s="380" t="b">
        <f>INDUSTRIAL!AG15</f>
        <v>0</v>
      </c>
      <c r="R32" s="395"/>
      <c r="S32" s="6"/>
      <c r="T32" s="410"/>
    </row>
    <row r="33" spans="1:20" ht="15" customHeight="1" x14ac:dyDescent="0.3">
      <c r="A33" s="538" t="s">
        <v>1357</v>
      </c>
      <c r="B33" s="957" t="str">
        <f>"Fornecimento de "&amp;INDUSTRIAL!M16&amp;"para "&amp;FD!A31</f>
        <v>Fornecimento de ; ; para 0</v>
      </c>
      <c r="C33" s="957"/>
      <c r="D33" s="957"/>
      <c r="E33" s="957"/>
      <c r="F33" s="154" t="s">
        <v>152</v>
      </c>
      <c r="G33" s="155">
        <f>IF(FD!G31="N+1",FD!R31,FD!Q31)</f>
        <v>0</v>
      </c>
      <c r="H33" s="364">
        <f>INDUSTRIAL!AB16</f>
        <v>0</v>
      </c>
      <c r="I33" s="364">
        <v>0</v>
      </c>
      <c r="J33" s="360">
        <f t="shared" si="6"/>
        <v>0</v>
      </c>
      <c r="K33" s="360">
        <f t="shared" si="7"/>
        <v>0</v>
      </c>
      <c r="L33" s="366">
        <f t="shared" si="8"/>
        <v>0</v>
      </c>
      <c r="M33" s="392" t="b">
        <f>INDUSTRIAL!AC16</f>
        <v>0</v>
      </c>
      <c r="N33" s="360" t="b">
        <f>INDUSTRIAL!AD16</f>
        <v>0</v>
      </c>
      <c r="O33" s="360" t="b">
        <f>INDUSTRIAL!AE16</f>
        <v>0</v>
      </c>
      <c r="P33" s="360" t="b">
        <f>INDUSTRIAL!AF16</f>
        <v>0</v>
      </c>
      <c r="Q33" s="380" t="b">
        <f>INDUSTRIAL!AG16</f>
        <v>0</v>
      </c>
      <c r="R33" s="395"/>
      <c r="S33" s="6"/>
      <c r="T33" s="410"/>
    </row>
    <row r="34" spans="1:20" ht="15" customHeight="1" x14ac:dyDescent="0.3">
      <c r="A34" s="538" t="s">
        <v>1358</v>
      </c>
      <c r="B34" s="957" t="str">
        <f>"Fornecimento de "&amp;INDUSTRIAL!M17&amp;"para "&amp;FD!A32</f>
        <v>Fornecimento de ; ; para 0</v>
      </c>
      <c r="C34" s="957"/>
      <c r="D34" s="957"/>
      <c r="E34" s="957"/>
      <c r="F34" s="154" t="s">
        <v>152</v>
      </c>
      <c r="G34" s="155">
        <f>IF(FD!G32="N+1",FD!R32,FD!Q32)</f>
        <v>0</v>
      </c>
      <c r="H34" s="364">
        <f>INDUSTRIAL!AB17</f>
        <v>0</v>
      </c>
      <c r="I34" s="364">
        <v>0</v>
      </c>
      <c r="J34" s="360">
        <f t="shared" si="6"/>
        <v>0</v>
      </c>
      <c r="K34" s="360">
        <f t="shared" si="7"/>
        <v>0</v>
      </c>
      <c r="L34" s="366">
        <f t="shared" si="8"/>
        <v>0</v>
      </c>
      <c r="M34" s="392" t="b">
        <f>INDUSTRIAL!AC17</f>
        <v>0</v>
      </c>
      <c r="N34" s="360" t="b">
        <f>INDUSTRIAL!AD17</f>
        <v>0</v>
      </c>
      <c r="O34" s="360" t="b">
        <f>INDUSTRIAL!AE17</f>
        <v>0</v>
      </c>
      <c r="P34" s="360" t="b">
        <f>INDUSTRIAL!AF17</f>
        <v>0</v>
      </c>
      <c r="Q34" s="380" t="b">
        <f>INDUSTRIAL!AG17</f>
        <v>0</v>
      </c>
      <c r="R34" s="395"/>
      <c r="S34" s="6"/>
      <c r="T34" s="410"/>
    </row>
    <row r="35" spans="1:20" ht="15" customHeight="1" x14ac:dyDescent="0.3">
      <c r="A35" s="538" t="s">
        <v>1359</v>
      </c>
      <c r="B35" s="957" t="str">
        <f>"Fornecimento de "&amp;INDUSTRIAL!M18&amp;"para "&amp;FD!A33</f>
        <v>Fornecimento de ; ; para 0</v>
      </c>
      <c r="C35" s="957"/>
      <c r="D35" s="957"/>
      <c r="E35" s="957"/>
      <c r="F35" s="154" t="s">
        <v>152</v>
      </c>
      <c r="G35" s="155">
        <f>IF(FD!G33="N+1",FD!R33,FD!Q33)</f>
        <v>0</v>
      </c>
      <c r="H35" s="364">
        <f>INDUSTRIAL!AB18</f>
        <v>0</v>
      </c>
      <c r="I35" s="364">
        <v>0</v>
      </c>
      <c r="J35" s="360">
        <f t="shared" si="6"/>
        <v>0</v>
      </c>
      <c r="K35" s="360">
        <f t="shared" si="7"/>
        <v>0</v>
      </c>
      <c r="L35" s="366">
        <f t="shared" si="8"/>
        <v>0</v>
      </c>
      <c r="M35" s="392" t="b">
        <f>INDUSTRIAL!AC18</f>
        <v>0</v>
      </c>
      <c r="N35" s="360" t="b">
        <f>INDUSTRIAL!AD18</f>
        <v>0</v>
      </c>
      <c r="O35" s="360" t="b">
        <f>INDUSTRIAL!AE18</f>
        <v>0</v>
      </c>
      <c r="P35" s="360" t="b">
        <f>INDUSTRIAL!AF18</f>
        <v>0</v>
      </c>
      <c r="Q35" s="380" t="b">
        <f>INDUSTRIAL!AG18</f>
        <v>0</v>
      </c>
      <c r="R35" s="395"/>
      <c r="S35" s="6"/>
      <c r="T35" s="410"/>
    </row>
    <row r="36" spans="1:20" ht="15" customHeight="1" x14ac:dyDescent="0.3">
      <c r="A36" s="538" t="s">
        <v>1360</v>
      </c>
      <c r="B36" s="957" t="str">
        <f>"Fornecimento de "&amp;INDUSTRIAL!M19&amp;"para "&amp;FD!A34</f>
        <v>Fornecimento de ; ; para 0</v>
      </c>
      <c r="C36" s="957"/>
      <c r="D36" s="957"/>
      <c r="E36" s="957"/>
      <c r="F36" s="154" t="s">
        <v>152</v>
      </c>
      <c r="G36" s="155">
        <f>IF(FD!G34="N+1",FD!R34,FD!Q34)</f>
        <v>0</v>
      </c>
      <c r="H36" s="364">
        <f>INDUSTRIAL!AB19</f>
        <v>0</v>
      </c>
      <c r="I36" s="364">
        <v>0</v>
      </c>
      <c r="J36" s="360">
        <f t="shared" si="6"/>
        <v>0</v>
      </c>
      <c r="K36" s="360">
        <f t="shared" si="7"/>
        <v>0</v>
      </c>
      <c r="L36" s="366">
        <f t="shared" si="8"/>
        <v>0</v>
      </c>
      <c r="M36" s="392" t="b">
        <f>INDUSTRIAL!AC19</f>
        <v>0</v>
      </c>
      <c r="N36" s="360" t="b">
        <f>INDUSTRIAL!AD19</f>
        <v>0</v>
      </c>
      <c r="O36" s="360" t="b">
        <f>INDUSTRIAL!AE19</f>
        <v>0</v>
      </c>
      <c r="P36" s="360" t="b">
        <f>INDUSTRIAL!AF19</f>
        <v>0</v>
      </c>
      <c r="Q36" s="380" t="b">
        <f>INDUSTRIAL!AG19</f>
        <v>0</v>
      </c>
      <c r="R36" s="395"/>
      <c r="S36" s="6"/>
      <c r="T36" s="410"/>
    </row>
    <row r="37" spans="1:20" ht="15" customHeight="1" x14ac:dyDescent="0.3">
      <c r="A37" s="538" t="s">
        <v>1361</v>
      </c>
      <c r="B37" s="957" t="str">
        <f>"Fornecimento de "&amp;INDUSTRIAL!M20&amp;"para "&amp;FD!A35</f>
        <v>Fornecimento de ; ; para 0</v>
      </c>
      <c r="C37" s="957"/>
      <c r="D37" s="957"/>
      <c r="E37" s="957"/>
      <c r="F37" s="154" t="s">
        <v>152</v>
      </c>
      <c r="G37" s="155">
        <f>IF(FD!G35="N+1",FD!R35,FD!Q35)</f>
        <v>0</v>
      </c>
      <c r="H37" s="364">
        <f>INDUSTRIAL!AB20</f>
        <v>0</v>
      </c>
      <c r="I37" s="364">
        <v>0</v>
      </c>
      <c r="J37" s="360">
        <f t="shared" si="6"/>
        <v>0</v>
      </c>
      <c r="K37" s="360">
        <f t="shared" si="7"/>
        <v>0</v>
      </c>
      <c r="L37" s="366">
        <f t="shared" si="8"/>
        <v>0</v>
      </c>
      <c r="M37" s="392" t="b">
        <f>INDUSTRIAL!AC20</f>
        <v>0</v>
      </c>
      <c r="N37" s="360" t="b">
        <f>INDUSTRIAL!AD20</f>
        <v>0</v>
      </c>
      <c r="O37" s="360" t="b">
        <f>INDUSTRIAL!AE20</f>
        <v>0</v>
      </c>
      <c r="P37" s="360" t="b">
        <f>INDUSTRIAL!AF20</f>
        <v>0</v>
      </c>
      <c r="Q37" s="380" t="b">
        <f>INDUSTRIAL!AG20</f>
        <v>0</v>
      </c>
      <c r="R37" s="395"/>
      <c r="S37" s="6"/>
      <c r="T37" s="410"/>
    </row>
    <row r="38" spans="1:20" ht="15" customHeight="1" x14ac:dyDescent="0.3">
      <c r="A38" s="538" t="s">
        <v>1362</v>
      </c>
      <c r="B38" s="957" t="str">
        <f>"Fornecimento de "&amp;INDUSTRIAL!M21&amp;"para "&amp;FD!A36</f>
        <v>Fornecimento de ; ; para 0</v>
      </c>
      <c r="C38" s="957"/>
      <c r="D38" s="957"/>
      <c r="E38" s="957"/>
      <c r="F38" s="154" t="s">
        <v>152</v>
      </c>
      <c r="G38" s="155">
        <f>IF(FD!G36="N+1",FD!R36,FD!Q36)</f>
        <v>0</v>
      </c>
      <c r="H38" s="364">
        <f>INDUSTRIAL!AB21</f>
        <v>0</v>
      </c>
      <c r="I38" s="364">
        <v>0</v>
      </c>
      <c r="J38" s="360">
        <f t="shared" si="6"/>
        <v>0</v>
      </c>
      <c r="K38" s="360">
        <f t="shared" si="7"/>
        <v>0</v>
      </c>
      <c r="L38" s="366">
        <f t="shared" si="8"/>
        <v>0</v>
      </c>
      <c r="M38" s="392" t="b">
        <f>INDUSTRIAL!AC21</f>
        <v>0</v>
      </c>
      <c r="N38" s="360" t="b">
        <f>INDUSTRIAL!AD21</f>
        <v>0</v>
      </c>
      <c r="O38" s="360" t="b">
        <f>INDUSTRIAL!AE21</f>
        <v>0</v>
      </c>
      <c r="P38" s="360" t="b">
        <f>INDUSTRIAL!AF21</f>
        <v>0</v>
      </c>
      <c r="Q38" s="380" t="b">
        <f>INDUSTRIAL!AG21</f>
        <v>0</v>
      </c>
      <c r="R38" s="395"/>
      <c r="S38" s="6"/>
      <c r="T38" s="410"/>
    </row>
    <row r="39" spans="1:20" ht="15" customHeight="1" x14ac:dyDescent="0.3">
      <c r="A39" s="538" t="s">
        <v>1363</v>
      </c>
      <c r="B39" s="957" t="str">
        <f>"Fornecimento de "&amp;INDUSTRIAL!M22&amp;"para "&amp;FD!A37</f>
        <v>Fornecimento de ; ; para 0</v>
      </c>
      <c r="C39" s="957"/>
      <c r="D39" s="957"/>
      <c r="E39" s="957"/>
      <c r="F39" s="154" t="s">
        <v>152</v>
      </c>
      <c r="G39" s="155">
        <f>IF(FD!G37="N+1",FD!R37,FD!Q37)</f>
        <v>0</v>
      </c>
      <c r="H39" s="364">
        <f>INDUSTRIAL!AB22</f>
        <v>0</v>
      </c>
      <c r="I39" s="364">
        <v>0</v>
      </c>
      <c r="J39" s="360">
        <f t="shared" si="6"/>
        <v>0</v>
      </c>
      <c r="K39" s="360">
        <f t="shared" si="7"/>
        <v>0</v>
      </c>
      <c r="L39" s="366">
        <f t="shared" si="8"/>
        <v>0</v>
      </c>
      <c r="M39" s="392" t="b">
        <f>INDUSTRIAL!AC22</f>
        <v>0</v>
      </c>
      <c r="N39" s="360" t="b">
        <f>INDUSTRIAL!AD22</f>
        <v>0</v>
      </c>
      <c r="O39" s="360" t="b">
        <f>INDUSTRIAL!AE22</f>
        <v>0</v>
      </c>
      <c r="P39" s="360" t="b">
        <f>INDUSTRIAL!AF22</f>
        <v>0</v>
      </c>
      <c r="Q39" s="380" t="b">
        <f>INDUSTRIAL!AG22</f>
        <v>0</v>
      </c>
      <c r="R39" s="395"/>
      <c r="S39" s="6"/>
      <c r="T39" s="410"/>
    </row>
    <row r="40" spans="1:20" ht="15" customHeight="1" x14ac:dyDescent="0.3">
      <c r="A40" s="538" t="s">
        <v>1364</v>
      </c>
      <c r="B40" s="957" t="str">
        <f>"Fornecimento de "&amp;INDUSTRIAL!M23&amp;"para "&amp;FD!A38</f>
        <v>Fornecimento de ; ; para 0</v>
      </c>
      <c r="C40" s="957"/>
      <c r="D40" s="957"/>
      <c r="E40" s="957"/>
      <c r="F40" s="154" t="s">
        <v>152</v>
      </c>
      <c r="G40" s="155">
        <f>IF(FD!G38="N+1",FD!R38,FD!Q38)</f>
        <v>0</v>
      </c>
      <c r="H40" s="364">
        <f>INDUSTRIAL!AB23</f>
        <v>0</v>
      </c>
      <c r="I40" s="364">
        <v>0</v>
      </c>
      <c r="J40" s="360">
        <f t="shared" si="6"/>
        <v>0</v>
      </c>
      <c r="K40" s="360">
        <f t="shared" si="7"/>
        <v>0</v>
      </c>
      <c r="L40" s="366">
        <f t="shared" si="8"/>
        <v>0</v>
      </c>
      <c r="M40" s="392" t="b">
        <f>INDUSTRIAL!AC23</f>
        <v>0</v>
      </c>
      <c r="N40" s="360" t="b">
        <f>INDUSTRIAL!AD23</f>
        <v>0</v>
      </c>
      <c r="O40" s="360" t="b">
        <f>INDUSTRIAL!AE23</f>
        <v>0</v>
      </c>
      <c r="P40" s="360" t="b">
        <f>INDUSTRIAL!AF23</f>
        <v>0</v>
      </c>
      <c r="Q40" s="380" t="b">
        <f>INDUSTRIAL!AG23</f>
        <v>0</v>
      </c>
      <c r="R40" s="395"/>
      <c r="S40" s="6"/>
      <c r="T40" s="410"/>
    </row>
    <row r="41" spans="1:20" ht="15" customHeight="1" x14ac:dyDescent="0.3">
      <c r="A41" s="538" t="s">
        <v>1365</v>
      </c>
      <c r="B41" s="957" t="str">
        <f>"Fornecimento de "&amp;INDUSTRIAL!M24&amp;"para "&amp;FD!A39</f>
        <v>Fornecimento de ; ; para 0</v>
      </c>
      <c r="C41" s="957"/>
      <c r="D41" s="957"/>
      <c r="E41" s="957"/>
      <c r="F41" s="154" t="s">
        <v>152</v>
      </c>
      <c r="G41" s="155">
        <f>IF(FD!G39="N+1",FD!R39,FD!Q39)</f>
        <v>0</v>
      </c>
      <c r="H41" s="364">
        <f>INDUSTRIAL!AB24</f>
        <v>0</v>
      </c>
      <c r="I41" s="364">
        <v>0</v>
      </c>
      <c r="J41" s="360">
        <f t="shared" si="6"/>
        <v>0</v>
      </c>
      <c r="K41" s="360">
        <f t="shared" si="7"/>
        <v>0</v>
      </c>
      <c r="L41" s="366">
        <f t="shared" si="8"/>
        <v>0</v>
      </c>
      <c r="M41" s="392" t="b">
        <f>INDUSTRIAL!AC24</f>
        <v>0</v>
      </c>
      <c r="N41" s="360" t="b">
        <f>INDUSTRIAL!AD24</f>
        <v>0</v>
      </c>
      <c r="O41" s="360" t="b">
        <f>INDUSTRIAL!AE24</f>
        <v>0</v>
      </c>
      <c r="P41" s="360" t="b">
        <f>INDUSTRIAL!AF24</f>
        <v>0</v>
      </c>
      <c r="Q41" s="380" t="b">
        <f>INDUSTRIAL!AG24</f>
        <v>0</v>
      </c>
      <c r="R41" s="395"/>
      <c r="S41" s="6"/>
      <c r="T41" s="410"/>
    </row>
    <row r="42" spans="1:20" ht="15" customHeight="1" x14ac:dyDescent="0.3">
      <c r="A42" s="538" t="s">
        <v>1366</v>
      </c>
      <c r="B42" s="957" t="str">
        <f>"Fornecimento de "&amp;INDUSTRIAL!M25&amp;"para "&amp;FD!A40</f>
        <v>Fornecimento de ; ; para 0</v>
      </c>
      <c r="C42" s="957"/>
      <c r="D42" s="957"/>
      <c r="E42" s="957"/>
      <c r="F42" s="154" t="s">
        <v>152</v>
      </c>
      <c r="G42" s="155">
        <f>IF(FD!G40="N+1",FD!R40,FD!Q40)</f>
        <v>0</v>
      </c>
      <c r="H42" s="364">
        <f>INDUSTRIAL!AB25</f>
        <v>0</v>
      </c>
      <c r="I42" s="364">
        <v>0</v>
      </c>
      <c r="J42" s="360">
        <f t="shared" si="6"/>
        <v>0</v>
      </c>
      <c r="K42" s="360">
        <f t="shared" si="7"/>
        <v>0</v>
      </c>
      <c r="L42" s="366">
        <f t="shared" si="8"/>
        <v>0</v>
      </c>
      <c r="M42" s="392" t="b">
        <f>INDUSTRIAL!AC25</f>
        <v>0</v>
      </c>
      <c r="N42" s="360" t="b">
        <f>INDUSTRIAL!AD25</f>
        <v>0</v>
      </c>
      <c r="O42" s="360" t="b">
        <f>INDUSTRIAL!AE25</f>
        <v>0</v>
      </c>
      <c r="P42" s="360" t="b">
        <f>INDUSTRIAL!AF25</f>
        <v>0</v>
      </c>
      <c r="Q42" s="380" t="b">
        <f>INDUSTRIAL!AG25</f>
        <v>0</v>
      </c>
      <c r="R42" s="395"/>
      <c r="S42" s="6"/>
      <c r="T42" s="410"/>
    </row>
    <row r="43" spans="1:20" ht="15" customHeight="1" x14ac:dyDescent="0.3">
      <c r="A43" s="538" t="s">
        <v>1367</v>
      </c>
      <c r="B43" s="957" t="str">
        <f>"Fornecimento de "&amp;INDUSTRIAL!M26&amp;"para "&amp;FD!A41</f>
        <v>Fornecimento de ; ; para 0</v>
      </c>
      <c r="C43" s="957"/>
      <c r="D43" s="957"/>
      <c r="E43" s="957"/>
      <c r="F43" s="154" t="s">
        <v>152</v>
      </c>
      <c r="G43" s="155">
        <f>IF(FD!G41="N+1",FD!R41,FD!Q41)</f>
        <v>0</v>
      </c>
      <c r="H43" s="364">
        <f>INDUSTRIAL!AB26</f>
        <v>0</v>
      </c>
      <c r="I43" s="364">
        <v>0</v>
      </c>
      <c r="J43" s="360">
        <f t="shared" si="6"/>
        <v>0</v>
      </c>
      <c r="K43" s="360">
        <f t="shared" si="7"/>
        <v>0</v>
      </c>
      <c r="L43" s="366">
        <f t="shared" si="8"/>
        <v>0</v>
      </c>
      <c r="M43" s="392" t="b">
        <f>INDUSTRIAL!AC26</f>
        <v>0</v>
      </c>
      <c r="N43" s="360" t="b">
        <f>INDUSTRIAL!AD26</f>
        <v>0</v>
      </c>
      <c r="O43" s="360" t="b">
        <f>INDUSTRIAL!AE26</f>
        <v>0</v>
      </c>
      <c r="P43" s="360" t="b">
        <f>INDUSTRIAL!AF26</f>
        <v>0</v>
      </c>
      <c r="Q43" s="380" t="b">
        <f>INDUSTRIAL!AG26</f>
        <v>0</v>
      </c>
      <c r="R43" s="395"/>
      <c r="S43" s="6"/>
      <c r="T43" s="410"/>
    </row>
    <row r="44" spans="1:20" ht="15" customHeight="1" x14ac:dyDescent="0.3">
      <c r="A44" s="538" t="s">
        <v>1368</v>
      </c>
      <c r="B44" s="957" t="str">
        <f>"Fornecimento de "&amp;INDUSTRIAL!M27&amp;"para "&amp;FD!A42</f>
        <v>Fornecimento de ; ; para 0</v>
      </c>
      <c r="C44" s="957"/>
      <c r="D44" s="957"/>
      <c r="E44" s="957"/>
      <c r="F44" s="154" t="s">
        <v>152</v>
      </c>
      <c r="G44" s="155">
        <f>IF(FD!G42="N+1",FD!R42,FD!Q42)</f>
        <v>0</v>
      </c>
      <c r="H44" s="364">
        <f>INDUSTRIAL!AB27</f>
        <v>0</v>
      </c>
      <c r="I44" s="364">
        <v>0</v>
      </c>
      <c r="J44" s="360">
        <f t="shared" si="6"/>
        <v>0</v>
      </c>
      <c r="K44" s="360">
        <f t="shared" si="7"/>
        <v>0</v>
      </c>
      <c r="L44" s="366">
        <f t="shared" si="8"/>
        <v>0</v>
      </c>
      <c r="M44" s="392" t="b">
        <f>INDUSTRIAL!AC27</f>
        <v>0</v>
      </c>
      <c r="N44" s="360" t="b">
        <f>INDUSTRIAL!AD27</f>
        <v>0</v>
      </c>
      <c r="O44" s="360" t="b">
        <f>INDUSTRIAL!AE27</f>
        <v>0</v>
      </c>
      <c r="P44" s="360" t="b">
        <f>INDUSTRIAL!AF27</f>
        <v>0</v>
      </c>
      <c r="Q44" s="380" t="b">
        <f>INDUSTRIAL!AG27</f>
        <v>0</v>
      </c>
      <c r="R44" s="395"/>
      <c r="S44" s="6"/>
      <c r="T44" s="410"/>
    </row>
    <row r="45" spans="1:20" ht="15" customHeight="1" x14ac:dyDescent="0.3">
      <c r="A45" s="538" t="s">
        <v>1369</v>
      </c>
      <c r="B45" s="957" t="str">
        <f>"Fornecimento de "&amp;INDUSTRIAL!M28&amp;"para "&amp;FD!A43</f>
        <v>Fornecimento de ; ; para 0</v>
      </c>
      <c r="C45" s="957"/>
      <c r="D45" s="957"/>
      <c r="E45" s="957"/>
      <c r="F45" s="154" t="s">
        <v>152</v>
      </c>
      <c r="G45" s="155">
        <f>IF(FD!G43="N+1",FD!R43,FD!Q43)</f>
        <v>0</v>
      </c>
      <c r="H45" s="364">
        <f>INDUSTRIAL!AB28</f>
        <v>0</v>
      </c>
      <c r="I45" s="364">
        <v>0</v>
      </c>
      <c r="J45" s="360">
        <f t="shared" si="6"/>
        <v>0</v>
      </c>
      <c r="K45" s="360">
        <f t="shared" si="7"/>
        <v>0</v>
      </c>
      <c r="L45" s="366">
        <f t="shared" si="8"/>
        <v>0</v>
      </c>
      <c r="M45" s="392" t="b">
        <f>INDUSTRIAL!AC28</f>
        <v>0</v>
      </c>
      <c r="N45" s="360" t="b">
        <f>INDUSTRIAL!AD28</f>
        <v>0</v>
      </c>
      <c r="O45" s="360" t="b">
        <f>INDUSTRIAL!AE28</f>
        <v>0</v>
      </c>
      <c r="P45" s="360" t="b">
        <f>INDUSTRIAL!AF28</f>
        <v>0</v>
      </c>
      <c r="Q45" s="380" t="b">
        <f>INDUSTRIAL!AG28</f>
        <v>0</v>
      </c>
      <c r="R45" s="395"/>
      <c r="S45" s="6"/>
      <c r="T45" s="410"/>
    </row>
    <row r="46" spans="1:20" ht="15" customHeight="1" x14ac:dyDescent="0.3">
      <c r="A46" s="538" t="s">
        <v>1370</v>
      </c>
      <c r="B46" s="957" t="str">
        <f>"Fornecimento de "&amp;INDUSTRIAL!M29&amp;"para "&amp;FD!A44</f>
        <v>Fornecimento de ; ; para 0</v>
      </c>
      <c r="C46" s="957"/>
      <c r="D46" s="957"/>
      <c r="E46" s="957"/>
      <c r="F46" s="154" t="s">
        <v>152</v>
      </c>
      <c r="G46" s="155">
        <f>IF(FD!G44="N+1",FD!R44,FD!Q44)</f>
        <v>0</v>
      </c>
      <c r="H46" s="364">
        <f>INDUSTRIAL!AB29</f>
        <v>0</v>
      </c>
      <c r="I46" s="364">
        <v>0</v>
      </c>
      <c r="J46" s="360">
        <f t="shared" si="6"/>
        <v>0</v>
      </c>
      <c r="K46" s="360">
        <f t="shared" si="7"/>
        <v>0</v>
      </c>
      <c r="L46" s="366">
        <f t="shared" si="8"/>
        <v>0</v>
      </c>
      <c r="M46" s="392" t="b">
        <f>INDUSTRIAL!AC29</f>
        <v>0</v>
      </c>
      <c r="N46" s="360" t="b">
        <f>INDUSTRIAL!AD29</f>
        <v>0</v>
      </c>
      <c r="O46" s="360" t="b">
        <f>INDUSTRIAL!AE29</f>
        <v>0</v>
      </c>
      <c r="P46" s="360" t="b">
        <f>INDUSTRIAL!AF29</f>
        <v>0</v>
      </c>
      <c r="Q46" s="380" t="b">
        <f>INDUSTRIAL!AG29</f>
        <v>0</v>
      </c>
      <c r="R46" s="395"/>
      <c r="S46" s="6"/>
      <c r="T46" s="410"/>
    </row>
    <row r="47" spans="1:20" ht="15" customHeight="1" x14ac:dyDescent="0.3">
      <c r="A47" s="538" t="s">
        <v>1371</v>
      </c>
      <c r="B47" s="957" t="str">
        <f>"Fornecimento de "&amp;INDUSTRIAL!M30&amp;"para "&amp;FD!A45</f>
        <v>Fornecimento de ; ; para 0</v>
      </c>
      <c r="C47" s="957"/>
      <c r="D47" s="957"/>
      <c r="E47" s="957"/>
      <c r="F47" s="154" t="s">
        <v>152</v>
      </c>
      <c r="G47" s="155">
        <f>IF(FD!G45="N+1",FD!R45,FD!Q45)</f>
        <v>0</v>
      </c>
      <c r="H47" s="364">
        <f>INDUSTRIAL!AB30</f>
        <v>0</v>
      </c>
      <c r="I47" s="364">
        <v>0</v>
      </c>
      <c r="J47" s="360">
        <f t="shared" si="6"/>
        <v>0</v>
      </c>
      <c r="K47" s="360">
        <f t="shared" si="7"/>
        <v>0</v>
      </c>
      <c r="L47" s="366">
        <f t="shared" si="8"/>
        <v>0</v>
      </c>
      <c r="M47" s="392" t="b">
        <f>INDUSTRIAL!AC30</f>
        <v>0</v>
      </c>
      <c r="N47" s="360" t="b">
        <f>INDUSTRIAL!AD30</f>
        <v>0</v>
      </c>
      <c r="O47" s="360" t="b">
        <f>INDUSTRIAL!AE30</f>
        <v>0</v>
      </c>
      <c r="P47" s="360" t="b">
        <f>INDUSTRIAL!AF30</f>
        <v>0</v>
      </c>
      <c r="Q47" s="380" t="b">
        <f>INDUSTRIAL!AG30</f>
        <v>0</v>
      </c>
      <c r="R47" s="395"/>
      <c r="S47" s="6"/>
      <c r="T47" s="410"/>
    </row>
    <row r="48" spans="1:20" ht="15" customHeight="1" x14ac:dyDescent="0.3">
      <c r="A48" s="538" t="s">
        <v>1372</v>
      </c>
      <c r="B48" s="957" t="str">
        <f>"Fornecimento de "&amp;INDUSTRIAL!M31&amp;"para "&amp;FD!A46</f>
        <v>Fornecimento de ; ; para 0</v>
      </c>
      <c r="C48" s="957"/>
      <c r="D48" s="957"/>
      <c r="E48" s="957"/>
      <c r="F48" s="154" t="s">
        <v>152</v>
      </c>
      <c r="G48" s="155">
        <f>IF(FD!G46="N+1",FD!R46,FD!Q46)</f>
        <v>0</v>
      </c>
      <c r="H48" s="364">
        <f>INDUSTRIAL!AB31</f>
        <v>0</v>
      </c>
      <c r="I48" s="364">
        <v>0</v>
      </c>
      <c r="J48" s="360">
        <f t="shared" si="6"/>
        <v>0</v>
      </c>
      <c r="K48" s="360">
        <f t="shared" si="7"/>
        <v>0</v>
      </c>
      <c r="L48" s="366">
        <f t="shared" si="8"/>
        <v>0</v>
      </c>
      <c r="M48" s="392" t="b">
        <f>INDUSTRIAL!AC31</f>
        <v>0</v>
      </c>
      <c r="N48" s="360" t="b">
        <f>INDUSTRIAL!AD31</f>
        <v>0</v>
      </c>
      <c r="O48" s="360" t="b">
        <f>INDUSTRIAL!AE31</f>
        <v>0</v>
      </c>
      <c r="P48" s="360" t="b">
        <f>INDUSTRIAL!AF31</f>
        <v>0</v>
      </c>
      <c r="Q48" s="380" t="b">
        <f>INDUSTRIAL!AG31</f>
        <v>0</v>
      </c>
      <c r="R48" s="395"/>
      <c r="S48" s="6"/>
      <c r="T48" s="410"/>
    </row>
    <row r="49" spans="1:20" ht="15" customHeight="1" x14ac:dyDescent="0.3">
      <c r="A49" s="538" t="s">
        <v>1373</v>
      </c>
      <c r="B49" s="957" t="str">
        <f>"Fornecimento de "&amp;INDUSTRIAL!M32&amp;"para "&amp;FD!A47</f>
        <v>Fornecimento de ; ; para 0</v>
      </c>
      <c r="C49" s="957"/>
      <c r="D49" s="957"/>
      <c r="E49" s="957"/>
      <c r="F49" s="154" t="s">
        <v>152</v>
      </c>
      <c r="G49" s="155">
        <f>IF(FD!G47="N+1",FD!R47,FD!Q47)</f>
        <v>0</v>
      </c>
      <c r="H49" s="364">
        <f>INDUSTRIAL!AB32</f>
        <v>0</v>
      </c>
      <c r="I49" s="364">
        <v>0</v>
      </c>
      <c r="J49" s="360">
        <f t="shared" si="6"/>
        <v>0</v>
      </c>
      <c r="K49" s="360">
        <f t="shared" si="7"/>
        <v>0</v>
      </c>
      <c r="L49" s="366">
        <f t="shared" si="8"/>
        <v>0</v>
      </c>
      <c r="M49" s="392" t="b">
        <f>INDUSTRIAL!AC32</f>
        <v>0</v>
      </c>
      <c r="N49" s="360" t="b">
        <f>INDUSTRIAL!AD32</f>
        <v>0</v>
      </c>
      <c r="O49" s="360" t="b">
        <f>INDUSTRIAL!AE32</f>
        <v>0</v>
      </c>
      <c r="P49" s="360" t="b">
        <f>INDUSTRIAL!AF32</f>
        <v>0</v>
      </c>
      <c r="Q49" s="380" t="b">
        <f>INDUSTRIAL!AG32</f>
        <v>0</v>
      </c>
      <c r="R49" s="395"/>
      <c r="S49" s="6"/>
      <c r="T49" s="410"/>
    </row>
    <row r="50" spans="1:20" ht="15" customHeight="1" x14ac:dyDescent="0.3">
      <c r="A50" s="538" t="s">
        <v>1374</v>
      </c>
      <c r="B50" s="957" t="str">
        <f>"Fornecimento de "&amp;INDUSTRIAL!M33&amp;"para "&amp;FD!A48</f>
        <v>Fornecimento de ; ; para 0</v>
      </c>
      <c r="C50" s="957"/>
      <c r="D50" s="957"/>
      <c r="E50" s="957"/>
      <c r="F50" s="154" t="s">
        <v>152</v>
      </c>
      <c r="G50" s="155">
        <f>IF(FD!G48="N+1",FD!R48,FD!Q48)</f>
        <v>0</v>
      </c>
      <c r="H50" s="364">
        <f>INDUSTRIAL!AB33</f>
        <v>0</v>
      </c>
      <c r="I50" s="364">
        <v>0</v>
      </c>
      <c r="J50" s="360">
        <f t="shared" si="6"/>
        <v>0</v>
      </c>
      <c r="K50" s="360">
        <f t="shared" si="7"/>
        <v>0</v>
      </c>
      <c r="L50" s="366">
        <f t="shared" si="8"/>
        <v>0</v>
      </c>
      <c r="M50" s="392" t="b">
        <f>INDUSTRIAL!AC33</f>
        <v>0</v>
      </c>
      <c r="N50" s="360" t="b">
        <f>INDUSTRIAL!AD33</f>
        <v>0</v>
      </c>
      <c r="O50" s="360" t="b">
        <f>INDUSTRIAL!AE33</f>
        <v>0</v>
      </c>
      <c r="P50" s="360" t="b">
        <f>INDUSTRIAL!AF33</f>
        <v>0</v>
      </c>
      <c r="Q50" s="380" t="b">
        <f>INDUSTRIAL!AG33</f>
        <v>0</v>
      </c>
      <c r="R50" s="395"/>
      <c r="S50" s="6"/>
      <c r="T50" s="410"/>
    </row>
    <row r="51" spans="1:20" ht="15" customHeight="1" x14ac:dyDescent="0.3">
      <c r="A51" s="538" t="s">
        <v>1375</v>
      </c>
      <c r="B51" s="957" t="str">
        <f>"Fornecimento de "&amp;INDUSTRIAL!M34&amp;"para "&amp;FD!A49</f>
        <v>Fornecimento de ; ; para Sala de Baterias:</v>
      </c>
      <c r="C51" s="957"/>
      <c r="D51" s="957"/>
      <c r="E51" s="957"/>
      <c r="F51" s="154" t="s">
        <v>152</v>
      </c>
      <c r="G51" s="155">
        <f>IF(FD!G49="N+1",FD!R49,FD!Q49)</f>
        <v>0</v>
      </c>
      <c r="H51" s="364">
        <f>INDUSTRIAL!AB34</f>
        <v>0</v>
      </c>
      <c r="I51" s="364">
        <v>0</v>
      </c>
      <c r="J51" s="360">
        <f t="shared" si="6"/>
        <v>0</v>
      </c>
      <c r="K51" s="360">
        <f t="shared" si="7"/>
        <v>0</v>
      </c>
      <c r="L51" s="366">
        <f t="shared" si="8"/>
        <v>0</v>
      </c>
      <c r="M51" s="392" t="b">
        <f>INDUSTRIAL!AC34</f>
        <v>0</v>
      </c>
      <c r="N51" s="360" t="b">
        <f>INDUSTRIAL!AD34</f>
        <v>0</v>
      </c>
      <c r="O51" s="360" t="b">
        <f>INDUSTRIAL!AE34</f>
        <v>0</v>
      </c>
      <c r="P51" s="360" t="b">
        <f>INDUSTRIAL!AF34</f>
        <v>0</v>
      </c>
      <c r="Q51" s="380" t="b">
        <f>INDUSTRIAL!AG34</f>
        <v>0</v>
      </c>
      <c r="R51" s="395"/>
      <c r="S51" s="6"/>
      <c r="T51" s="410"/>
    </row>
    <row r="52" spans="1:20" ht="15" customHeight="1" x14ac:dyDescent="0.3">
      <c r="A52" s="377" t="s">
        <v>93</v>
      </c>
      <c r="B52" s="959" t="s">
        <v>948</v>
      </c>
      <c r="C52" s="959"/>
      <c r="D52" s="959"/>
      <c r="E52" s="959"/>
      <c r="F52" s="367"/>
      <c r="G52" s="75"/>
      <c r="H52" s="75"/>
      <c r="I52" s="75"/>
      <c r="J52" s="385"/>
      <c r="K52" s="385"/>
      <c r="L52" s="541" t="e">
        <f>SUM(L53:L62)</f>
        <v>#REF!</v>
      </c>
      <c r="M52" s="954"/>
      <c r="N52" s="955"/>
      <c r="O52" s="955"/>
      <c r="P52" s="955"/>
      <c r="Q52" s="956"/>
      <c r="R52" s="395"/>
      <c r="S52" s="6"/>
      <c r="T52" s="410"/>
    </row>
    <row r="53" spans="1:20" ht="15" customHeight="1" x14ac:dyDescent="0.3">
      <c r="A53" s="538" t="s">
        <v>290</v>
      </c>
      <c r="B53" s="957" t="e">
        <f>"Fornecimento de "&amp;#REF!</f>
        <v>#REF!</v>
      </c>
      <c r="C53" s="957"/>
      <c r="D53" s="957"/>
      <c r="E53" s="957"/>
      <c r="F53" s="154" t="s">
        <v>152</v>
      </c>
      <c r="G53" s="155">
        <v>0</v>
      </c>
      <c r="H53" s="364" t="e">
        <f>#REF!</f>
        <v>#REF!</v>
      </c>
      <c r="I53" s="364" t="e">
        <f>#REF!</f>
        <v>#REF!</v>
      </c>
      <c r="J53" s="360" t="e">
        <f>H53*G53</f>
        <v>#REF!</v>
      </c>
      <c r="K53" s="360" t="e">
        <f>I53*G53</f>
        <v>#REF!</v>
      </c>
      <c r="L53" s="366" t="e">
        <f t="shared" ref="L53:L55" si="9">J53+K53</f>
        <v>#REF!</v>
      </c>
      <c r="M53" s="392"/>
      <c r="N53" s="360"/>
      <c r="O53" s="360"/>
      <c r="P53" s="360" t="s">
        <v>716</v>
      </c>
      <c r="Q53" s="380" t="s">
        <v>717</v>
      </c>
      <c r="R53" s="395"/>
      <c r="S53" s="6"/>
      <c r="T53" s="410"/>
    </row>
    <row r="54" spans="1:20" ht="15" customHeight="1" x14ac:dyDescent="0.3">
      <c r="A54" s="538" t="s">
        <v>292</v>
      </c>
      <c r="B54" s="957" t="e">
        <f>"Fornecimento de "&amp;#REF!</f>
        <v>#REF!</v>
      </c>
      <c r="C54" s="957"/>
      <c r="D54" s="957"/>
      <c r="E54" s="957"/>
      <c r="F54" s="154" t="s">
        <v>152</v>
      </c>
      <c r="G54" s="155">
        <v>0</v>
      </c>
      <c r="H54" s="364" t="e">
        <f>#REF!</f>
        <v>#REF!</v>
      </c>
      <c r="I54" s="364" t="e">
        <f>#REF!</f>
        <v>#REF!</v>
      </c>
      <c r="J54" s="360" t="e">
        <f>H54*G54</f>
        <v>#REF!</v>
      </c>
      <c r="K54" s="360" t="e">
        <f>I54*G54</f>
        <v>#REF!</v>
      </c>
      <c r="L54" s="366" t="e">
        <f t="shared" si="9"/>
        <v>#REF!</v>
      </c>
      <c r="M54" s="392"/>
      <c r="N54" s="360"/>
      <c r="O54" s="360"/>
      <c r="P54" s="360"/>
      <c r="Q54" s="380"/>
      <c r="R54" s="395"/>
      <c r="S54" s="6"/>
      <c r="T54" s="410"/>
    </row>
    <row r="55" spans="1:20" ht="15" customHeight="1" x14ac:dyDescent="0.3">
      <c r="A55" s="538" t="s">
        <v>345</v>
      </c>
      <c r="B55" s="957" t="e">
        <f>"Fornecimento de "&amp;#REF!</f>
        <v>#REF!</v>
      </c>
      <c r="C55" s="957"/>
      <c r="D55" s="957"/>
      <c r="E55" s="957"/>
      <c r="F55" s="154" t="s">
        <v>152</v>
      </c>
      <c r="G55" s="155">
        <v>0</v>
      </c>
      <c r="H55" s="364" t="e">
        <f>#REF!</f>
        <v>#REF!</v>
      </c>
      <c r="I55" s="364" t="e">
        <f>#REF!</f>
        <v>#REF!</v>
      </c>
      <c r="J55" s="360" t="e">
        <f>H55*G55</f>
        <v>#REF!</v>
      </c>
      <c r="K55" s="360" t="e">
        <f>I55*G55</f>
        <v>#REF!</v>
      </c>
      <c r="L55" s="366" t="e">
        <f t="shared" si="9"/>
        <v>#REF!</v>
      </c>
      <c r="M55" s="392"/>
      <c r="N55" s="360"/>
      <c r="O55" s="360"/>
      <c r="P55" s="360"/>
      <c r="Q55" s="380"/>
      <c r="R55" s="395"/>
      <c r="S55" s="6"/>
      <c r="T55" s="410"/>
    </row>
    <row r="56" spans="1:20" ht="15" customHeight="1" x14ac:dyDescent="0.3">
      <c r="A56" s="538" t="s">
        <v>347</v>
      </c>
      <c r="B56" s="957" t="e">
        <f>"Fornecimento de "&amp;#REF!</f>
        <v>#REF!</v>
      </c>
      <c r="C56" s="957"/>
      <c r="D56" s="957"/>
      <c r="E56" s="957"/>
      <c r="F56" s="154" t="s">
        <v>152</v>
      </c>
      <c r="G56" s="155">
        <v>0</v>
      </c>
      <c r="H56" s="364" t="e">
        <f>#REF!</f>
        <v>#REF!</v>
      </c>
      <c r="I56" s="364" t="e">
        <f>#REF!</f>
        <v>#REF!</v>
      </c>
      <c r="J56" s="360" t="e">
        <f>G56*H56</f>
        <v>#REF!</v>
      </c>
      <c r="K56" s="360" t="e">
        <f>G56*I56</f>
        <v>#REF!</v>
      </c>
      <c r="L56" s="366" t="e">
        <f>SUM(J56:K56)</f>
        <v>#REF!</v>
      </c>
      <c r="M56" s="392"/>
      <c r="N56" s="360"/>
      <c r="O56" s="360"/>
      <c r="P56" s="360"/>
      <c r="Q56" s="380"/>
      <c r="R56" s="395"/>
      <c r="S56" s="6"/>
      <c r="T56" s="410"/>
    </row>
    <row r="57" spans="1:20" ht="15" customHeight="1" x14ac:dyDescent="0.3">
      <c r="A57" s="538" t="s">
        <v>349</v>
      </c>
      <c r="B57" s="957" t="e">
        <f>"Fornecimento de "&amp;#REF!</f>
        <v>#REF!</v>
      </c>
      <c r="C57" s="957"/>
      <c r="D57" s="957"/>
      <c r="E57" s="957"/>
      <c r="F57" s="154" t="s">
        <v>152</v>
      </c>
      <c r="G57" s="155">
        <v>0</v>
      </c>
      <c r="H57" s="364" t="e">
        <f>#REF!</f>
        <v>#REF!</v>
      </c>
      <c r="I57" s="364" t="e">
        <f>#REF!</f>
        <v>#REF!</v>
      </c>
      <c r="J57" s="360" t="e">
        <f t="shared" ref="J57:J62" si="10">G57*H57</f>
        <v>#REF!</v>
      </c>
      <c r="K57" s="360" t="e">
        <f t="shared" ref="K57:K62" si="11">G57*I57</f>
        <v>#REF!</v>
      </c>
      <c r="L57" s="366" t="e">
        <f t="shared" ref="L57:L62" si="12">SUM(J57:K57)</f>
        <v>#REF!</v>
      </c>
      <c r="M57" s="392"/>
      <c r="N57" s="360"/>
      <c r="O57" s="360"/>
      <c r="P57" s="360"/>
      <c r="Q57" s="380"/>
      <c r="R57" s="395"/>
      <c r="S57" s="6"/>
      <c r="T57" s="410"/>
    </row>
    <row r="58" spans="1:20" ht="15" customHeight="1" x14ac:dyDescent="0.3">
      <c r="A58" s="538" t="s">
        <v>351</v>
      </c>
      <c r="B58" s="957" t="e">
        <f>"Fornecimento de "&amp;#REF!</f>
        <v>#REF!</v>
      </c>
      <c r="C58" s="957"/>
      <c r="D58" s="957"/>
      <c r="E58" s="957"/>
      <c r="F58" s="154" t="s">
        <v>152</v>
      </c>
      <c r="G58" s="155">
        <v>0</v>
      </c>
      <c r="H58" s="364" t="e">
        <f>#REF!</f>
        <v>#REF!</v>
      </c>
      <c r="I58" s="364" t="e">
        <f>#REF!</f>
        <v>#REF!</v>
      </c>
      <c r="J58" s="360" t="e">
        <f t="shared" si="10"/>
        <v>#REF!</v>
      </c>
      <c r="K58" s="360" t="e">
        <f t="shared" si="11"/>
        <v>#REF!</v>
      </c>
      <c r="L58" s="366" t="e">
        <f t="shared" si="12"/>
        <v>#REF!</v>
      </c>
      <c r="M58" s="392"/>
      <c r="N58" s="360"/>
      <c r="O58" s="360"/>
      <c r="P58" s="360"/>
      <c r="Q58" s="380"/>
      <c r="R58" s="395"/>
      <c r="S58" s="6"/>
      <c r="T58" s="410"/>
    </row>
    <row r="59" spans="1:20" ht="15" customHeight="1" x14ac:dyDescent="0.3">
      <c r="A59" s="538" t="s">
        <v>353</v>
      </c>
      <c r="B59" s="957" t="e">
        <f>"Fornecimento de "&amp;#REF!</f>
        <v>#REF!</v>
      </c>
      <c r="C59" s="957"/>
      <c r="D59" s="957"/>
      <c r="E59" s="957"/>
      <c r="F59" s="154" t="s">
        <v>152</v>
      </c>
      <c r="G59" s="155">
        <v>0</v>
      </c>
      <c r="H59" s="364" t="e">
        <f>#REF!</f>
        <v>#REF!</v>
      </c>
      <c r="I59" s="364" t="e">
        <f>#REF!</f>
        <v>#REF!</v>
      </c>
      <c r="J59" s="360" t="e">
        <f t="shared" si="10"/>
        <v>#REF!</v>
      </c>
      <c r="K59" s="360" t="e">
        <f t="shared" si="11"/>
        <v>#REF!</v>
      </c>
      <c r="L59" s="366" t="e">
        <f t="shared" si="12"/>
        <v>#REF!</v>
      </c>
      <c r="M59" s="392"/>
      <c r="N59" s="360"/>
      <c r="O59" s="360"/>
      <c r="P59" s="360"/>
      <c r="Q59" s="380"/>
      <c r="R59" s="395"/>
      <c r="S59" s="6"/>
      <c r="T59" s="410"/>
    </row>
    <row r="60" spans="1:20" ht="15" customHeight="1" x14ac:dyDescent="0.3">
      <c r="A60" s="538" t="s">
        <v>355</v>
      </c>
      <c r="B60" s="957" t="e">
        <f>"Fornecimento de "&amp;#REF!</f>
        <v>#REF!</v>
      </c>
      <c r="C60" s="957"/>
      <c r="D60" s="957"/>
      <c r="E60" s="957"/>
      <c r="F60" s="154" t="s">
        <v>152</v>
      </c>
      <c r="G60" s="155">
        <v>0</v>
      </c>
      <c r="H60" s="364" t="e">
        <f>#REF!</f>
        <v>#REF!</v>
      </c>
      <c r="I60" s="364" t="e">
        <f>#REF!</f>
        <v>#REF!</v>
      </c>
      <c r="J60" s="360" t="e">
        <f t="shared" si="10"/>
        <v>#REF!</v>
      </c>
      <c r="K60" s="360" t="e">
        <f t="shared" si="11"/>
        <v>#REF!</v>
      </c>
      <c r="L60" s="366" t="e">
        <f t="shared" si="12"/>
        <v>#REF!</v>
      </c>
      <c r="M60" s="392"/>
      <c r="N60" s="360"/>
      <c r="O60" s="360"/>
      <c r="P60" s="360"/>
      <c r="Q60" s="380"/>
      <c r="R60" s="395"/>
      <c r="S60" s="6"/>
      <c r="T60" s="410"/>
    </row>
    <row r="61" spans="1:20" ht="15" customHeight="1" x14ac:dyDescent="0.3">
      <c r="A61" s="538" t="s">
        <v>951</v>
      </c>
      <c r="B61" s="957" t="e">
        <f>"Fornecimento de "&amp;#REF!</f>
        <v>#REF!</v>
      </c>
      <c r="C61" s="957"/>
      <c r="D61" s="957"/>
      <c r="E61" s="957"/>
      <c r="F61" s="154" t="s">
        <v>152</v>
      </c>
      <c r="G61" s="155">
        <v>0</v>
      </c>
      <c r="H61" s="364" t="e">
        <f>#REF!</f>
        <v>#REF!</v>
      </c>
      <c r="I61" s="364" t="e">
        <f>#REF!</f>
        <v>#REF!</v>
      </c>
      <c r="J61" s="360" t="e">
        <f t="shared" si="10"/>
        <v>#REF!</v>
      </c>
      <c r="K61" s="360" t="e">
        <f t="shared" si="11"/>
        <v>#REF!</v>
      </c>
      <c r="L61" s="366" t="e">
        <f t="shared" si="12"/>
        <v>#REF!</v>
      </c>
      <c r="M61" s="392"/>
      <c r="N61" s="360"/>
      <c r="O61" s="360"/>
      <c r="P61" s="360"/>
      <c r="Q61" s="380"/>
      <c r="R61" s="395"/>
      <c r="S61" s="6"/>
      <c r="T61" s="410"/>
    </row>
    <row r="62" spans="1:20" ht="15" customHeight="1" x14ac:dyDescent="0.3">
      <c r="A62" s="538" t="s">
        <v>952</v>
      </c>
      <c r="B62" s="957" t="e">
        <f>"Fornecimento de "&amp;#REF!</f>
        <v>#REF!</v>
      </c>
      <c r="C62" s="957"/>
      <c r="D62" s="957"/>
      <c r="E62" s="957"/>
      <c r="F62" s="154" t="s">
        <v>152</v>
      </c>
      <c r="G62" s="155">
        <v>0</v>
      </c>
      <c r="H62" s="364" t="e">
        <f>#REF!</f>
        <v>#REF!</v>
      </c>
      <c r="I62" s="364" t="e">
        <f>#REF!</f>
        <v>#REF!</v>
      </c>
      <c r="J62" s="360" t="e">
        <f t="shared" si="10"/>
        <v>#REF!</v>
      </c>
      <c r="K62" s="360" t="e">
        <f t="shared" si="11"/>
        <v>#REF!</v>
      </c>
      <c r="L62" s="366" t="e">
        <f t="shared" si="12"/>
        <v>#REF!</v>
      </c>
      <c r="M62" s="392"/>
      <c r="N62" s="360"/>
      <c r="O62" s="360"/>
      <c r="P62" s="360"/>
      <c r="Q62" s="380"/>
      <c r="R62" s="395"/>
      <c r="S62" s="6"/>
      <c r="T62" s="410"/>
    </row>
    <row r="63" spans="1:20" ht="15" customHeight="1" x14ac:dyDescent="0.3">
      <c r="A63" s="377" t="s">
        <v>94</v>
      </c>
      <c r="B63" s="959" t="s">
        <v>1111</v>
      </c>
      <c r="C63" s="959"/>
      <c r="D63" s="959"/>
      <c r="E63" s="959"/>
      <c r="F63" s="367"/>
      <c r="G63" s="75"/>
      <c r="H63" s="75"/>
      <c r="I63" s="75"/>
      <c r="J63" s="385"/>
      <c r="K63" s="385"/>
      <c r="L63" s="541">
        <f>SUM(L64:L68)</f>
        <v>0</v>
      </c>
      <c r="M63" s="954"/>
      <c r="N63" s="955"/>
      <c r="O63" s="955"/>
      <c r="P63" s="955"/>
      <c r="Q63" s="956"/>
      <c r="R63" s="395"/>
      <c r="S63" s="6"/>
      <c r="T63" s="410"/>
    </row>
    <row r="64" spans="1:20" ht="15" customHeight="1" x14ac:dyDescent="0.3">
      <c r="A64" s="538" t="s">
        <v>295</v>
      </c>
      <c r="B64" s="957" t="e">
        <f>"Fornecimento de exaustor "&amp;#REF!</f>
        <v>#REF!</v>
      </c>
      <c r="C64" s="957"/>
      <c r="D64" s="957"/>
      <c r="E64" s="957"/>
      <c r="F64" s="154" t="s">
        <v>152</v>
      </c>
      <c r="G64" s="155">
        <v>0</v>
      </c>
      <c r="H64" s="364">
        <f>5000</f>
        <v>5000</v>
      </c>
      <c r="I64" s="364">
        <v>0</v>
      </c>
      <c r="J64" s="360">
        <f>H64*G64</f>
        <v>0</v>
      </c>
      <c r="K64" s="360">
        <f>I64*G64</f>
        <v>0</v>
      </c>
      <c r="L64" s="366">
        <f t="shared" ref="L64:L66" si="13">J64+K64</f>
        <v>0</v>
      </c>
      <c r="M64" s="392"/>
      <c r="N64" s="360"/>
      <c r="O64" s="360"/>
      <c r="P64" s="360" t="e">
        <f>#REF!</f>
        <v>#REF!</v>
      </c>
      <c r="Q64" s="380" t="e">
        <f>#REF!</f>
        <v>#REF!</v>
      </c>
      <c r="R64" s="395"/>
      <c r="S64" s="6"/>
      <c r="T64" s="410"/>
    </row>
    <row r="65" spans="1:20" ht="15" customHeight="1" x14ac:dyDescent="0.3">
      <c r="A65" s="538" t="s">
        <v>298</v>
      </c>
      <c r="B65" s="957" t="e">
        <f>"Fornecimento de "&amp;#REF!</f>
        <v>#REF!</v>
      </c>
      <c r="C65" s="957"/>
      <c r="D65" s="957"/>
      <c r="E65" s="957"/>
      <c r="F65" s="154" t="s">
        <v>152</v>
      </c>
      <c r="G65" s="155">
        <v>0</v>
      </c>
      <c r="H65" s="364">
        <v>0</v>
      </c>
      <c r="I65" s="364">
        <v>0</v>
      </c>
      <c r="J65" s="360">
        <f>H65*G65</f>
        <v>0</v>
      </c>
      <c r="K65" s="360">
        <f>I65*G65</f>
        <v>0</v>
      </c>
      <c r="L65" s="366">
        <f t="shared" si="13"/>
        <v>0</v>
      </c>
      <c r="M65" s="392"/>
      <c r="N65" s="360"/>
      <c r="O65" s="360"/>
      <c r="P65" s="360" t="e">
        <f>#REF!</f>
        <v>#REF!</v>
      </c>
      <c r="Q65" s="380" t="e">
        <f>#REF!</f>
        <v>#REF!</v>
      </c>
      <c r="R65" s="395"/>
      <c r="S65" s="6"/>
      <c r="T65" s="410"/>
    </row>
    <row r="66" spans="1:20" ht="15" customHeight="1" x14ac:dyDescent="0.3">
      <c r="A66" s="538" t="s">
        <v>360</v>
      </c>
      <c r="B66" s="957" t="e">
        <f>"Fornecimento de "&amp;#REF!</f>
        <v>#REF!</v>
      </c>
      <c r="C66" s="957"/>
      <c r="D66" s="957"/>
      <c r="E66" s="957"/>
      <c r="F66" s="154" t="s">
        <v>152</v>
      </c>
      <c r="G66" s="155">
        <v>0</v>
      </c>
      <c r="H66" s="364">
        <v>0</v>
      </c>
      <c r="I66" s="364">
        <v>0</v>
      </c>
      <c r="J66" s="360">
        <f>H66*G66</f>
        <v>0</v>
      </c>
      <c r="K66" s="360">
        <f>I66*G66</f>
        <v>0</v>
      </c>
      <c r="L66" s="366">
        <f t="shared" si="13"/>
        <v>0</v>
      </c>
      <c r="M66" s="392"/>
      <c r="N66" s="360"/>
      <c r="O66" s="360"/>
      <c r="P66" s="360" t="e">
        <f>#REF!</f>
        <v>#REF!</v>
      </c>
      <c r="Q66" s="380" t="e">
        <f>#REF!</f>
        <v>#REF!</v>
      </c>
      <c r="R66" s="395"/>
      <c r="S66" s="6"/>
      <c r="T66" s="410"/>
    </row>
    <row r="67" spans="1:20" ht="15" customHeight="1" x14ac:dyDescent="0.3">
      <c r="A67" s="538" t="s">
        <v>362</v>
      </c>
      <c r="B67" s="957" t="e">
        <f>"Fornecimento de "&amp;#REF!</f>
        <v>#REF!</v>
      </c>
      <c r="C67" s="957"/>
      <c r="D67" s="957"/>
      <c r="E67" s="957"/>
      <c r="F67" s="154" t="s">
        <v>152</v>
      </c>
      <c r="G67" s="155">
        <v>0</v>
      </c>
      <c r="H67" s="364"/>
      <c r="I67" s="364"/>
      <c r="J67" s="360">
        <f>G67*H67</f>
        <v>0</v>
      </c>
      <c r="K67" s="360">
        <f>G67*I67</f>
        <v>0</v>
      </c>
      <c r="L67" s="366">
        <f>SUM(J67:K67)</f>
        <v>0</v>
      </c>
      <c r="M67" s="392"/>
      <c r="N67" s="360"/>
      <c r="O67" s="360"/>
      <c r="P67" s="360" t="e">
        <f>#REF!</f>
        <v>#REF!</v>
      </c>
      <c r="Q67" s="380" t="e">
        <f>#REF!</f>
        <v>#REF!</v>
      </c>
      <c r="R67" s="395"/>
      <c r="S67" s="6"/>
      <c r="T67" s="410"/>
    </row>
    <row r="68" spans="1:20" ht="15" customHeight="1" x14ac:dyDescent="0.3">
      <c r="A68" s="538" t="s">
        <v>554</v>
      </c>
      <c r="B68" s="957" t="e">
        <f>"Fornecimento de "&amp;#REF!</f>
        <v>#REF!</v>
      </c>
      <c r="C68" s="957"/>
      <c r="D68" s="957"/>
      <c r="E68" s="957"/>
      <c r="F68" s="154" t="s">
        <v>152</v>
      </c>
      <c r="G68" s="155">
        <v>0</v>
      </c>
      <c r="H68" s="364"/>
      <c r="I68" s="364"/>
      <c r="J68" s="360">
        <f t="shared" ref="J68" si="14">G68*H68</f>
        <v>0</v>
      </c>
      <c r="K68" s="360">
        <f t="shared" ref="K68" si="15">G68*I68</f>
        <v>0</v>
      </c>
      <c r="L68" s="366">
        <f t="shared" ref="L68" si="16">SUM(J68:K68)</f>
        <v>0</v>
      </c>
      <c r="M68" s="392"/>
      <c r="N68" s="360"/>
      <c r="O68" s="360"/>
      <c r="P68" s="360" t="e">
        <f>#REF!</f>
        <v>#REF!</v>
      </c>
      <c r="Q68" s="380" t="e">
        <f>#REF!</f>
        <v>#REF!</v>
      </c>
      <c r="R68" s="395"/>
      <c r="S68" s="6"/>
      <c r="T68" s="410"/>
    </row>
    <row r="69" spans="1:20" ht="15" customHeight="1" x14ac:dyDescent="0.3">
      <c r="A69" s="377" t="s">
        <v>95</v>
      </c>
      <c r="B69" s="959" t="s">
        <v>1112</v>
      </c>
      <c r="C69" s="959"/>
      <c r="D69" s="959"/>
      <c r="E69" s="959"/>
      <c r="F69" s="367"/>
      <c r="G69" s="75"/>
      <c r="H69" s="75"/>
      <c r="I69" s="75"/>
      <c r="J69" s="385"/>
      <c r="K69" s="385"/>
      <c r="L69" s="541">
        <f>SUM(L70:L74)</f>
        <v>0</v>
      </c>
      <c r="M69" s="954"/>
      <c r="N69" s="955"/>
      <c r="O69" s="955"/>
      <c r="P69" s="955"/>
      <c r="Q69" s="956"/>
      <c r="R69" s="395"/>
      <c r="S69" s="6"/>
      <c r="T69" s="410"/>
    </row>
    <row r="70" spans="1:20" ht="15" customHeight="1" x14ac:dyDescent="0.3">
      <c r="A70" s="538" t="s">
        <v>302</v>
      </c>
      <c r="B70" s="957" t="e">
        <f>"Fornecimento de "&amp;#REF!</f>
        <v>#REF!</v>
      </c>
      <c r="C70" s="957"/>
      <c r="D70" s="957"/>
      <c r="E70" s="957"/>
      <c r="F70" s="154" t="s">
        <v>152</v>
      </c>
      <c r="G70" s="155">
        <v>0</v>
      </c>
      <c r="H70" s="364">
        <v>3100</v>
      </c>
      <c r="I70" s="364">
        <v>0</v>
      </c>
      <c r="J70" s="360">
        <f>H70*G70</f>
        <v>0</v>
      </c>
      <c r="K70" s="360">
        <f>I70*G70</f>
        <v>0</v>
      </c>
      <c r="L70" s="366">
        <f t="shared" ref="L70:L72" si="17">J70+K70</f>
        <v>0</v>
      </c>
      <c r="M70" s="392"/>
      <c r="N70" s="360"/>
      <c r="O70" s="360"/>
      <c r="P70" s="360" t="e">
        <f>#REF!</f>
        <v>#REF!</v>
      </c>
      <c r="Q70" s="380" t="e">
        <f>#REF!</f>
        <v>#REF!</v>
      </c>
      <c r="R70" s="395"/>
      <c r="S70" s="6"/>
      <c r="T70" s="410"/>
    </row>
    <row r="71" spans="1:20" ht="15" customHeight="1" x14ac:dyDescent="0.3">
      <c r="A71" s="538" t="s">
        <v>305</v>
      </c>
      <c r="B71" s="957" t="e">
        <f>"Fornecimento de "&amp;#REF!</f>
        <v>#REF!</v>
      </c>
      <c r="C71" s="957"/>
      <c r="D71" s="957"/>
      <c r="E71" s="957"/>
      <c r="F71" s="154" t="s">
        <v>152</v>
      </c>
      <c r="G71" s="155">
        <v>0</v>
      </c>
      <c r="H71" s="364">
        <v>22100</v>
      </c>
      <c r="I71" s="364">
        <v>0</v>
      </c>
      <c r="J71" s="360">
        <f>H71*G71</f>
        <v>0</v>
      </c>
      <c r="K71" s="360">
        <f>I71*G71</f>
        <v>0</v>
      </c>
      <c r="L71" s="366">
        <f t="shared" si="17"/>
        <v>0</v>
      </c>
      <c r="M71" s="392"/>
      <c r="N71" s="360"/>
      <c r="O71" s="360"/>
      <c r="P71" s="360" t="e">
        <f>#REF!</f>
        <v>#REF!</v>
      </c>
      <c r="Q71" s="380" t="e">
        <f>#REF!</f>
        <v>#REF!</v>
      </c>
      <c r="R71" s="395"/>
      <c r="S71" s="6"/>
      <c r="T71" s="410"/>
    </row>
    <row r="72" spans="1:20" ht="15" customHeight="1" x14ac:dyDescent="0.3">
      <c r="A72" s="538" t="s">
        <v>556</v>
      </c>
      <c r="B72" s="957" t="e">
        <f>"Fornecimento de "&amp;#REF!</f>
        <v>#REF!</v>
      </c>
      <c r="C72" s="957"/>
      <c r="D72" s="957"/>
      <c r="E72" s="957"/>
      <c r="F72" s="154" t="s">
        <v>152</v>
      </c>
      <c r="G72" s="155">
        <v>0</v>
      </c>
      <c r="H72" s="364"/>
      <c r="I72" s="364">
        <v>0</v>
      </c>
      <c r="J72" s="360">
        <f>H72*G72</f>
        <v>0</v>
      </c>
      <c r="K72" s="360">
        <f>I72*G72</f>
        <v>0</v>
      </c>
      <c r="L72" s="366">
        <f t="shared" si="17"/>
        <v>0</v>
      </c>
      <c r="M72" s="392"/>
      <c r="N72" s="360"/>
      <c r="O72" s="360"/>
      <c r="P72" s="360"/>
      <c r="Q72" s="380"/>
      <c r="R72" s="395"/>
      <c r="S72" s="6"/>
      <c r="T72" s="410"/>
    </row>
    <row r="73" spans="1:20" ht="15" customHeight="1" x14ac:dyDescent="0.3">
      <c r="A73" s="538" t="s">
        <v>557</v>
      </c>
      <c r="B73" s="957" t="e">
        <f>"Fornecimento de "&amp;#REF!</f>
        <v>#REF!</v>
      </c>
      <c r="C73" s="957"/>
      <c r="D73" s="957"/>
      <c r="E73" s="957"/>
      <c r="F73" s="154" t="s">
        <v>152</v>
      </c>
      <c r="G73" s="155">
        <v>0</v>
      </c>
      <c r="H73" s="364"/>
      <c r="I73" s="364"/>
      <c r="J73" s="360">
        <f>G73*H73</f>
        <v>0</v>
      </c>
      <c r="K73" s="360">
        <f>G73*I73</f>
        <v>0</v>
      </c>
      <c r="L73" s="366">
        <f>SUM(J73:K73)</f>
        <v>0</v>
      </c>
      <c r="M73" s="392"/>
      <c r="N73" s="360"/>
      <c r="O73" s="360"/>
      <c r="P73" s="360"/>
      <c r="Q73" s="380"/>
      <c r="R73" s="395"/>
      <c r="S73" s="6"/>
      <c r="T73" s="410"/>
    </row>
    <row r="74" spans="1:20" ht="15" customHeight="1" x14ac:dyDescent="0.3">
      <c r="A74" s="538" t="s">
        <v>558</v>
      </c>
      <c r="B74" s="957" t="e">
        <f>"Fornecimento de "&amp;#REF!</f>
        <v>#REF!</v>
      </c>
      <c r="C74" s="957"/>
      <c r="D74" s="957"/>
      <c r="E74" s="957"/>
      <c r="F74" s="154" t="s">
        <v>152</v>
      </c>
      <c r="G74" s="155">
        <v>0</v>
      </c>
      <c r="H74" s="364"/>
      <c r="I74" s="364"/>
      <c r="J74" s="360">
        <f t="shared" ref="J74" si="18">G74*H74</f>
        <v>0</v>
      </c>
      <c r="K74" s="360">
        <f t="shared" ref="K74" si="19">G74*I74</f>
        <v>0</v>
      </c>
      <c r="L74" s="366">
        <f t="shared" ref="L74" si="20">SUM(J74:K74)</f>
        <v>0</v>
      </c>
      <c r="M74" s="392"/>
      <c r="N74" s="360"/>
      <c r="O74" s="360"/>
      <c r="P74" s="360"/>
      <c r="Q74" s="380"/>
      <c r="R74" s="395"/>
      <c r="S74" s="6"/>
      <c r="T74" s="410"/>
    </row>
    <row r="75" spans="1:20" ht="15" customHeight="1" x14ac:dyDescent="0.3">
      <c r="A75" s="377" t="s">
        <v>163</v>
      </c>
      <c r="B75" s="1015" t="s">
        <v>155</v>
      </c>
      <c r="C75" s="1015"/>
      <c r="D75" s="1015"/>
      <c r="E75" s="1015"/>
      <c r="F75" s="160"/>
      <c r="G75" s="161"/>
      <c r="H75" s="161"/>
      <c r="I75" s="161"/>
      <c r="J75" s="161"/>
      <c r="K75" s="161"/>
      <c r="L75" s="541">
        <f>SUM(L76:L81)</f>
        <v>2885</v>
      </c>
      <c r="M75" s="391"/>
      <c r="N75" s="372"/>
      <c r="O75" s="372"/>
      <c r="P75" s="372"/>
      <c r="Q75" s="378"/>
      <c r="R75" s="395"/>
      <c r="S75" s="6"/>
      <c r="T75" s="410" t="e">
        <f>L75/L17</f>
        <v>#REF!</v>
      </c>
    </row>
    <row r="76" spans="1:20" ht="15" customHeight="1" x14ac:dyDescent="0.3">
      <c r="A76" s="379" t="s">
        <v>308</v>
      </c>
      <c r="B76" s="957" t="s">
        <v>291</v>
      </c>
      <c r="C76" s="957"/>
      <c r="D76" s="957"/>
      <c r="E76" s="957"/>
      <c r="F76" s="154" t="s">
        <v>152</v>
      </c>
      <c r="G76" s="155">
        <v>4</v>
      </c>
      <c r="H76" s="364">
        <v>180</v>
      </c>
      <c r="I76" s="364">
        <v>20</v>
      </c>
      <c r="J76" s="360">
        <f t="shared" ref="J76:J81" si="21">H76*G76</f>
        <v>720</v>
      </c>
      <c r="K76" s="360">
        <f t="shared" ref="K76:K81" si="22">I76*G76</f>
        <v>80</v>
      </c>
      <c r="L76" s="366">
        <f>SUM(J76:K76)</f>
        <v>800</v>
      </c>
      <c r="M76" s="392" t="s">
        <v>708</v>
      </c>
      <c r="N76" s="394">
        <v>0.05</v>
      </c>
      <c r="O76" s="394">
        <v>0.18</v>
      </c>
      <c r="P76" s="360" t="s">
        <v>705</v>
      </c>
      <c r="Q76" s="380" t="s">
        <v>706</v>
      </c>
      <c r="R76" s="396"/>
      <c r="T76" s="410"/>
    </row>
    <row r="77" spans="1:20" ht="15" customHeight="1" x14ac:dyDescent="0.3">
      <c r="A77" s="379" t="s">
        <v>710</v>
      </c>
      <c r="B77" s="957" t="s">
        <v>293</v>
      </c>
      <c r="C77" s="957"/>
      <c r="D77" s="957"/>
      <c r="E77" s="957"/>
      <c r="F77" s="154" t="s">
        <v>152</v>
      </c>
      <c r="G77" s="155">
        <v>1</v>
      </c>
      <c r="H77" s="364">
        <v>250</v>
      </c>
      <c r="I77" s="364">
        <v>20</v>
      </c>
      <c r="J77" s="360">
        <f t="shared" si="21"/>
        <v>250</v>
      </c>
      <c r="K77" s="360">
        <f t="shared" si="22"/>
        <v>20</v>
      </c>
      <c r="L77" s="366">
        <f>SUM(J77:K77)</f>
        <v>270</v>
      </c>
      <c r="M77" s="392" t="s">
        <v>708</v>
      </c>
      <c r="N77" s="394">
        <v>0</v>
      </c>
      <c r="O77" s="394">
        <v>0.18</v>
      </c>
      <c r="P77" s="360" t="s">
        <v>705</v>
      </c>
      <c r="Q77" s="380" t="s">
        <v>706</v>
      </c>
      <c r="R77" s="396"/>
      <c r="T77" s="410"/>
    </row>
    <row r="78" spans="1:20" ht="15" customHeight="1" x14ac:dyDescent="0.3">
      <c r="A78" s="379" t="s">
        <v>711</v>
      </c>
      <c r="B78" s="957" t="s">
        <v>549</v>
      </c>
      <c r="C78" s="957"/>
      <c r="D78" s="957"/>
      <c r="E78" s="957"/>
      <c r="F78" s="154" t="s">
        <v>152</v>
      </c>
      <c r="G78" s="155">
        <v>1</v>
      </c>
      <c r="H78" s="364">
        <v>300</v>
      </c>
      <c r="I78" s="364">
        <v>20</v>
      </c>
      <c r="J78" s="360">
        <f t="shared" si="21"/>
        <v>300</v>
      </c>
      <c r="K78" s="360">
        <f t="shared" si="22"/>
        <v>20</v>
      </c>
      <c r="L78" s="366">
        <f t="shared" ref="L78:L81" si="23">SUM(J78:K78)</f>
        <v>320</v>
      </c>
      <c r="M78" s="392" t="s">
        <v>708</v>
      </c>
      <c r="N78" s="394">
        <v>0</v>
      </c>
      <c r="O78" s="394">
        <v>0.18</v>
      </c>
      <c r="P78" s="360" t="s">
        <v>705</v>
      </c>
      <c r="Q78" s="380" t="s">
        <v>706</v>
      </c>
      <c r="R78" s="396"/>
      <c r="T78" s="410"/>
    </row>
    <row r="79" spans="1:20" ht="15" customHeight="1" x14ac:dyDescent="0.3">
      <c r="A79" s="379" t="s">
        <v>1113</v>
      </c>
      <c r="B79" s="957" t="s">
        <v>550</v>
      </c>
      <c r="C79" s="957"/>
      <c r="D79" s="957"/>
      <c r="E79" s="957"/>
      <c r="F79" s="154" t="s">
        <v>152</v>
      </c>
      <c r="G79" s="155">
        <v>1</v>
      </c>
      <c r="H79" s="364">
        <v>35</v>
      </c>
      <c r="I79" s="364">
        <v>20</v>
      </c>
      <c r="J79" s="360">
        <f t="shared" si="21"/>
        <v>35</v>
      </c>
      <c r="K79" s="360">
        <f t="shared" si="22"/>
        <v>20</v>
      </c>
      <c r="L79" s="366">
        <f t="shared" si="23"/>
        <v>55</v>
      </c>
      <c r="M79" s="392" t="s">
        <v>708</v>
      </c>
      <c r="N79" s="360" t="s">
        <v>708</v>
      </c>
      <c r="O79" s="394">
        <v>0.18</v>
      </c>
      <c r="P79" s="360" t="s">
        <v>705</v>
      </c>
      <c r="Q79" s="380" t="s">
        <v>706</v>
      </c>
      <c r="R79" s="396"/>
      <c r="T79" s="410"/>
    </row>
    <row r="80" spans="1:20" ht="15" customHeight="1" x14ac:dyDescent="0.3">
      <c r="A80" s="379" t="s">
        <v>1114</v>
      </c>
      <c r="B80" s="957" t="s">
        <v>586</v>
      </c>
      <c r="C80" s="957"/>
      <c r="D80" s="957"/>
      <c r="E80" s="957"/>
      <c r="F80" s="154" t="s">
        <v>152</v>
      </c>
      <c r="G80" s="155">
        <v>1</v>
      </c>
      <c r="H80" s="364">
        <f>1200</f>
        <v>1200</v>
      </c>
      <c r="I80" s="364">
        <v>20</v>
      </c>
      <c r="J80" s="360">
        <f t="shared" si="21"/>
        <v>1200</v>
      </c>
      <c r="K80" s="360">
        <f t="shared" si="22"/>
        <v>20</v>
      </c>
      <c r="L80" s="366">
        <f t="shared" si="23"/>
        <v>1220</v>
      </c>
      <c r="M80" s="392" t="s">
        <v>708</v>
      </c>
      <c r="N80" s="394">
        <v>0.05</v>
      </c>
      <c r="O80" s="394">
        <v>0.18</v>
      </c>
      <c r="P80" s="360" t="s">
        <v>705</v>
      </c>
      <c r="Q80" s="380" t="s">
        <v>706</v>
      </c>
      <c r="R80" s="396"/>
      <c r="T80" s="410"/>
    </row>
    <row r="81" spans="1:20" ht="15" customHeight="1" x14ac:dyDescent="0.3">
      <c r="A81" s="379" t="s">
        <v>1115</v>
      </c>
      <c r="B81" s="957" t="s">
        <v>587</v>
      </c>
      <c r="C81" s="957"/>
      <c r="D81" s="957"/>
      <c r="E81" s="957"/>
      <c r="F81" s="154" t="s">
        <v>152</v>
      </c>
      <c r="G81" s="155">
        <v>1</v>
      </c>
      <c r="H81" s="364">
        <f>200</f>
        <v>200</v>
      </c>
      <c r="I81" s="364">
        <v>20</v>
      </c>
      <c r="J81" s="360">
        <f t="shared" si="21"/>
        <v>200</v>
      </c>
      <c r="K81" s="360">
        <f t="shared" si="22"/>
        <v>20</v>
      </c>
      <c r="L81" s="366">
        <f t="shared" si="23"/>
        <v>220</v>
      </c>
      <c r="M81" s="392" t="s">
        <v>708</v>
      </c>
      <c r="N81" s="394">
        <v>0.05</v>
      </c>
      <c r="O81" s="394">
        <v>0.18</v>
      </c>
      <c r="P81" s="360" t="s">
        <v>705</v>
      </c>
      <c r="Q81" s="380" t="s">
        <v>706</v>
      </c>
      <c r="R81" s="396"/>
      <c r="T81" s="410"/>
    </row>
    <row r="82" spans="1:20" ht="15" customHeight="1" x14ac:dyDescent="0.3">
      <c r="A82" s="377" t="s">
        <v>202</v>
      </c>
      <c r="B82" s="1015" t="s">
        <v>294</v>
      </c>
      <c r="C82" s="1015"/>
      <c r="D82" s="1015"/>
      <c r="E82" s="1015"/>
      <c r="F82" s="160"/>
      <c r="G82" s="161"/>
      <c r="H82" s="161"/>
      <c r="I82" s="161"/>
      <c r="J82" s="161"/>
      <c r="K82" s="161"/>
      <c r="L82" s="541">
        <f>SUM(L83:L88)</f>
        <v>6183.4000000000005</v>
      </c>
      <c r="M82" s="391"/>
      <c r="N82" s="372"/>
      <c r="O82" s="372"/>
      <c r="P82" s="372"/>
      <c r="Q82" s="378"/>
      <c r="T82" s="410" t="e">
        <f>L82/L17</f>
        <v>#REF!</v>
      </c>
    </row>
    <row r="83" spans="1:20" ht="15" customHeight="1" x14ac:dyDescent="0.3">
      <c r="A83" s="379" t="s">
        <v>310</v>
      </c>
      <c r="B83" s="957" t="s">
        <v>296</v>
      </c>
      <c r="C83" s="957"/>
      <c r="D83" s="957"/>
      <c r="E83" s="957"/>
      <c r="F83" s="154" t="s">
        <v>297</v>
      </c>
      <c r="G83" s="155">
        <v>200</v>
      </c>
      <c r="H83" s="364">
        <v>28</v>
      </c>
      <c r="I83" s="364">
        <v>0</v>
      </c>
      <c r="J83" s="360">
        <f t="shared" ref="J83:J88" si="24">H83*G83</f>
        <v>5600</v>
      </c>
      <c r="K83" s="360">
        <f t="shared" ref="K83:K88" si="25">I83*G83</f>
        <v>0</v>
      </c>
      <c r="L83" s="366">
        <f>SUM(J83:K83)</f>
        <v>5600</v>
      </c>
      <c r="M83" s="392" t="s">
        <v>708</v>
      </c>
      <c r="N83" s="360" t="s">
        <v>708</v>
      </c>
      <c r="O83" s="360" t="s">
        <v>708</v>
      </c>
      <c r="P83" s="360" t="s">
        <v>708</v>
      </c>
      <c r="Q83" s="380" t="s">
        <v>708</v>
      </c>
      <c r="T83" s="410"/>
    </row>
    <row r="84" spans="1:20" ht="15" customHeight="1" x14ac:dyDescent="0.3">
      <c r="A84" s="379" t="s">
        <v>1116</v>
      </c>
      <c r="B84" s="957" t="s">
        <v>299</v>
      </c>
      <c r="C84" s="957"/>
      <c r="D84" s="957"/>
      <c r="E84" s="957"/>
      <c r="F84" s="154" t="s">
        <v>300</v>
      </c>
      <c r="G84" s="155">
        <v>1</v>
      </c>
      <c r="H84" s="364">
        <v>500</v>
      </c>
      <c r="I84" s="364">
        <v>0</v>
      </c>
      <c r="J84" s="360">
        <f t="shared" si="24"/>
        <v>500</v>
      </c>
      <c r="K84" s="360">
        <f t="shared" si="25"/>
        <v>0</v>
      </c>
      <c r="L84" s="366">
        <f>SUM(J84:K84)</f>
        <v>500</v>
      </c>
      <c r="M84" s="392" t="s">
        <v>708</v>
      </c>
      <c r="N84" s="360" t="s">
        <v>708</v>
      </c>
      <c r="O84" s="360" t="s">
        <v>708</v>
      </c>
      <c r="P84" s="360" t="s">
        <v>708</v>
      </c>
      <c r="Q84" s="380" t="s">
        <v>708</v>
      </c>
      <c r="T84" s="410"/>
    </row>
    <row r="85" spans="1:20" ht="15" customHeight="1" x14ac:dyDescent="0.3">
      <c r="A85" s="379" t="s">
        <v>1117</v>
      </c>
      <c r="B85" s="957" t="s">
        <v>564</v>
      </c>
      <c r="C85" s="957"/>
      <c r="D85" s="957"/>
      <c r="E85" s="957"/>
      <c r="F85" s="154" t="s">
        <v>547</v>
      </c>
      <c r="G85" s="155">
        <v>1</v>
      </c>
      <c r="H85" s="364">
        <f>11*2</f>
        <v>22</v>
      </c>
      <c r="I85" s="364">
        <v>0</v>
      </c>
      <c r="J85" s="360">
        <f t="shared" si="24"/>
        <v>22</v>
      </c>
      <c r="K85" s="360">
        <f t="shared" si="25"/>
        <v>0</v>
      </c>
      <c r="L85" s="366">
        <f>SUM(J85:K85)</f>
        <v>22</v>
      </c>
      <c r="M85" s="392" t="s">
        <v>708</v>
      </c>
      <c r="N85" s="360" t="s">
        <v>708</v>
      </c>
      <c r="O85" s="360" t="s">
        <v>708</v>
      </c>
      <c r="P85" s="360" t="s">
        <v>708</v>
      </c>
      <c r="Q85" s="380" t="s">
        <v>708</v>
      </c>
      <c r="T85" s="410"/>
    </row>
    <row r="86" spans="1:20" ht="15" customHeight="1" x14ac:dyDescent="0.3">
      <c r="A86" s="379" t="s">
        <v>1118</v>
      </c>
      <c r="B86" s="957" t="s">
        <v>551</v>
      </c>
      <c r="C86" s="957"/>
      <c r="D86" s="957"/>
      <c r="E86" s="957"/>
      <c r="F86" s="154" t="s">
        <v>304</v>
      </c>
      <c r="G86" s="155">
        <v>1</v>
      </c>
      <c r="H86" s="364">
        <f>24*1.2</f>
        <v>28.799999999999997</v>
      </c>
      <c r="I86" s="364">
        <v>0</v>
      </c>
      <c r="J86" s="360">
        <f t="shared" si="24"/>
        <v>28.799999999999997</v>
      </c>
      <c r="K86" s="360">
        <f t="shared" si="25"/>
        <v>0</v>
      </c>
      <c r="L86" s="366">
        <f t="shared" ref="L86:L88" si="26">SUM(J86:K86)</f>
        <v>28.799999999999997</v>
      </c>
      <c r="M86" s="392" t="s">
        <v>708</v>
      </c>
      <c r="N86" s="360" t="s">
        <v>708</v>
      </c>
      <c r="O86" s="360" t="s">
        <v>708</v>
      </c>
      <c r="P86" s="360" t="s">
        <v>708</v>
      </c>
      <c r="Q86" s="380" t="s">
        <v>708</v>
      </c>
      <c r="T86" s="410"/>
    </row>
    <row r="87" spans="1:20" ht="15" customHeight="1" x14ac:dyDescent="0.3">
      <c r="A87" s="379" t="s">
        <v>1119</v>
      </c>
      <c r="B87" s="957" t="s">
        <v>553</v>
      </c>
      <c r="C87" s="957"/>
      <c r="D87" s="957"/>
      <c r="E87" s="957"/>
      <c r="F87" s="154" t="s">
        <v>152</v>
      </c>
      <c r="G87" s="155">
        <v>1</v>
      </c>
      <c r="H87" s="364">
        <f>23*1.2</f>
        <v>27.599999999999998</v>
      </c>
      <c r="I87" s="364">
        <v>0</v>
      </c>
      <c r="J87" s="360">
        <f t="shared" si="24"/>
        <v>27.599999999999998</v>
      </c>
      <c r="K87" s="360">
        <f t="shared" si="25"/>
        <v>0</v>
      </c>
      <c r="L87" s="366">
        <f t="shared" si="26"/>
        <v>27.599999999999998</v>
      </c>
      <c r="M87" s="392" t="s">
        <v>708</v>
      </c>
      <c r="N87" s="360" t="s">
        <v>708</v>
      </c>
      <c r="O87" s="360" t="s">
        <v>708</v>
      </c>
      <c r="P87" s="360" t="s">
        <v>708</v>
      </c>
      <c r="Q87" s="380" t="s">
        <v>708</v>
      </c>
      <c r="T87" s="410"/>
    </row>
    <row r="88" spans="1:20" ht="15" customHeight="1" x14ac:dyDescent="0.3">
      <c r="A88" s="379" t="s">
        <v>1120</v>
      </c>
      <c r="B88" s="957" t="s">
        <v>555</v>
      </c>
      <c r="C88" s="957"/>
      <c r="D88" s="957"/>
      <c r="E88" s="957"/>
      <c r="F88" s="154" t="s">
        <v>304</v>
      </c>
      <c r="G88" s="155">
        <v>1</v>
      </c>
      <c r="H88" s="364">
        <v>5</v>
      </c>
      <c r="I88" s="364">
        <v>0</v>
      </c>
      <c r="J88" s="360">
        <f t="shared" si="24"/>
        <v>5</v>
      </c>
      <c r="K88" s="360">
        <f t="shared" si="25"/>
        <v>0</v>
      </c>
      <c r="L88" s="366">
        <f t="shared" si="26"/>
        <v>5</v>
      </c>
      <c r="M88" s="392" t="s">
        <v>708</v>
      </c>
      <c r="N88" s="360" t="s">
        <v>708</v>
      </c>
      <c r="O88" s="360" t="s">
        <v>708</v>
      </c>
      <c r="P88" s="360" t="s">
        <v>708</v>
      </c>
      <c r="Q88" s="380" t="s">
        <v>708</v>
      </c>
      <c r="T88" s="410"/>
    </row>
    <row r="89" spans="1:20" ht="15" customHeight="1" x14ac:dyDescent="0.3">
      <c r="A89" s="377" t="s">
        <v>203</v>
      </c>
      <c r="B89" s="1015" t="s">
        <v>301</v>
      </c>
      <c r="C89" s="1015"/>
      <c r="D89" s="1015"/>
      <c r="E89" s="1015"/>
      <c r="F89" s="160"/>
      <c r="G89" s="161"/>
      <c r="H89" s="161"/>
      <c r="I89" s="161"/>
      <c r="J89" s="161"/>
      <c r="K89" s="161"/>
      <c r="L89" s="541">
        <f>SUM(L90:L95)</f>
        <v>2147.6</v>
      </c>
      <c r="M89" s="391"/>
      <c r="N89" s="372"/>
      <c r="O89" s="372"/>
      <c r="P89" s="372"/>
      <c r="Q89" s="378"/>
      <c r="T89" s="410" t="e">
        <f>L89/L17</f>
        <v>#REF!</v>
      </c>
    </row>
    <row r="90" spans="1:20" ht="15" customHeight="1" x14ac:dyDescent="0.3">
      <c r="A90" s="379" t="s">
        <v>312</v>
      </c>
      <c r="B90" s="957" t="s">
        <v>303</v>
      </c>
      <c r="C90" s="957"/>
      <c r="D90" s="957"/>
      <c r="E90" s="957"/>
      <c r="F90" s="154" t="s">
        <v>304</v>
      </c>
      <c r="G90" s="155">
        <v>20</v>
      </c>
      <c r="H90" s="364">
        <v>76.13</v>
      </c>
      <c r="I90" s="364">
        <v>0</v>
      </c>
      <c r="J90" s="360">
        <f t="shared" ref="J90:J95" si="27">H90*G90</f>
        <v>1522.6</v>
      </c>
      <c r="K90" s="360">
        <f t="shared" ref="K90:K95" si="28">I90*G90</f>
        <v>0</v>
      </c>
      <c r="L90" s="366">
        <f>SUM(J90:K90)</f>
        <v>1522.6</v>
      </c>
      <c r="M90" s="392" t="s">
        <v>708</v>
      </c>
      <c r="N90" s="360" t="s">
        <v>708</v>
      </c>
      <c r="O90" s="360" t="s">
        <v>708</v>
      </c>
      <c r="P90" s="360" t="s">
        <v>707</v>
      </c>
      <c r="Q90" s="380" t="s">
        <v>708</v>
      </c>
      <c r="T90" s="410"/>
    </row>
    <row r="91" spans="1:20" ht="15" customHeight="1" x14ac:dyDescent="0.3">
      <c r="A91" s="379" t="s">
        <v>1121</v>
      </c>
      <c r="B91" s="957" t="s">
        <v>306</v>
      </c>
      <c r="C91" s="957"/>
      <c r="D91" s="957"/>
      <c r="E91" s="957"/>
      <c r="F91" s="154" t="s">
        <v>304</v>
      </c>
      <c r="G91" s="155">
        <f>G90</f>
        <v>20</v>
      </c>
      <c r="H91" s="364">
        <v>31.25</v>
      </c>
      <c r="I91" s="364">
        <v>0</v>
      </c>
      <c r="J91" s="360">
        <f t="shared" si="27"/>
        <v>625</v>
      </c>
      <c r="K91" s="360">
        <f t="shared" si="28"/>
        <v>0</v>
      </c>
      <c r="L91" s="366">
        <f>SUM(J91:K91)</f>
        <v>625</v>
      </c>
      <c r="M91" s="392" t="s">
        <v>708</v>
      </c>
      <c r="N91" s="360" t="s">
        <v>708</v>
      </c>
      <c r="O91" s="360" t="s">
        <v>708</v>
      </c>
      <c r="P91" s="360" t="s">
        <v>707</v>
      </c>
      <c r="Q91" s="380" t="s">
        <v>708</v>
      </c>
      <c r="T91" s="410"/>
    </row>
    <row r="92" spans="1:20" ht="15" customHeight="1" x14ac:dyDescent="0.3">
      <c r="A92" s="379" t="s">
        <v>1122</v>
      </c>
      <c r="B92" s="957" t="s">
        <v>559</v>
      </c>
      <c r="C92" s="957"/>
      <c r="D92" s="957"/>
      <c r="E92" s="957"/>
      <c r="F92" s="154" t="s">
        <v>304</v>
      </c>
      <c r="G92" s="155">
        <f>G20*4</f>
        <v>0</v>
      </c>
      <c r="H92" s="364">
        <f>5.95*1.2</f>
        <v>7.14</v>
      </c>
      <c r="I92" s="364">
        <v>0</v>
      </c>
      <c r="J92" s="360">
        <f t="shared" si="27"/>
        <v>0</v>
      </c>
      <c r="K92" s="360">
        <f t="shared" si="28"/>
        <v>0</v>
      </c>
      <c r="L92" s="366">
        <f t="shared" ref="L92:L94" si="29">SUM(J92:K92)</f>
        <v>0</v>
      </c>
      <c r="M92" s="392" t="s">
        <v>708</v>
      </c>
      <c r="N92" s="360" t="s">
        <v>708</v>
      </c>
      <c r="O92" s="360" t="s">
        <v>708</v>
      </c>
      <c r="P92" s="360" t="s">
        <v>707</v>
      </c>
      <c r="Q92" s="380" t="s">
        <v>708</v>
      </c>
      <c r="T92" s="410"/>
    </row>
    <row r="93" spans="1:20" ht="15" customHeight="1" x14ac:dyDescent="0.3">
      <c r="A93" s="379" t="s">
        <v>1123</v>
      </c>
      <c r="B93" s="957" t="s">
        <v>560</v>
      </c>
      <c r="C93" s="957"/>
      <c r="D93" s="957"/>
      <c r="E93" s="957"/>
      <c r="F93" s="154" t="s">
        <v>304</v>
      </c>
      <c r="G93" s="155">
        <f>20*G20</f>
        <v>0</v>
      </c>
      <c r="H93" s="364">
        <f>7.2*1.25</f>
        <v>9</v>
      </c>
      <c r="I93" s="364">
        <v>0</v>
      </c>
      <c r="J93" s="360">
        <f t="shared" si="27"/>
        <v>0</v>
      </c>
      <c r="K93" s="360">
        <f t="shared" si="28"/>
        <v>0</v>
      </c>
      <c r="L93" s="366">
        <f t="shared" si="29"/>
        <v>0</v>
      </c>
      <c r="M93" s="392" t="s">
        <v>708</v>
      </c>
      <c r="N93" s="360" t="s">
        <v>708</v>
      </c>
      <c r="O93" s="360" t="s">
        <v>708</v>
      </c>
      <c r="P93" s="360" t="s">
        <v>707</v>
      </c>
      <c r="Q93" s="380" t="s">
        <v>708</v>
      </c>
      <c r="T93" s="410"/>
    </row>
    <row r="94" spans="1:20" ht="15" customHeight="1" x14ac:dyDescent="0.3">
      <c r="A94" s="379" t="s">
        <v>1124</v>
      </c>
      <c r="B94" s="957" t="s">
        <v>561</v>
      </c>
      <c r="C94" s="957"/>
      <c r="D94" s="957"/>
      <c r="E94" s="957"/>
      <c r="F94" s="154" t="s">
        <v>304</v>
      </c>
      <c r="G94" s="155">
        <f>6*G20</f>
        <v>0</v>
      </c>
      <c r="H94" s="364">
        <f>5.87*1.2</f>
        <v>7.0439999999999996</v>
      </c>
      <c r="I94" s="364">
        <v>0</v>
      </c>
      <c r="J94" s="360">
        <f t="shared" si="27"/>
        <v>0</v>
      </c>
      <c r="K94" s="360">
        <f t="shared" si="28"/>
        <v>0</v>
      </c>
      <c r="L94" s="366">
        <f t="shared" si="29"/>
        <v>0</v>
      </c>
      <c r="M94" s="392" t="s">
        <v>708</v>
      </c>
      <c r="N94" s="360" t="s">
        <v>708</v>
      </c>
      <c r="O94" s="360" t="s">
        <v>708</v>
      </c>
      <c r="P94" s="360" t="s">
        <v>707</v>
      </c>
      <c r="Q94" s="380" t="s">
        <v>708</v>
      </c>
      <c r="T94" s="410"/>
    </row>
    <row r="95" spans="1:20" ht="15" customHeight="1" x14ac:dyDescent="0.3">
      <c r="A95" s="379" t="s">
        <v>1125</v>
      </c>
      <c r="B95" s="957" t="s">
        <v>792</v>
      </c>
      <c r="C95" s="957"/>
      <c r="D95" s="957"/>
      <c r="E95" s="957"/>
      <c r="F95" s="154" t="s">
        <v>152</v>
      </c>
      <c r="G95" s="155">
        <f>SUM(G19,G20)*4</f>
        <v>0</v>
      </c>
      <c r="H95" s="364">
        <v>105</v>
      </c>
      <c r="I95" s="364">
        <v>0</v>
      </c>
      <c r="J95" s="360">
        <f t="shared" si="27"/>
        <v>0</v>
      </c>
      <c r="K95" s="360">
        <f t="shared" si="28"/>
        <v>0</v>
      </c>
      <c r="L95" s="366">
        <f t="shared" ref="L95" si="30">SUM(J95:K95)</f>
        <v>0</v>
      </c>
      <c r="M95" s="392" t="s">
        <v>708</v>
      </c>
      <c r="N95" s="360" t="s">
        <v>708</v>
      </c>
      <c r="O95" s="360" t="s">
        <v>708</v>
      </c>
      <c r="P95" s="360" t="s">
        <v>707</v>
      </c>
      <c r="Q95" s="380" t="s">
        <v>708</v>
      </c>
      <c r="T95" s="410"/>
    </row>
    <row r="96" spans="1:20" ht="15" customHeight="1" x14ac:dyDescent="0.3">
      <c r="A96" s="377" t="s">
        <v>314</v>
      </c>
      <c r="B96" s="1015" t="s">
        <v>562</v>
      </c>
      <c r="C96" s="1015"/>
      <c r="D96" s="1015"/>
      <c r="E96" s="1015"/>
      <c r="F96" s="160"/>
      <c r="G96" s="161"/>
      <c r="H96" s="161"/>
      <c r="I96" s="161"/>
      <c r="J96" s="161"/>
      <c r="K96" s="161"/>
      <c r="L96" s="541">
        <f>SUM(L97:L99)</f>
        <v>528.41999999999996</v>
      </c>
      <c r="M96" s="391"/>
      <c r="N96" s="372"/>
      <c r="O96" s="372"/>
      <c r="P96" s="372"/>
      <c r="Q96" s="378"/>
      <c r="T96" s="410" t="e">
        <f>L96/L17</f>
        <v>#REF!</v>
      </c>
    </row>
    <row r="97" spans="1:20" ht="15" customHeight="1" x14ac:dyDescent="0.3">
      <c r="A97" s="379" t="s">
        <v>315</v>
      </c>
      <c r="B97" s="957" t="s">
        <v>1079</v>
      </c>
      <c r="C97" s="957"/>
      <c r="D97" s="957"/>
      <c r="E97" s="957"/>
      <c r="F97" s="154" t="s">
        <v>304</v>
      </c>
      <c r="G97" s="155">
        <f>G90</f>
        <v>20</v>
      </c>
      <c r="H97" s="364">
        <f>15.18*1.2</f>
        <v>18.215999999999998</v>
      </c>
      <c r="I97" s="364">
        <v>0</v>
      </c>
      <c r="J97" s="360">
        <f>H97*G97</f>
        <v>364.31999999999994</v>
      </c>
      <c r="K97" s="360">
        <f>I97*G97</f>
        <v>0</v>
      </c>
      <c r="L97" s="366">
        <f>SUM(J97:K97)</f>
        <v>364.31999999999994</v>
      </c>
      <c r="M97" s="392" t="s">
        <v>708</v>
      </c>
      <c r="N97" s="360" t="s">
        <v>708</v>
      </c>
      <c r="O97" s="360" t="s">
        <v>708</v>
      </c>
      <c r="P97" s="360" t="s">
        <v>707</v>
      </c>
      <c r="Q97" s="380" t="s">
        <v>708</v>
      </c>
      <c r="T97" s="410"/>
    </row>
    <row r="98" spans="1:20" ht="15" customHeight="1" x14ac:dyDescent="0.3">
      <c r="A98" s="379" t="s">
        <v>1126</v>
      </c>
      <c r="B98" s="957" t="s">
        <v>1080</v>
      </c>
      <c r="C98" s="957"/>
      <c r="D98" s="957"/>
      <c r="E98" s="957"/>
      <c r="F98" s="154" t="s">
        <v>304</v>
      </c>
      <c r="G98" s="155">
        <f>G91</f>
        <v>20</v>
      </c>
      <c r="H98" s="364">
        <f>6.4*1.2</f>
        <v>7.68</v>
      </c>
      <c r="I98" s="364">
        <v>0</v>
      </c>
      <c r="J98" s="360">
        <f>H98*G98</f>
        <v>153.6</v>
      </c>
      <c r="K98" s="360">
        <f>I98*G98</f>
        <v>0</v>
      </c>
      <c r="L98" s="366">
        <f>SUM(J98:K98)</f>
        <v>153.6</v>
      </c>
      <c r="M98" s="392" t="s">
        <v>708</v>
      </c>
      <c r="N98" s="360" t="s">
        <v>708</v>
      </c>
      <c r="O98" s="360" t="s">
        <v>708</v>
      </c>
      <c r="P98" s="360" t="s">
        <v>707</v>
      </c>
      <c r="Q98" s="380" t="s">
        <v>708</v>
      </c>
      <c r="T98" s="410"/>
    </row>
    <row r="99" spans="1:20" ht="15" customHeight="1" x14ac:dyDescent="0.3">
      <c r="A99" s="379" t="s">
        <v>1127</v>
      </c>
      <c r="B99" s="957" t="s">
        <v>563</v>
      </c>
      <c r="C99" s="957"/>
      <c r="D99" s="957"/>
      <c r="E99" s="957"/>
      <c r="F99" s="154" t="s">
        <v>304</v>
      </c>
      <c r="G99" s="155">
        <v>20</v>
      </c>
      <c r="H99" s="364">
        <f>3.5*1.5/10</f>
        <v>0.52500000000000002</v>
      </c>
      <c r="I99" s="364">
        <v>0</v>
      </c>
      <c r="J99" s="360">
        <f>H99*G99</f>
        <v>10.5</v>
      </c>
      <c r="K99" s="360">
        <f>I99*G99</f>
        <v>0</v>
      </c>
      <c r="L99" s="366">
        <f t="shared" ref="L99" si="31">SUM(J99:K99)</f>
        <v>10.5</v>
      </c>
      <c r="M99" s="392" t="s">
        <v>708</v>
      </c>
      <c r="N99" s="360" t="s">
        <v>708</v>
      </c>
      <c r="O99" s="360" t="s">
        <v>708</v>
      </c>
      <c r="P99" s="360" t="s">
        <v>707</v>
      </c>
      <c r="Q99" s="380" t="s">
        <v>708</v>
      </c>
      <c r="T99" s="410"/>
    </row>
    <row r="100" spans="1:20" ht="15" customHeight="1" x14ac:dyDescent="0.3">
      <c r="A100" s="377" t="s">
        <v>1128</v>
      </c>
      <c r="B100" s="1015" t="s">
        <v>565</v>
      </c>
      <c r="C100" s="1015"/>
      <c r="D100" s="1015"/>
      <c r="E100" s="1015"/>
      <c r="F100" s="160"/>
      <c r="G100" s="161"/>
      <c r="H100" s="161"/>
      <c r="I100" s="161"/>
      <c r="J100" s="161"/>
      <c r="K100" s="161"/>
      <c r="L100" s="541">
        <f>SUM(L101:L103)</f>
        <v>346.03199999999998</v>
      </c>
      <c r="M100" s="391"/>
      <c r="N100" s="372"/>
      <c r="O100" s="372"/>
      <c r="P100" s="372"/>
      <c r="Q100" s="378"/>
      <c r="T100" s="410" t="e">
        <f>L100/L17</f>
        <v>#REF!</v>
      </c>
    </row>
    <row r="101" spans="1:20" ht="15" customHeight="1" x14ac:dyDescent="0.3">
      <c r="A101" s="379" t="s">
        <v>594</v>
      </c>
      <c r="B101" s="957" t="s">
        <v>566</v>
      </c>
      <c r="C101" s="957"/>
      <c r="D101" s="957"/>
      <c r="E101" s="957"/>
      <c r="F101" s="154" t="s">
        <v>304</v>
      </c>
      <c r="G101" s="155">
        <f>3*6</f>
        <v>18</v>
      </c>
      <c r="H101" s="364">
        <f>75.8*1.2/6</f>
        <v>15.159999999999998</v>
      </c>
      <c r="I101" s="364">
        <v>0</v>
      </c>
      <c r="J101" s="360">
        <f>H101*G101</f>
        <v>272.88</v>
      </c>
      <c r="K101" s="360">
        <f>I101*G101</f>
        <v>0</v>
      </c>
      <c r="L101" s="366">
        <f>SUM(J101:K101)</f>
        <v>272.88</v>
      </c>
      <c r="M101" s="392" t="s">
        <v>708</v>
      </c>
      <c r="N101" s="360" t="s">
        <v>708</v>
      </c>
      <c r="O101" s="360" t="s">
        <v>708</v>
      </c>
      <c r="P101" s="360" t="s">
        <v>707</v>
      </c>
      <c r="Q101" s="380" t="s">
        <v>708</v>
      </c>
      <c r="T101" s="410"/>
    </row>
    <row r="102" spans="1:20" ht="15" customHeight="1" x14ac:dyDescent="0.3">
      <c r="A102" s="379" t="s">
        <v>712</v>
      </c>
      <c r="B102" s="957" t="s">
        <v>567</v>
      </c>
      <c r="C102" s="957"/>
      <c r="D102" s="957"/>
      <c r="E102" s="957"/>
      <c r="F102" s="154" t="s">
        <v>304</v>
      </c>
      <c r="G102" s="155">
        <f>4*3</f>
        <v>12</v>
      </c>
      <c r="H102" s="364">
        <f>5.5</f>
        <v>5.5</v>
      </c>
      <c r="I102" s="364">
        <v>0</v>
      </c>
      <c r="J102" s="360">
        <f>H102*G102</f>
        <v>66</v>
      </c>
      <c r="K102" s="360">
        <f>I102*G102</f>
        <v>0</v>
      </c>
      <c r="L102" s="366">
        <f>SUM(J102:K102)</f>
        <v>66</v>
      </c>
      <c r="M102" s="392" t="s">
        <v>708</v>
      </c>
      <c r="N102" s="360" t="s">
        <v>708</v>
      </c>
      <c r="O102" s="360" t="s">
        <v>708</v>
      </c>
      <c r="P102" s="360" t="s">
        <v>707</v>
      </c>
      <c r="Q102" s="380" t="s">
        <v>708</v>
      </c>
      <c r="T102" s="410"/>
    </row>
    <row r="103" spans="1:20" ht="15" customHeight="1" x14ac:dyDescent="0.3">
      <c r="A103" s="379" t="s">
        <v>713</v>
      </c>
      <c r="B103" s="957" t="s">
        <v>568</v>
      </c>
      <c r="C103" s="957"/>
      <c r="D103" s="957"/>
      <c r="E103" s="957"/>
      <c r="F103" s="154" t="s">
        <v>304</v>
      </c>
      <c r="G103" s="155">
        <v>20</v>
      </c>
      <c r="H103" s="364">
        <f>14.9*1.2/50</f>
        <v>0.35759999999999997</v>
      </c>
      <c r="I103" s="364">
        <v>0</v>
      </c>
      <c r="J103" s="360">
        <f>H103*G103</f>
        <v>7.1519999999999992</v>
      </c>
      <c r="K103" s="360">
        <f>I103*G103</f>
        <v>0</v>
      </c>
      <c r="L103" s="366">
        <f t="shared" ref="L103" si="32">SUM(J103:K103)</f>
        <v>7.1519999999999992</v>
      </c>
      <c r="M103" s="392" t="s">
        <v>708</v>
      </c>
      <c r="N103" s="360" t="s">
        <v>708</v>
      </c>
      <c r="O103" s="360" t="s">
        <v>708</v>
      </c>
      <c r="P103" s="360" t="s">
        <v>707</v>
      </c>
      <c r="Q103" s="380" t="s">
        <v>708</v>
      </c>
      <c r="T103" s="410"/>
    </row>
    <row r="104" spans="1:20" ht="15" customHeight="1" x14ac:dyDescent="0.3">
      <c r="A104" s="377" t="s">
        <v>595</v>
      </c>
      <c r="B104" s="1015" t="s">
        <v>307</v>
      </c>
      <c r="C104" s="1015"/>
      <c r="D104" s="1015"/>
      <c r="E104" s="1015"/>
      <c r="F104" s="160"/>
      <c r="G104" s="161"/>
      <c r="H104" s="161"/>
      <c r="I104" s="161"/>
      <c r="J104" s="161"/>
      <c r="K104" s="161"/>
      <c r="L104" s="541">
        <f>SUM(L105)</f>
        <v>1081.5999999999999</v>
      </c>
      <c r="M104" s="391"/>
      <c r="N104" s="372"/>
      <c r="O104" s="372"/>
      <c r="P104" s="372"/>
      <c r="Q104" s="378"/>
      <c r="T104" s="410" t="e">
        <f>L104/L17</f>
        <v>#REF!</v>
      </c>
    </row>
    <row r="105" spans="1:20" ht="15" customHeight="1" x14ac:dyDescent="0.3">
      <c r="A105" s="379" t="s">
        <v>596</v>
      </c>
      <c r="B105" s="957" t="s">
        <v>1078</v>
      </c>
      <c r="C105" s="957"/>
      <c r="D105" s="957"/>
      <c r="E105" s="957"/>
      <c r="F105" s="154" t="s">
        <v>304</v>
      </c>
      <c r="G105" s="155">
        <v>40</v>
      </c>
      <c r="H105" s="364">
        <v>27.04</v>
      </c>
      <c r="I105" s="364">
        <v>0</v>
      </c>
      <c r="J105" s="360">
        <f>H105*G105</f>
        <v>1081.5999999999999</v>
      </c>
      <c r="K105" s="360">
        <f>I105*G105</f>
        <v>0</v>
      </c>
      <c r="L105" s="366">
        <f>SUM(J105:K105)</f>
        <v>1081.5999999999999</v>
      </c>
      <c r="M105" s="392" t="s">
        <v>708</v>
      </c>
      <c r="N105" s="360" t="s">
        <v>708</v>
      </c>
      <c r="O105" s="360" t="s">
        <v>708</v>
      </c>
      <c r="P105" s="360" t="s">
        <v>707</v>
      </c>
      <c r="Q105" s="380" t="s">
        <v>708</v>
      </c>
      <c r="T105" s="410"/>
    </row>
    <row r="106" spans="1:20" ht="15" customHeight="1" x14ac:dyDescent="0.3">
      <c r="A106" s="377" t="s">
        <v>714</v>
      </c>
      <c r="B106" s="1015" t="s">
        <v>309</v>
      </c>
      <c r="C106" s="1015"/>
      <c r="D106" s="1015"/>
      <c r="E106" s="1015"/>
      <c r="F106" s="160"/>
      <c r="G106" s="161"/>
      <c r="H106" s="161"/>
      <c r="I106" s="161"/>
      <c r="J106" s="161"/>
      <c r="K106" s="161"/>
      <c r="L106" s="541">
        <f>SUM(L107)</f>
        <v>673.55600000000004</v>
      </c>
      <c r="M106" s="391"/>
      <c r="N106" s="372"/>
      <c r="O106" s="372"/>
      <c r="P106" s="372"/>
      <c r="Q106" s="378"/>
      <c r="T106" s="410" t="e">
        <f>L106/L17</f>
        <v>#REF!</v>
      </c>
    </row>
    <row r="107" spans="1:20" ht="15" customHeight="1" x14ac:dyDescent="0.3">
      <c r="A107" s="379" t="s">
        <v>715</v>
      </c>
      <c r="B107" s="957" t="s">
        <v>311</v>
      </c>
      <c r="C107" s="957"/>
      <c r="D107" s="957"/>
      <c r="E107" s="957"/>
      <c r="F107" s="154" t="s">
        <v>152</v>
      </c>
      <c r="G107" s="155">
        <v>1</v>
      </c>
      <c r="H107" s="364">
        <f>518.12*1.3</f>
        <v>673.55600000000004</v>
      </c>
      <c r="I107" s="364">
        <v>0</v>
      </c>
      <c r="J107" s="360">
        <f>H107*G107</f>
        <v>673.55600000000004</v>
      </c>
      <c r="K107" s="360">
        <f>I107*G107</f>
        <v>0</v>
      </c>
      <c r="L107" s="366">
        <f>SUM(J107:K107)</f>
        <v>673.55600000000004</v>
      </c>
      <c r="M107" s="392" t="s">
        <v>708</v>
      </c>
      <c r="N107" s="360" t="s">
        <v>708</v>
      </c>
      <c r="O107" s="360" t="s">
        <v>708</v>
      </c>
      <c r="P107" s="360" t="s">
        <v>708</v>
      </c>
      <c r="Q107" s="380" t="s">
        <v>708</v>
      </c>
      <c r="T107" s="410"/>
    </row>
    <row r="108" spans="1:20" ht="15" customHeight="1" x14ac:dyDescent="0.3">
      <c r="A108" s="377" t="s">
        <v>1129</v>
      </c>
      <c r="B108" s="1015" t="s">
        <v>588</v>
      </c>
      <c r="C108" s="1015"/>
      <c r="D108" s="1015"/>
      <c r="E108" s="1015"/>
      <c r="F108" s="160"/>
      <c r="G108" s="161"/>
      <c r="H108" s="161"/>
      <c r="I108" s="161"/>
      <c r="J108" s="161"/>
      <c r="K108" s="161"/>
      <c r="L108" s="541">
        <f>SUM(L109:L115)</f>
        <v>331.61039999999997</v>
      </c>
      <c r="M108" s="391"/>
      <c r="N108" s="372"/>
      <c r="O108" s="372"/>
      <c r="P108" s="372"/>
      <c r="Q108" s="378"/>
      <c r="T108" s="410" t="e">
        <f>L108/L17</f>
        <v>#REF!</v>
      </c>
    </row>
    <row r="109" spans="1:20" ht="15" customHeight="1" x14ac:dyDescent="0.3">
      <c r="A109" s="379" t="s">
        <v>1130</v>
      </c>
      <c r="B109" s="957" t="s">
        <v>313</v>
      </c>
      <c r="C109" s="957"/>
      <c r="D109" s="957"/>
      <c r="E109" s="957"/>
      <c r="F109" s="154" t="s">
        <v>152</v>
      </c>
      <c r="G109" s="155">
        <f>G19</f>
        <v>0</v>
      </c>
      <c r="H109" s="364">
        <v>550</v>
      </c>
      <c r="I109" s="364">
        <v>0</v>
      </c>
      <c r="J109" s="360">
        <f t="shared" ref="J109:J115" si="33">H109*G109</f>
        <v>0</v>
      </c>
      <c r="K109" s="360">
        <f t="shared" ref="K109:K115" si="34">I109*G109</f>
        <v>0</v>
      </c>
      <c r="L109" s="366">
        <f>SUM(J109:K109)</f>
        <v>0</v>
      </c>
      <c r="M109" s="392" t="s">
        <v>708</v>
      </c>
      <c r="N109" s="360" t="s">
        <v>708</v>
      </c>
      <c r="O109" s="360" t="s">
        <v>708</v>
      </c>
      <c r="P109" s="360" t="s">
        <v>708</v>
      </c>
      <c r="Q109" s="380" t="s">
        <v>708</v>
      </c>
      <c r="T109" s="410"/>
    </row>
    <row r="110" spans="1:20" ht="15" customHeight="1" x14ac:dyDescent="0.3">
      <c r="A110" s="379" t="s">
        <v>1131</v>
      </c>
      <c r="B110" s="957" t="s">
        <v>569</v>
      </c>
      <c r="C110" s="957"/>
      <c r="D110" s="957"/>
      <c r="E110" s="957"/>
      <c r="F110" s="154" t="s">
        <v>152</v>
      </c>
      <c r="G110" s="155">
        <f>G20</f>
        <v>0</v>
      </c>
      <c r="H110" s="364">
        <v>300</v>
      </c>
      <c r="I110" s="364">
        <v>0</v>
      </c>
      <c r="J110" s="360">
        <f t="shared" si="33"/>
        <v>0</v>
      </c>
      <c r="K110" s="360">
        <f t="shared" si="34"/>
        <v>0</v>
      </c>
      <c r="L110" s="366">
        <f>SUM(J110:K110)</f>
        <v>0</v>
      </c>
      <c r="M110" s="392" t="s">
        <v>708</v>
      </c>
      <c r="N110" s="360" t="s">
        <v>708</v>
      </c>
      <c r="O110" s="360" t="s">
        <v>708</v>
      </c>
      <c r="P110" s="360" t="s">
        <v>708</v>
      </c>
      <c r="Q110" s="380" t="s">
        <v>708</v>
      </c>
      <c r="T110" s="410"/>
    </row>
    <row r="111" spans="1:20" ht="15" customHeight="1" x14ac:dyDescent="0.3">
      <c r="A111" s="379" t="s">
        <v>1132</v>
      </c>
      <c r="B111" s="957" t="s">
        <v>570</v>
      </c>
      <c r="C111" s="957"/>
      <c r="D111" s="957"/>
      <c r="E111" s="957"/>
      <c r="F111" s="154" t="s">
        <v>152</v>
      </c>
      <c r="G111" s="155">
        <f>G22</f>
        <v>0</v>
      </c>
      <c r="H111" s="364">
        <v>220</v>
      </c>
      <c r="I111" s="364">
        <v>0</v>
      </c>
      <c r="J111" s="360">
        <f t="shared" si="33"/>
        <v>0</v>
      </c>
      <c r="K111" s="360">
        <f t="shared" si="34"/>
        <v>0</v>
      </c>
      <c r="L111" s="366">
        <f t="shared" ref="L111:L112" si="35">SUM(J111:K111)</f>
        <v>0</v>
      </c>
      <c r="M111" s="392" t="s">
        <v>708</v>
      </c>
      <c r="N111" s="360" t="s">
        <v>708</v>
      </c>
      <c r="O111" s="360" t="s">
        <v>708</v>
      </c>
      <c r="P111" s="360" t="s">
        <v>708</v>
      </c>
      <c r="Q111" s="380" t="s">
        <v>708</v>
      </c>
      <c r="T111" s="410"/>
    </row>
    <row r="112" spans="1:20" ht="15" customHeight="1" x14ac:dyDescent="0.3">
      <c r="A112" s="379" t="s">
        <v>1133</v>
      </c>
      <c r="B112" s="957" t="s">
        <v>571</v>
      </c>
      <c r="C112" s="957"/>
      <c r="D112" s="957"/>
      <c r="E112" s="957"/>
      <c r="F112" s="154" t="s">
        <v>152</v>
      </c>
      <c r="G112" s="155">
        <v>5</v>
      </c>
      <c r="H112" s="364">
        <f>3.99*1.2</f>
        <v>4.7880000000000003</v>
      </c>
      <c r="I112" s="364">
        <v>0</v>
      </c>
      <c r="J112" s="360">
        <f t="shared" si="33"/>
        <v>23.94</v>
      </c>
      <c r="K112" s="360">
        <f t="shared" si="34"/>
        <v>0</v>
      </c>
      <c r="L112" s="366">
        <f t="shared" si="35"/>
        <v>23.94</v>
      </c>
      <c r="M112" s="392" t="s">
        <v>708</v>
      </c>
      <c r="N112" s="360" t="s">
        <v>708</v>
      </c>
      <c r="O112" s="360" t="s">
        <v>708</v>
      </c>
      <c r="P112" s="360" t="s">
        <v>708</v>
      </c>
      <c r="Q112" s="380" t="s">
        <v>708</v>
      </c>
      <c r="T112" s="410"/>
    </row>
    <row r="113" spans="1:20" ht="15" customHeight="1" x14ac:dyDescent="0.3">
      <c r="A113" s="379" t="s">
        <v>1134</v>
      </c>
      <c r="B113" s="957" t="s">
        <v>573</v>
      </c>
      <c r="C113" s="957"/>
      <c r="D113" s="957"/>
      <c r="E113" s="957"/>
      <c r="F113" s="154" t="s">
        <v>152</v>
      </c>
      <c r="G113" s="155">
        <f>6*3</f>
        <v>18</v>
      </c>
      <c r="H113" s="364">
        <f>9.99*1.2</f>
        <v>11.988</v>
      </c>
      <c r="I113" s="364">
        <v>0</v>
      </c>
      <c r="J113" s="360">
        <f t="shared" si="33"/>
        <v>215.78399999999999</v>
      </c>
      <c r="K113" s="360">
        <f t="shared" si="34"/>
        <v>0</v>
      </c>
      <c r="L113" s="366">
        <f t="shared" ref="L113:L114" si="36">SUM(J113:K113)</f>
        <v>215.78399999999999</v>
      </c>
      <c r="M113" s="392" t="s">
        <v>708</v>
      </c>
      <c r="N113" s="360" t="s">
        <v>708</v>
      </c>
      <c r="O113" s="360" t="s">
        <v>708</v>
      </c>
      <c r="P113" s="360" t="s">
        <v>708</v>
      </c>
      <c r="Q113" s="380" t="s">
        <v>708</v>
      </c>
      <c r="T113" s="410"/>
    </row>
    <row r="114" spans="1:20" ht="15" customHeight="1" x14ac:dyDescent="0.3">
      <c r="A114" s="379" t="s">
        <v>1135</v>
      </c>
      <c r="B114" s="957" t="s">
        <v>572</v>
      </c>
      <c r="C114" s="957"/>
      <c r="D114" s="957"/>
      <c r="E114" s="957"/>
      <c r="F114" s="154" t="s">
        <v>152</v>
      </c>
      <c r="G114" s="155">
        <f>G113</f>
        <v>18</v>
      </c>
      <c r="H114" s="364">
        <f>25.4*1.2/100</f>
        <v>0.30479999999999996</v>
      </c>
      <c r="I114" s="364">
        <v>0</v>
      </c>
      <c r="J114" s="360">
        <f t="shared" si="33"/>
        <v>5.4863999999999997</v>
      </c>
      <c r="K114" s="360">
        <f t="shared" si="34"/>
        <v>0</v>
      </c>
      <c r="L114" s="366">
        <f t="shared" si="36"/>
        <v>5.4863999999999997</v>
      </c>
      <c r="M114" s="392" t="s">
        <v>708</v>
      </c>
      <c r="N114" s="360" t="s">
        <v>708</v>
      </c>
      <c r="O114" s="360" t="s">
        <v>708</v>
      </c>
      <c r="P114" s="360" t="s">
        <v>708</v>
      </c>
      <c r="Q114" s="380" t="s">
        <v>708</v>
      </c>
      <c r="T114" s="410"/>
    </row>
    <row r="115" spans="1:20" ht="15" customHeight="1" x14ac:dyDescent="0.3">
      <c r="A115" s="379" t="s">
        <v>1136</v>
      </c>
      <c r="B115" s="957" t="s">
        <v>552</v>
      </c>
      <c r="C115" s="957"/>
      <c r="D115" s="957"/>
      <c r="E115" s="957"/>
      <c r="F115" s="154" t="s">
        <v>152</v>
      </c>
      <c r="G115" s="155">
        <f>3*4</f>
        <v>12</v>
      </c>
      <c r="H115" s="364">
        <f>6*1.2</f>
        <v>7.1999999999999993</v>
      </c>
      <c r="I115" s="364">
        <v>0</v>
      </c>
      <c r="J115" s="360">
        <f t="shared" si="33"/>
        <v>86.399999999999991</v>
      </c>
      <c r="K115" s="360">
        <f t="shared" si="34"/>
        <v>0</v>
      </c>
      <c r="L115" s="366">
        <f>SUM(J115:K115)</f>
        <v>86.399999999999991</v>
      </c>
      <c r="M115" s="392" t="s">
        <v>708</v>
      </c>
      <c r="N115" s="360" t="s">
        <v>708</v>
      </c>
      <c r="O115" s="360" t="s">
        <v>708</v>
      </c>
      <c r="P115" s="360" t="s">
        <v>708</v>
      </c>
      <c r="Q115" s="380" t="s">
        <v>708</v>
      </c>
      <c r="T115" s="410"/>
    </row>
    <row r="116" spans="1:20" ht="15" customHeight="1" x14ac:dyDescent="0.3">
      <c r="A116" s="377" t="s">
        <v>1137</v>
      </c>
      <c r="B116" s="1015" t="s">
        <v>589</v>
      </c>
      <c r="C116" s="1015"/>
      <c r="D116" s="1015"/>
      <c r="E116" s="1015"/>
      <c r="F116" s="160"/>
      <c r="G116" s="161"/>
      <c r="H116" s="161"/>
      <c r="I116" s="161"/>
      <c r="J116" s="161"/>
      <c r="K116" s="161"/>
      <c r="L116" s="541">
        <f>SUM(L117)</f>
        <v>2</v>
      </c>
      <c r="M116" s="391"/>
      <c r="N116" s="372"/>
      <c r="O116" s="372"/>
      <c r="P116" s="372"/>
      <c r="Q116" s="378"/>
      <c r="T116" s="410" t="e">
        <f>L116/L17</f>
        <v>#REF!</v>
      </c>
    </row>
    <row r="117" spans="1:20" ht="15" customHeight="1" x14ac:dyDescent="0.3">
      <c r="A117" s="379" t="s">
        <v>1138</v>
      </c>
      <c r="B117" s="957" t="s">
        <v>590</v>
      </c>
      <c r="C117" s="957"/>
      <c r="D117" s="957"/>
      <c r="E117" s="957"/>
      <c r="F117" s="154" t="s">
        <v>152</v>
      </c>
      <c r="G117" s="155">
        <v>1</v>
      </c>
      <c r="H117" s="364">
        <v>0</v>
      </c>
      <c r="I117" s="364">
        <v>2</v>
      </c>
      <c r="J117" s="360">
        <f>H117*G117</f>
        <v>0</v>
      </c>
      <c r="K117" s="360">
        <f>I117*G117</f>
        <v>2</v>
      </c>
      <c r="L117" s="366">
        <f>SUM(J117:K117)</f>
        <v>2</v>
      </c>
      <c r="M117" s="392" t="s">
        <v>507</v>
      </c>
      <c r="N117" s="360" t="s">
        <v>507</v>
      </c>
      <c r="O117" s="360" t="s">
        <v>507</v>
      </c>
      <c r="P117" s="360" t="s">
        <v>507</v>
      </c>
      <c r="Q117" s="380" t="s">
        <v>507</v>
      </c>
      <c r="T117" s="410"/>
    </row>
    <row r="118" spans="1:20" ht="15" customHeight="1" x14ac:dyDescent="0.3">
      <c r="A118" s="377" t="s">
        <v>1139</v>
      </c>
      <c r="B118" s="1015" t="s">
        <v>591</v>
      </c>
      <c r="C118" s="1015"/>
      <c r="D118" s="1015"/>
      <c r="E118" s="1015"/>
      <c r="F118" s="160"/>
      <c r="G118" s="161"/>
      <c r="H118" s="161"/>
      <c r="I118" s="161"/>
      <c r="J118" s="161"/>
      <c r="K118" s="161"/>
      <c r="L118" s="541">
        <f>SUM(L119)</f>
        <v>1400</v>
      </c>
      <c r="M118" s="391"/>
      <c r="N118" s="372"/>
      <c r="O118" s="372"/>
      <c r="P118" s="372"/>
      <c r="Q118" s="378"/>
      <c r="T118" s="410" t="e">
        <f>L118/L17</f>
        <v>#REF!</v>
      </c>
    </row>
    <row r="119" spans="1:20" ht="15" customHeight="1" x14ac:dyDescent="0.3">
      <c r="A119" s="379" t="s">
        <v>1140</v>
      </c>
      <c r="B119" s="957" t="s">
        <v>592</v>
      </c>
      <c r="C119" s="957"/>
      <c r="D119" s="957"/>
      <c r="E119" s="957"/>
      <c r="F119" s="154" t="s">
        <v>593</v>
      </c>
      <c r="G119" s="155">
        <v>1</v>
      </c>
      <c r="H119" s="364">
        <v>0</v>
      </c>
      <c r="I119" s="364">
        <v>1400</v>
      </c>
      <c r="J119" s="360">
        <f>H119*G119</f>
        <v>0</v>
      </c>
      <c r="K119" s="360">
        <f>I119*G119</f>
        <v>1400</v>
      </c>
      <c r="L119" s="366">
        <f>SUM(J119:K119)</f>
        <v>1400</v>
      </c>
      <c r="M119" s="392" t="s">
        <v>507</v>
      </c>
      <c r="N119" s="360" t="s">
        <v>507</v>
      </c>
      <c r="O119" s="360" t="s">
        <v>507</v>
      </c>
      <c r="P119" s="360" t="s">
        <v>507</v>
      </c>
      <c r="Q119" s="380" t="s">
        <v>507</v>
      </c>
      <c r="T119" s="410"/>
    </row>
    <row r="120" spans="1:20" ht="15" customHeight="1" x14ac:dyDescent="0.3">
      <c r="A120" s="377" t="s">
        <v>1141</v>
      </c>
      <c r="B120" s="1015" t="s">
        <v>597</v>
      </c>
      <c r="C120" s="1015"/>
      <c r="D120" s="1015"/>
      <c r="E120" s="1015"/>
      <c r="F120" s="160"/>
      <c r="G120" s="161"/>
      <c r="H120" s="161"/>
      <c r="I120" s="161"/>
      <c r="J120" s="161"/>
      <c r="K120" s="161"/>
      <c r="L120" s="541">
        <f>SUM(L121)</f>
        <v>6130</v>
      </c>
      <c r="M120" s="391"/>
      <c r="N120" s="372"/>
      <c r="O120" s="372"/>
      <c r="P120" s="372"/>
      <c r="Q120" s="378"/>
      <c r="T120" s="410" t="e">
        <f>L120/L17</f>
        <v>#REF!</v>
      </c>
    </row>
    <row r="121" spans="1:20" ht="15" customHeight="1" x14ac:dyDescent="0.3">
      <c r="A121" s="379" t="s">
        <v>1142</v>
      </c>
      <c r="B121" s="957" t="s">
        <v>316</v>
      </c>
      <c r="C121" s="957"/>
      <c r="D121" s="957"/>
      <c r="E121" s="957"/>
      <c r="F121" s="154" t="s">
        <v>152</v>
      </c>
      <c r="G121" s="155">
        <v>1</v>
      </c>
      <c r="H121" s="364">
        <v>0</v>
      </c>
      <c r="I121" s="364">
        <f>6130</f>
        <v>6130</v>
      </c>
      <c r="J121" s="360">
        <f>H121*G121</f>
        <v>0</v>
      </c>
      <c r="K121" s="360">
        <f>I121*G121</f>
        <v>6130</v>
      </c>
      <c r="L121" s="366">
        <f>SUM(J121:K121)</f>
        <v>6130</v>
      </c>
      <c r="M121" s="392" t="s">
        <v>507</v>
      </c>
      <c r="N121" s="360" t="s">
        <v>507</v>
      </c>
      <c r="O121" s="360" t="s">
        <v>507</v>
      </c>
      <c r="P121" s="360" t="s">
        <v>507</v>
      </c>
      <c r="Q121" s="380" t="s">
        <v>507</v>
      </c>
      <c r="R121" s="101"/>
    </row>
    <row r="122" spans="1:20" ht="5.0999999999999996" customHeight="1" x14ac:dyDescent="0.3">
      <c r="A122" s="424"/>
      <c r="B122" s="425"/>
      <c r="C122" s="425"/>
      <c r="D122" s="425"/>
      <c r="E122" s="425"/>
      <c r="F122" s="426"/>
      <c r="G122" s="427"/>
      <c r="H122" s="428"/>
      <c r="I122" s="428"/>
      <c r="J122" s="429"/>
      <c r="K122" s="429"/>
      <c r="L122" s="430"/>
      <c r="M122" s="431"/>
      <c r="N122" s="432"/>
      <c r="O122" s="432"/>
      <c r="P122" s="432"/>
      <c r="Q122" s="433"/>
      <c r="R122" s="101"/>
    </row>
    <row r="123" spans="1:20" ht="15" customHeight="1" thickBot="1" x14ac:dyDescent="0.35">
      <c r="A123" s="1016" t="s">
        <v>781</v>
      </c>
      <c r="B123" s="1017"/>
      <c r="C123" s="1017"/>
      <c r="D123" s="1017"/>
      <c r="E123" s="1017"/>
      <c r="F123" s="1017"/>
      <c r="G123" s="1017"/>
      <c r="H123" s="1017"/>
      <c r="I123" s="1017"/>
      <c r="J123" s="481" t="e">
        <f>SUM(J19:J28,J53:J62,J64:J68,J70:J74,J76:J81,J83:J88,J90:J95,J97:J99,J101:J103,J105,J107,J109:J115,J117,J119,J121)</f>
        <v>#REF!</v>
      </c>
      <c r="K123" s="481" t="e">
        <f>SUM(K19:K28,K53:K62,K64:K68,K70:K74,K76:K81,K83:K88,K90:K95,K97:K99,K101:K103,K105,K107,K109:K115,K117,K117:K119,K121)</f>
        <v>#REF!</v>
      </c>
      <c r="L123" s="482" t="e">
        <f t="shared" ref="L123" si="37">SUM(J123:K123)</f>
        <v>#REF!</v>
      </c>
      <c r="M123" s="1028"/>
      <c r="N123" s="1029"/>
      <c r="O123" s="1029"/>
      <c r="P123" s="1029"/>
      <c r="Q123" s="1030"/>
      <c r="R123" s="101"/>
    </row>
    <row r="124" spans="1:20" ht="15" customHeight="1" x14ac:dyDescent="0.3">
      <c r="A124" s="1031" t="s">
        <v>782</v>
      </c>
      <c r="B124" s="1032"/>
      <c r="C124" s="1032"/>
      <c r="D124" s="1032"/>
      <c r="E124" s="1032"/>
      <c r="F124" s="1032"/>
      <c r="G124" s="1032"/>
      <c r="H124" s="1032"/>
      <c r="I124" s="1032"/>
      <c r="J124" s="483" t="s">
        <v>787</v>
      </c>
      <c r="K124" s="484" t="e">
        <f>L124/L126</f>
        <v>#REF!</v>
      </c>
      <c r="L124" s="485" t="e">
        <f>L126-L125-L123</f>
        <v>#REF!</v>
      </c>
      <c r="M124" s="1033" t="s">
        <v>788</v>
      </c>
      <c r="N124" s="1034"/>
      <c r="O124" s="1034"/>
      <c r="P124" s="1034"/>
      <c r="Q124" s="1035"/>
      <c r="R124" s="101"/>
    </row>
    <row r="125" spans="1:20" ht="15" customHeight="1" x14ac:dyDescent="0.3">
      <c r="A125" s="1036" t="s">
        <v>785</v>
      </c>
      <c r="B125" s="1037"/>
      <c r="C125" s="1037"/>
      <c r="D125" s="1037"/>
      <c r="E125" s="1037"/>
      <c r="F125" s="1037"/>
      <c r="G125" s="1037"/>
      <c r="H125" s="1037"/>
      <c r="I125" s="1037"/>
      <c r="J125" s="162" t="s">
        <v>786</v>
      </c>
      <c r="K125" s="414">
        <v>0.18</v>
      </c>
      <c r="L125" s="452" t="e">
        <f>L126*K125</f>
        <v>#REF!</v>
      </c>
      <c r="M125" s="1033"/>
      <c r="N125" s="1034"/>
      <c r="O125" s="1034"/>
      <c r="P125" s="1034"/>
      <c r="Q125" s="1035"/>
      <c r="R125" s="101"/>
    </row>
    <row r="126" spans="1:20" ht="16.8" x14ac:dyDescent="0.3">
      <c r="A126" s="1036" t="s">
        <v>783</v>
      </c>
      <c r="B126" s="1037"/>
      <c r="C126" s="1037"/>
      <c r="D126" s="1037"/>
      <c r="E126" s="1037"/>
      <c r="F126" s="1037"/>
      <c r="G126" s="1037"/>
      <c r="H126" s="1037"/>
      <c r="I126" s="1037"/>
      <c r="J126" s="162" t="s">
        <v>784</v>
      </c>
      <c r="K126" s="414">
        <v>0.35</v>
      </c>
      <c r="L126" s="452" t="e">
        <f>L123*(K126+1)</f>
        <v>#REF!</v>
      </c>
      <c r="M126" s="1033"/>
      <c r="N126" s="1034"/>
      <c r="O126" s="1034"/>
      <c r="P126" s="1034"/>
      <c r="Q126" s="1035"/>
    </row>
    <row r="127" spans="1:20" ht="5.0999999999999996" customHeight="1" x14ac:dyDescent="0.3">
      <c r="A127" s="415"/>
      <c r="B127" s="416"/>
      <c r="C127" s="416"/>
      <c r="D127" s="416"/>
      <c r="E127" s="416"/>
      <c r="F127" s="416"/>
      <c r="G127" s="416"/>
      <c r="H127" s="416"/>
      <c r="I127" s="416"/>
      <c r="J127" s="417"/>
      <c r="K127" s="418"/>
      <c r="L127" s="419"/>
      <c r="M127" s="421"/>
      <c r="N127" s="422"/>
      <c r="O127" s="422"/>
      <c r="P127" s="422"/>
      <c r="Q127" s="423"/>
    </row>
    <row r="128" spans="1:20" ht="16.8" x14ac:dyDescent="0.3">
      <c r="A128" s="1036" t="s">
        <v>790</v>
      </c>
      <c r="B128" s="1037"/>
      <c r="C128" s="1037"/>
      <c r="D128" s="1037"/>
      <c r="E128" s="1037"/>
      <c r="F128" s="1037"/>
      <c r="G128" s="1037"/>
      <c r="H128" s="1037"/>
      <c r="I128" s="1037"/>
      <c r="J128" s="162" t="s">
        <v>7</v>
      </c>
      <c r="K128" s="420" t="s">
        <v>7</v>
      </c>
      <c r="L128" s="386" t="e">
        <f>L123-J18</f>
        <v>#REF!</v>
      </c>
      <c r="M128" s="1038" t="s">
        <v>791</v>
      </c>
      <c r="N128" s="1039"/>
      <c r="O128" s="1039"/>
      <c r="P128" s="1039"/>
      <c r="Q128" s="1040"/>
    </row>
    <row r="129" spans="1:54" ht="16.8" x14ac:dyDescent="0.3">
      <c r="A129" s="1036" t="s">
        <v>782</v>
      </c>
      <c r="B129" s="1037"/>
      <c r="C129" s="1037"/>
      <c r="D129" s="1037"/>
      <c r="E129" s="1037"/>
      <c r="F129" s="1037"/>
      <c r="G129" s="1037"/>
      <c r="H129" s="1037"/>
      <c r="I129" s="1037"/>
      <c r="J129" s="162" t="s">
        <v>787</v>
      </c>
      <c r="K129" s="414" t="e">
        <f>L129/L131</f>
        <v>#REF!</v>
      </c>
      <c r="L129" s="452" t="e">
        <f>L131-L130-L128</f>
        <v>#REF!</v>
      </c>
      <c r="M129" s="1033"/>
      <c r="N129" s="1034"/>
      <c r="O129" s="1034"/>
      <c r="P129" s="1034"/>
      <c r="Q129" s="1035"/>
    </row>
    <row r="130" spans="1:54" ht="16.5" customHeight="1" x14ac:dyDescent="0.3">
      <c r="A130" s="1036" t="s">
        <v>785</v>
      </c>
      <c r="B130" s="1037"/>
      <c r="C130" s="1037"/>
      <c r="D130" s="1037"/>
      <c r="E130" s="1037"/>
      <c r="F130" s="1037"/>
      <c r="G130" s="1037"/>
      <c r="H130" s="1037"/>
      <c r="I130" s="1037"/>
      <c r="J130" s="162" t="s">
        <v>786</v>
      </c>
      <c r="K130" s="414">
        <v>0.18</v>
      </c>
      <c r="L130" s="452" t="e">
        <f>L131*K130</f>
        <v>#REF!</v>
      </c>
      <c r="M130" s="1033"/>
      <c r="N130" s="1034"/>
      <c r="O130" s="1034"/>
      <c r="P130" s="1034"/>
      <c r="Q130" s="1035"/>
    </row>
    <row r="131" spans="1:54" ht="16.8" x14ac:dyDescent="0.3">
      <c r="A131" s="1036" t="s">
        <v>789</v>
      </c>
      <c r="B131" s="1037"/>
      <c r="C131" s="1037"/>
      <c r="D131" s="1037"/>
      <c r="E131" s="1037"/>
      <c r="F131" s="1037"/>
      <c r="G131" s="1037"/>
      <c r="H131" s="1037"/>
      <c r="I131" s="1037"/>
      <c r="J131" s="162" t="s">
        <v>784</v>
      </c>
      <c r="K131" s="414">
        <v>0.35</v>
      </c>
      <c r="L131" s="452" t="e">
        <f>L128*(K131+1)</f>
        <v>#REF!</v>
      </c>
      <c r="M131" s="1033"/>
      <c r="N131" s="1034"/>
      <c r="O131" s="1034"/>
      <c r="P131" s="1034"/>
      <c r="Q131" s="1035"/>
    </row>
    <row r="132" spans="1:54" ht="5.0999999999999996" customHeight="1" thickBot="1" x14ac:dyDescent="0.35">
      <c r="A132" s="381"/>
      <c r="B132" s="382"/>
      <c r="C132" s="382"/>
      <c r="D132" s="382"/>
      <c r="E132" s="382"/>
      <c r="F132" s="382"/>
      <c r="G132" s="382"/>
      <c r="H132" s="382"/>
      <c r="I132" s="382"/>
      <c r="J132" s="383"/>
      <c r="K132" s="383"/>
      <c r="L132" s="383"/>
      <c r="M132" s="393"/>
      <c r="N132" s="383"/>
      <c r="O132" s="383"/>
      <c r="P132" s="383"/>
      <c r="Q132" s="384"/>
    </row>
    <row r="133" spans="1:54" ht="15.75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hidden="1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hidden="1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hidden="1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1018" t="s">
        <v>253</v>
      </c>
      <c r="U136" s="1019"/>
      <c r="V136" s="1019"/>
      <c r="W136" s="1019"/>
      <c r="X136" s="1019"/>
      <c r="Y136" s="1019"/>
      <c r="Z136" s="1019"/>
      <c r="AA136" s="1019"/>
      <c r="AB136" s="1019"/>
      <c r="AC136" s="7"/>
      <c r="AD136" s="7"/>
      <c r="AE136" s="1020" t="s">
        <v>259</v>
      </c>
      <c r="AF136" s="1021"/>
      <c r="AG136" s="1021"/>
      <c r="AH136" s="1021"/>
      <c r="AI136" s="1021"/>
      <c r="AJ136" s="1022"/>
      <c r="AK136" s="7"/>
      <c r="AL136" s="7"/>
      <c r="AM136" s="1020" t="s">
        <v>368</v>
      </c>
      <c r="AN136" s="1021"/>
      <c r="AO136" s="1022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hidden="1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1023"/>
      <c r="AF137" s="1024"/>
      <c r="AG137" s="1024"/>
      <c r="AH137" s="1024"/>
      <c r="AI137" s="1024"/>
      <c r="AJ137" s="1025"/>
      <c r="AK137" s="7"/>
      <c r="AL137" s="3"/>
      <c r="AM137" s="1023"/>
      <c r="AN137" s="1024"/>
      <c r="AO137" s="1025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hidden="1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1026" t="s">
        <v>260</v>
      </c>
      <c r="AF138" s="1027"/>
      <c r="AG138" s="1027"/>
      <c r="AH138" s="149"/>
      <c r="AI138" s="149"/>
      <c r="AJ138" s="150" t="e">
        <f>VLOOKUP(#REF!,AE139:AH143,4,)</f>
        <v>#REF!</v>
      </c>
      <c r="AL138" s="3"/>
      <c r="AM138" s="1026"/>
      <c r="AN138" s="1027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hidden="1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hidden="1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1018" t="s">
        <v>365</v>
      </c>
      <c r="U140" s="1019"/>
      <c r="V140" s="1019"/>
      <c r="W140" s="1019"/>
      <c r="X140" s="1019"/>
      <c r="Y140" s="1019"/>
      <c r="Z140" s="1019"/>
      <c r="AA140" s="1019"/>
      <c r="AB140" s="1019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hidden="1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hidden="1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hidden="1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hidden="1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1050" t="s">
        <v>374</v>
      </c>
      <c r="U144" s="1051"/>
      <c r="V144" s="1051"/>
      <c r="W144" s="1051"/>
      <c r="X144" s="1051"/>
      <c r="Y144" s="1051"/>
      <c r="Z144" s="1051"/>
      <c r="AA144" s="1051"/>
      <c r="AB144" s="1051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hidden="1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1052" t="s">
        <v>264</v>
      </c>
      <c r="AF145" s="1053"/>
      <c r="AG145" s="1053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hidden="1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hidden="1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hidden="1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1041" t="s">
        <v>253</v>
      </c>
      <c r="U148" s="1042"/>
      <c r="V148" s="1042"/>
      <c r="W148" s="1042"/>
      <c r="X148" s="1042"/>
      <c r="Y148" s="1042"/>
      <c r="Z148" s="1042"/>
      <c r="AA148" s="1042"/>
      <c r="AB148" s="1042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hidden="1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hidden="1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hidden="1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1052" t="s">
        <v>263</v>
      </c>
      <c r="AF151" s="1053"/>
      <c r="AG151" s="1053"/>
      <c r="AH151" s="149"/>
      <c r="AI151" s="149"/>
      <c r="AJ151" s="150" t="e">
        <f>VLOOKUP(#REF!,AE152:AH153,4,)</f>
        <v>#REF!</v>
      </c>
      <c r="AP151" s="108"/>
      <c r="AS151" s="211"/>
    </row>
    <row r="152" spans="1:54" hidden="1" x14ac:dyDescent="0.3">
      <c r="S152" s="121"/>
      <c r="T152" s="1041" t="s">
        <v>253</v>
      </c>
      <c r="U152" s="1042"/>
      <c r="V152" s="1042"/>
      <c r="W152" s="1042"/>
      <c r="X152" s="1042"/>
      <c r="Y152" s="1042"/>
      <c r="Z152" s="1042"/>
      <c r="AA152" s="1042"/>
      <c r="AB152" s="1042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hidden="1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hidden="1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hidden="1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1026" t="s">
        <v>261</v>
      </c>
      <c r="AF155" s="1027"/>
      <c r="AG155" s="1027"/>
      <c r="AH155" s="1027"/>
      <c r="AI155" s="149"/>
      <c r="AJ155" s="150" t="e">
        <f>VLOOKUP(#REF!,AE156:AH157,4,)</f>
        <v>#REF!</v>
      </c>
      <c r="AP155" s="108"/>
    </row>
    <row r="156" spans="1:54" hidden="1" x14ac:dyDescent="0.3">
      <c r="S156" s="121"/>
      <c r="T156" s="1041" t="s">
        <v>253</v>
      </c>
      <c r="U156" s="1042"/>
      <c r="V156" s="1042"/>
      <c r="W156" s="1042"/>
      <c r="X156" s="1042"/>
      <c r="Y156" s="1042"/>
      <c r="Z156" s="1042"/>
      <c r="AA156" s="1042"/>
      <c r="AB156" s="1042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hidden="1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hidden="1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1043"/>
      <c r="AF158" s="1044"/>
      <c r="AG158" s="1044"/>
      <c r="AH158" s="1044"/>
      <c r="AI158" s="134"/>
      <c r="AJ158" s="135"/>
      <c r="AP158" s="108"/>
    </row>
    <row r="159" spans="1:54" ht="20.399999999999999" hidden="1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1045" t="s">
        <v>262</v>
      </c>
      <c r="AF159" s="1046"/>
      <c r="AG159" s="1046"/>
      <c r="AH159" s="1046"/>
      <c r="AI159" s="149"/>
      <c r="AJ159" s="150" t="e">
        <f>VLOOKUP(#REF!,AE160:AH162,4,)</f>
        <v>#REF!</v>
      </c>
      <c r="AP159" s="108"/>
    </row>
    <row r="160" spans="1:54" ht="15.6" hidden="1" x14ac:dyDescent="0.3">
      <c r="S160" s="121"/>
      <c r="T160" s="1041" t="s">
        <v>253</v>
      </c>
      <c r="U160" s="1042"/>
      <c r="V160" s="1042"/>
      <c r="W160" s="1042"/>
      <c r="X160" s="1042"/>
      <c r="Y160" s="1042"/>
      <c r="Z160" s="1042"/>
      <c r="AA160" s="1042"/>
      <c r="AB160" s="1042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hidden="1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hidden="1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hidden="1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hidden="1" thickBot="1" x14ac:dyDescent="0.35">
      <c r="R164" s="49"/>
      <c r="S164" s="121"/>
      <c r="T164" s="1047" t="s">
        <v>267</v>
      </c>
      <c r="U164" s="1021"/>
      <c r="V164" s="1021"/>
      <c r="W164" s="1021"/>
      <c r="X164" s="1021"/>
      <c r="Y164" s="1021"/>
      <c r="Z164" s="1021"/>
      <c r="AA164" s="1021"/>
      <c r="AB164" s="1022"/>
      <c r="AE164" s="1048" t="s">
        <v>288</v>
      </c>
      <c r="AF164" s="1049"/>
      <c r="AG164" s="1049"/>
      <c r="AH164" s="151"/>
      <c r="AI164" s="151"/>
      <c r="AJ164" s="150" t="e">
        <f>VLOOKUP(#REF!,AE165:AH167,4,)</f>
        <v>#REF!</v>
      </c>
      <c r="AP164" s="108"/>
    </row>
    <row r="165" spans="18:85" hidden="1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hidden="1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hidden="1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hidden="1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hidden="1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hidden="1" thickBot="1" x14ac:dyDescent="0.35">
      <c r="S170" s="121"/>
      <c r="T170" s="3"/>
      <c r="U170" s="6"/>
      <c r="AI170" s="6"/>
      <c r="AJ170" s="6"/>
      <c r="AP170" s="108"/>
    </row>
    <row r="171" spans="18:85" hidden="1" x14ac:dyDescent="0.3">
      <c r="S171" s="121"/>
      <c r="T171" s="1063" t="s">
        <v>254</v>
      </c>
      <c r="U171" s="1064"/>
      <c r="V171" s="1064"/>
      <c r="W171" s="1064"/>
      <c r="X171" s="1064"/>
      <c r="Y171" s="1064"/>
      <c r="Z171" s="1064"/>
      <c r="AA171" s="1064"/>
      <c r="AB171" s="1064"/>
      <c r="AC171" s="1064"/>
      <c r="AD171" s="1064"/>
      <c r="AE171" s="1064"/>
      <c r="AF171" s="1064"/>
      <c r="AG171" s="1064"/>
      <c r="AH171" s="1064"/>
      <c r="AI171" s="1064"/>
      <c r="AJ171" s="1064"/>
      <c r="AK171" s="1064"/>
      <c r="AL171" s="1064"/>
      <c r="AM171" s="1064"/>
      <c r="AN171" s="1065"/>
      <c r="AP171" s="108"/>
    </row>
    <row r="172" spans="18:85" ht="15" hidden="1" thickBot="1" x14ac:dyDescent="0.35">
      <c r="S172" s="121"/>
      <c r="T172" s="1066"/>
      <c r="U172" s="1067"/>
      <c r="V172" s="1067"/>
      <c r="W172" s="1067"/>
      <c r="X172" s="1067"/>
      <c r="Y172" s="1067"/>
      <c r="Z172" s="1067"/>
      <c r="AA172" s="1067"/>
      <c r="AB172" s="1067"/>
      <c r="AC172" s="1067"/>
      <c r="AD172" s="1067"/>
      <c r="AE172" s="1067"/>
      <c r="AF172" s="1067"/>
      <c r="AG172" s="1067"/>
      <c r="AH172" s="1067"/>
      <c r="AI172" s="1067"/>
      <c r="AJ172" s="1067"/>
      <c r="AK172" s="1067"/>
      <c r="AL172" s="1067"/>
      <c r="AM172" s="1067"/>
      <c r="AN172" s="1068"/>
      <c r="AP172" s="108"/>
    </row>
    <row r="173" spans="18:85" ht="15" hidden="1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hidden="1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hidden="1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hidden="1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hidden="1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hidden="1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hidden="1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hidden="1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hidden="1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hidden="1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hidden="1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hidden="1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hidden="1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hidden="1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hidden="1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hidden="1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hidden="1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hidden="1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hidden="1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hidden="1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hidden="1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hidden="1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hidden="1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hidden="1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hidden="1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hidden="1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hidden="1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hidden="1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hidden="1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hidden="1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hidden="1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hidden="1" x14ac:dyDescent="0.3">
      <c r="S204" s="121"/>
      <c r="AP204" s="108"/>
    </row>
    <row r="205" spans="19:42" ht="15" hidden="1" thickBot="1" x14ac:dyDescent="0.35">
      <c r="S205" s="121"/>
      <c r="AP205" s="108"/>
    </row>
    <row r="206" spans="19:42" hidden="1" x14ac:dyDescent="0.3">
      <c r="S206" s="121"/>
      <c r="T206" s="1063" t="s">
        <v>252</v>
      </c>
      <c r="U206" s="1064"/>
      <c r="V206" s="1064"/>
      <c r="W206" s="1064"/>
      <c r="X206" s="1064"/>
      <c r="Y206" s="1064"/>
      <c r="Z206" s="1064"/>
      <c r="AA206" s="1064"/>
      <c r="AB206" s="1064"/>
      <c r="AC206" s="1064"/>
      <c r="AD206" s="1064"/>
      <c r="AE206" s="1064"/>
      <c r="AF206" s="1064"/>
      <c r="AG206" s="1064"/>
      <c r="AH206" s="1064"/>
      <c r="AI206" s="1064"/>
      <c r="AJ206" s="1064"/>
      <c r="AK206" s="1064"/>
      <c r="AL206" s="1064"/>
      <c r="AM206" s="1064"/>
      <c r="AN206" s="1065"/>
      <c r="AP206" s="108"/>
    </row>
    <row r="207" spans="19:42" ht="15" hidden="1" thickBot="1" x14ac:dyDescent="0.35">
      <c r="S207" s="121"/>
      <c r="T207" s="1066"/>
      <c r="U207" s="1067"/>
      <c r="V207" s="1067"/>
      <c r="W207" s="1067"/>
      <c r="X207" s="1067"/>
      <c r="Y207" s="1067"/>
      <c r="Z207" s="1067"/>
      <c r="AA207" s="1067"/>
      <c r="AB207" s="1067"/>
      <c r="AC207" s="1067"/>
      <c r="AD207" s="1067"/>
      <c r="AE207" s="1067"/>
      <c r="AF207" s="1067"/>
      <c r="AG207" s="1067"/>
      <c r="AH207" s="1067"/>
      <c r="AI207" s="1067"/>
      <c r="AJ207" s="1067"/>
      <c r="AK207" s="1067"/>
      <c r="AL207" s="1067"/>
      <c r="AM207" s="1067"/>
      <c r="AN207" s="1068"/>
      <c r="AP207" s="108"/>
    </row>
    <row r="208" spans="19:42" ht="15" hidden="1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hidden="1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hidden="1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hidden="1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hidden="1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hidden="1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hidden="1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hidden="1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hidden="1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hidden="1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hidden="1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hidden="1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hidden="1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hidden="1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hidden="1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hidden="1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hidden="1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hidden="1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hidden="1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hidden="1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hidden="1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hidden="1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hidden="1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hidden="1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hidden="1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hidden="1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hidden="1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hidden="1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hidden="1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hidden="1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hidden="1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hidden="1" x14ac:dyDescent="0.3">
      <c r="S239" s="121"/>
      <c r="AP239" s="108"/>
    </row>
    <row r="240" spans="19:42" ht="15" hidden="1" thickBot="1" x14ac:dyDescent="0.35">
      <c r="S240" s="121"/>
      <c r="AP240" s="108"/>
    </row>
    <row r="241" spans="19:42" hidden="1" x14ac:dyDescent="0.3">
      <c r="S241" s="121"/>
      <c r="T241" s="1063" t="s">
        <v>369</v>
      </c>
      <c r="U241" s="1064"/>
      <c r="V241" s="1064"/>
      <c r="W241" s="1064"/>
      <c r="X241" s="1064"/>
      <c r="Y241" s="1064"/>
      <c r="Z241" s="1064"/>
      <c r="AA241" s="1064"/>
      <c r="AB241" s="1064"/>
      <c r="AC241" s="1064"/>
      <c r="AD241" s="1064"/>
      <c r="AE241" s="1064"/>
      <c r="AF241" s="1064"/>
      <c r="AG241" s="1064"/>
      <c r="AH241" s="1064"/>
      <c r="AI241" s="1064"/>
      <c r="AJ241" s="1064"/>
      <c r="AK241" s="1064"/>
      <c r="AL241" s="1064"/>
      <c r="AM241" s="1064"/>
      <c r="AN241" s="1065"/>
      <c r="AP241" s="108"/>
    </row>
    <row r="242" spans="19:42" ht="15" hidden="1" thickBot="1" x14ac:dyDescent="0.35">
      <c r="S242" s="121"/>
      <c r="T242" s="1066"/>
      <c r="U242" s="1067"/>
      <c r="V242" s="1067"/>
      <c r="W242" s="1067"/>
      <c r="X242" s="1067"/>
      <c r="Y242" s="1067"/>
      <c r="Z242" s="1067"/>
      <c r="AA242" s="1067"/>
      <c r="AB242" s="1067"/>
      <c r="AC242" s="1067"/>
      <c r="AD242" s="1067"/>
      <c r="AE242" s="1067"/>
      <c r="AF242" s="1067"/>
      <c r="AG242" s="1067"/>
      <c r="AH242" s="1067"/>
      <c r="AI242" s="1067"/>
      <c r="AJ242" s="1067"/>
      <c r="AK242" s="1067"/>
      <c r="AL242" s="1067"/>
      <c r="AM242" s="1067"/>
      <c r="AN242" s="1068"/>
      <c r="AP242" s="108"/>
    </row>
    <row r="243" spans="19:42" ht="15" hidden="1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hidden="1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hidden="1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hidden="1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hidden="1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hidden="1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hidden="1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hidden="1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hidden="1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hidden="1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hidden="1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hidden="1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hidden="1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hidden="1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hidden="1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hidden="1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hidden="1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hidden="1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hidden="1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hidden="1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hidden="1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hidden="1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hidden="1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hidden="1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hidden="1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hidden="1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hidden="1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hidden="1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hidden="1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hidden="1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hidden="1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hidden="1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5" spans="1:42" hidden="1" x14ac:dyDescent="0.3"/>
    <row r="276" spans="1:42" hidden="1" x14ac:dyDescent="0.3"/>
    <row r="277" spans="1:42" hidden="1" x14ac:dyDescent="0.3"/>
    <row r="278" spans="1:42" ht="15" hidden="1" thickBot="1" x14ac:dyDescent="0.35"/>
    <row r="279" spans="1:42" ht="18" thickBot="1" x14ac:dyDescent="0.35">
      <c r="A279" s="1069" t="s">
        <v>470</v>
      </c>
      <c r="B279" s="1070"/>
      <c r="C279" s="1070"/>
      <c r="D279" s="1070"/>
      <c r="E279" s="1070"/>
      <c r="F279" s="1070"/>
      <c r="G279" s="1070"/>
      <c r="H279" s="1070"/>
      <c r="I279" s="1070"/>
      <c r="J279" s="1070"/>
      <c r="K279" s="1070"/>
      <c r="L279" s="1071"/>
      <c r="M279" s="408"/>
      <c r="N279" s="408"/>
      <c r="O279" s="408"/>
      <c r="P279" s="408"/>
      <c r="Q279" s="408"/>
    </row>
    <row r="280" spans="1:42" ht="18" thickBot="1" x14ac:dyDescent="0.35">
      <c r="A280" s="412"/>
      <c r="B280" s="1069" t="s">
        <v>778</v>
      </c>
      <c r="C280" s="1070"/>
      <c r="D280" s="1071"/>
      <c r="E280" s="1069" t="s">
        <v>777</v>
      </c>
      <c r="F280" s="1070"/>
      <c r="G280" s="1070"/>
      <c r="H280" s="1071"/>
      <c r="I280" s="1069" t="s">
        <v>779</v>
      </c>
      <c r="J280" s="1071"/>
      <c r="K280" s="1069" t="s">
        <v>780</v>
      </c>
      <c r="L280" s="1071"/>
      <c r="M280" s="408"/>
      <c r="N280" s="408"/>
      <c r="O280" s="408"/>
      <c r="P280" s="408"/>
      <c r="Q280" s="408"/>
    </row>
    <row r="281" spans="1:42" x14ac:dyDescent="0.3">
      <c r="A281" s="411">
        <v>1</v>
      </c>
      <c r="B281" s="437" t="s">
        <v>772</v>
      </c>
      <c r="C281" s="1054"/>
      <c r="D281" s="1054"/>
      <c r="E281" s="1055" t="s">
        <v>776</v>
      </c>
      <c r="F281" s="1056"/>
      <c r="G281" s="1056"/>
      <c r="H281" s="1057"/>
      <c r="I281" s="1054" t="s">
        <v>7</v>
      </c>
      <c r="J281" s="1054"/>
      <c r="K281" s="1058" t="e">
        <f>L126/SUM([2]CARGAS!G14:G15)</f>
        <v>#REF!</v>
      </c>
      <c r="L281" s="1058"/>
    </row>
    <row r="282" spans="1:42" x14ac:dyDescent="0.3">
      <c r="A282" s="297">
        <v>2</v>
      </c>
      <c r="B282" s="22" t="s">
        <v>773</v>
      </c>
      <c r="C282" s="826"/>
      <c r="D282" s="826"/>
      <c r="E282" s="1059" t="s">
        <v>776</v>
      </c>
      <c r="F282" s="1060"/>
      <c r="G282" s="1060"/>
      <c r="H282" s="1061"/>
      <c r="I282" s="826" t="s">
        <v>7</v>
      </c>
      <c r="J282" s="826"/>
      <c r="K282" s="1062" t="e">
        <f>L126/SUM([2]CARGAS!N14,[2]CARGAS!N15)</f>
        <v>#REF!</v>
      </c>
      <c r="L282" s="1062"/>
    </row>
    <row r="283" spans="1:42" x14ac:dyDescent="0.3">
      <c r="A283" s="297">
        <v>3</v>
      </c>
      <c r="B283" s="22" t="s">
        <v>774</v>
      </c>
      <c r="C283" s="826"/>
      <c r="D283" s="826"/>
      <c r="E283" s="1059" t="s">
        <v>776</v>
      </c>
      <c r="F283" s="1060"/>
      <c r="G283" s="1060"/>
      <c r="H283" s="1061"/>
      <c r="I283" s="826" t="s">
        <v>7</v>
      </c>
      <c r="J283" s="826"/>
      <c r="K283" s="1062"/>
      <c r="L283" s="1062"/>
    </row>
    <row r="284" spans="1:42" x14ac:dyDescent="0.3">
      <c r="A284" s="297">
        <v>4</v>
      </c>
      <c r="B284" s="22" t="s">
        <v>775</v>
      </c>
      <c r="C284" s="826"/>
      <c r="D284" s="826"/>
      <c r="E284" s="1059" t="s">
        <v>776</v>
      </c>
      <c r="F284" s="1060"/>
      <c r="G284" s="1060"/>
      <c r="H284" s="1061"/>
      <c r="I284" s="826" t="s">
        <v>7</v>
      </c>
      <c r="J284" s="826"/>
      <c r="K284" s="1062"/>
      <c r="L284" s="1062"/>
    </row>
    <row r="285" spans="1:42" ht="15" thickBot="1" x14ac:dyDescent="0.35"/>
    <row r="286" spans="1:42" ht="18" thickBot="1" x14ac:dyDescent="0.35">
      <c r="A286" s="1069" t="s">
        <v>801</v>
      </c>
      <c r="B286" s="1070"/>
      <c r="C286" s="1070"/>
      <c r="D286" s="1070"/>
      <c r="E286" s="1070"/>
      <c r="F286" s="1070"/>
      <c r="G286" s="1070"/>
      <c r="H286" s="1070"/>
      <c r="I286" s="1070"/>
      <c r="J286" s="1070"/>
      <c r="K286" s="1070"/>
      <c r="L286" s="1071"/>
      <c r="T286" s="434" t="s">
        <v>793</v>
      </c>
      <c r="U286" s="434" t="s">
        <v>794</v>
      </c>
      <c r="V286" s="434" t="s">
        <v>795</v>
      </c>
      <c r="W286" s="434" t="s">
        <v>796</v>
      </c>
      <c r="X286" s="434" t="s">
        <v>32</v>
      </c>
    </row>
    <row r="287" spans="1:42" ht="18" thickBot="1" x14ac:dyDescent="0.35">
      <c r="A287" s="412"/>
      <c r="B287" s="440" t="s">
        <v>802</v>
      </c>
      <c r="C287" s="451" t="s">
        <v>803</v>
      </c>
      <c r="D287" s="451" t="s">
        <v>829</v>
      </c>
      <c r="E287" s="451" t="s">
        <v>827</v>
      </c>
      <c r="F287" s="1069" t="s">
        <v>828</v>
      </c>
      <c r="G287" s="1070"/>
      <c r="H287" s="1071"/>
      <c r="I287" s="1070" t="s">
        <v>830</v>
      </c>
      <c r="J287" s="1071"/>
      <c r="K287" s="449"/>
      <c r="L287" s="450"/>
      <c r="T287" s="434" t="s">
        <v>797</v>
      </c>
      <c r="U287" s="434" t="s">
        <v>798</v>
      </c>
      <c r="V287" s="434" t="s">
        <v>799</v>
      </c>
      <c r="W287" s="434" t="s">
        <v>800</v>
      </c>
      <c r="X287" s="435"/>
    </row>
    <row r="288" spans="1:42" x14ac:dyDescent="0.3">
      <c r="A288" s="411">
        <v>1</v>
      </c>
      <c r="B288" s="441" t="e">
        <f>L123*0.03</f>
        <v>#REF!</v>
      </c>
      <c r="C288" s="441" t="e">
        <f>T289</f>
        <v>#REF!</v>
      </c>
      <c r="D288" s="413">
        <v>5272</v>
      </c>
      <c r="E288" s="413" t="e">
        <f>AVERAGE(B288:D288)</f>
        <v>#REF!</v>
      </c>
      <c r="F288" s="1072" t="e">
        <f>E288*0.8</f>
        <v>#REF!</v>
      </c>
      <c r="G288" s="1073"/>
      <c r="H288" s="1074"/>
      <c r="I288" s="1075" t="e">
        <f>F288/0.83</f>
        <v>#REF!</v>
      </c>
      <c r="J288" s="1076"/>
      <c r="K288" s="439"/>
      <c r="L288" s="439"/>
      <c r="T288" s="13"/>
      <c r="U288" s="13"/>
      <c r="V288" s="13"/>
      <c r="W288" s="13"/>
      <c r="X288" s="13"/>
    </row>
    <row r="289" spans="1:24" x14ac:dyDescent="0.3">
      <c r="A289" s="297">
        <v>2</v>
      </c>
      <c r="B289" s="22"/>
      <c r="C289" s="22"/>
      <c r="D289" s="22"/>
      <c r="E289" s="22"/>
      <c r="F289" s="1059"/>
      <c r="G289" s="1060"/>
      <c r="H289" s="1061"/>
      <c r="I289" s="22"/>
      <c r="J289" s="22"/>
      <c r="K289" s="438"/>
      <c r="L289" s="438"/>
      <c r="T289" s="436" t="e">
        <f>(U289*V289*X289*1.2)/0.83</f>
        <v>#REF!</v>
      </c>
      <c r="U289" s="13">
        <v>0.56999999999999995</v>
      </c>
      <c r="V289" s="436" t="e">
        <f>L126</f>
        <v>#REF!</v>
      </c>
      <c r="W289" s="436">
        <v>90</v>
      </c>
      <c r="X289" s="13" t="e">
        <f>(W289/V289)^0.5</f>
        <v>#REF!</v>
      </c>
    </row>
    <row r="290" spans="1:24" x14ac:dyDescent="0.3">
      <c r="A290" s="297">
        <v>3</v>
      </c>
      <c r="B290" s="22"/>
      <c r="C290" s="22"/>
      <c r="D290" s="22"/>
      <c r="E290" s="22"/>
      <c r="F290" s="1059"/>
      <c r="G290" s="1060"/>
      <c r="H290" s="1061"/>
      <c r="I290" s="22"/>
      <c r="J290" s="22"/>
      <c r="K290" s="438"/>
      <c r="L290" s="438"/>
    </row>
    <row r="291" spans="1:24" x14ac:dyDescent="0.3">
      <c r="A291" s="297">
        <v>4</v>
      </c>
      <c r="B291" s="22"/>
      <c r="C291" s="22"/>
      <c r="D291" s="22"/>
      <c r="E291" s="22"/>
      <c r="F291" s="1059"/>
      <c r="G291" s="1060"/>
      <c r="H291" s="1061"/>
      <c r="I291" s="22"/>
      <c r="J291" s="22"/>
      <c r="K291" s="438"/>
      <c r="L291" s="438"/>
    </row>
    <row r="294" spans="1:24" x14ac:dyDescent="0.3">
      <c r="T294" s="445" t="s">
        <v>805</v>
      </c>
      <c r="U294" s="442">
        <v>127575</v>
      </c>
      <c r="V294" t="s">
        <v>804</v>
      </c>
    </row>
    <row r="295" spans="1:24" x14ac:dyDescent="0.3">
      <c r="T295" s="445" t="s">
        <v>806</v>
      </c>
      <c r="U295" s="442">
        <v>70875</v>
      </c>
      <c r="V295" t="s">
        <v>804</v>
      </c>
    </row>
    <row r="296" spans="1:24" x14ac:dyDescent="0.3">
      <c r="T296" s="445" t="s">
        <v>807</v>
      </c>
      <c r="U296" s="442">
        <v>6848</v>
      </c>
    </row>
    <row r="298" spans="1:24" x14ac:dyDescent="0.3">
      <c r="T298" t="s">
        <v>808</v>
      </c>
      <c r="U298" s="443">
        <v>6848</v>
      </c>
    </row>
    <row r="299" spans="1:24" x14ac:dyDescent="0.3">
      <c r="T299" t="s">
        <v>809</v>
      </c>
      <c r="U299" s="443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4">
        <v>1</v>
      </c>
      <c r="W302" s="444">
        <v>1</v>
      </c>
    </row>
    <row r="303" spans="1:24" x14ac:dyDescent="0.3">
      <c r="T303" t="s">
        <v>813</v>
      </c>
      <c r="V303" s="444">
        <v>2</v>
      </c>
      <c r="W303" s="444">
        <v>1.1499999999999999</v>
      </c>
    </row>
    <row r="304" spans="1:24" x14ac:dyDescent="0.3">
      <c r="T304" t="s">
        <v>814</v>
      </c>
      <c r="V304" s="444">
        <v>3</v>
      </c>
      <c r="W304" s="444">
        <v>1.3</v>
      </c>
    </row>
    <row r="305" spans="20:23" x14ac:dyDescent="0.3">
      <c r="T305" t="s">
        <v>815</v>
      </c>
      <c r="V305" s="444">
        <v>4</v>
      </c>
      <c r="W305" s="444">
        <v>1.1000000000000001</v>
      </c>
    </row>
    <row r="306" spans="20:23" x14ac:dyDescent="0.3">
      <c r="T306" t="s">
        <v>816</v>
      </c>
      <c r="V306" s="444">
        <v>5</v>
      </c>
      <c r="W306" s="444"/>
    </row>
    <row r="307" spans="20:23" x14ac:dyDescent="0.3">
      <c r="T307" s="446" t="s">
        <v>817</v>
      </c>
      <c r="V307" s="444">
        <v>6</v>
      </c>
      <c r="W307" s="444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4">
        <v>100</v>
      </c>
      <c r="U310" s="447">
        <v>5.4399999999999997E-2</v>
      </c>
      <c r="V310" s="447">
        <f>(U310+U311)/2</f>
        <v>5.28E-2</v>
      </c>
    </row>
    <row r="311" spans="20:23" x14ac:dyDescent="0.3">
      <c r="T311" s="444">
        <v>250</v>
      </c>
      <c r="U311" s="447">
        <v>5.1200000000000002E-2</v>
      </c>
      <c r="V311" s="447">
        <f t="shared" ref="V311:V320" si="40">(U311+U312)/2</f>
        <v>4.9600000000000005E-2</v>
      </c>
    </row>
    <row r="312" spans="20:23" x14ac:dyDescent="0.3">
      <c r="T312" s="444">
        <v>475</v>
      </c>
      <c r="U312" s="447">
        <v>4.8000000000000001E-2</v>
      </c>
      <c r="V312" s="447">
        <f t="shared" si="40"/>
        <v>4.6399999999999997E-2</v>
      </c>
    </row>
    <row r="313" spans="20:23" x14ac:dyDescent="0.3">
      <c r="T313" s="444">
        <v>750</v>
      </c>
      <c r="U313" s="447">
        <v>4.48E-2</v>
      </c>
      <c r="V313" s="447">
        <f t="shared" si="40"/>
        <v>4.3200000000000002E-2</v>
      </c>
    </row>
    <row r="314" spans="20:23" x14ac:dyDescent="0.3">
      <c r="T314" s="444">
        <v>1250</v>
      </c>
      <c r="U314" s="447">
        <v>4.1599999999999998E-2</v>
      </c>
      <c r="V314" s="447">
        <f t="shared" si="40"/>
        <v>3.9999999999999994E-2</v>
      </c>
    </row>
    <row r="315" spans="20:23" x14ac:dyDescent="0.3">
      <c r="T315" s="444">
        <v>1900</v>
      </c>
      <c r="U315" s="447">
        <v>3.8399999999999997E-2</v>
      </c>
      <c r="V315" s="447">
        <f t="shared" si="40"/>
        <v>3.6799999999999999E-2</v>
      </c>
    </row>
    <row r="316" spans="20:23" x14ac:dyDescent="0.3">
      <c r="T316" s="444">
        <v>3400</v>
      </c>
      <c r="U316" s="447">
        <v>3.5200000000000002E-2</v>
      </c>
      <c r="V316" s="447">
        <f t="shared" si="40"/>
        <v>3.44E-2</v>
      </c>
    </row>
    <row r="317" spans="20:23" x14ac:dyDescent="0.3">
      <c r="T317" s="444">
        <v>5000</v>
      </c>
      <c r="U317" s="447">
        <v>3.3599999999999998E-2</v>
      </c>
      <c r="V317" s="447">
        <f t="shared" si="40"/>
        <v>3.2799999999999996E-2</v>
      </c>
    </row>
    <row r="318" spans="20:23" x14ac:dyDescent="0.3">
      <c r="T318" s="444">
        <v>7000</v>
      </c>
      <c r="U318" s="447">
        <v>3.2000000000000001E-2</v>
      </c>
      <c r="V318" s="447">
        <f t="shared" si="40"/>
        <v>2.8799999999999999E-2</v>
      </c>
    </row>
    <row r="319" spans="20:23" x14ac:dyDescent="0.3">
      <c r="T319" s="444">
        <v>14000</v>
      </c>
      <c r="U319" s="447">
        <v>2.5600000000000001E-2</v>
      </c>
      <c r="V319" s="447">
        <f t="shared" si="40"/>
        <v>2.24E-2</v>
      </c>
    </row>
    <row r="320" spans="20:23" x14ac:dyDescent="0.3">
      <c r="T320" s="444">
        <v>28000</v>
      </c>
      <c r="U320" s="447">
        <v>1.9199999999999998E-2</v>
      </c>
      <c r="V320" s="447">
        <f t="shared" si="40"/>
        <v>1.7599999999999998E-2</v>
      </c>
    </row>
    <row r="321" spans="20:28" x14ac:dyDescent="0.3">
      <c r="T321" s="444">
        <v>56000</v>
      </c>
      <c r="U321" s="447">
        <v>1.6E-2</v>
      </c>
      <c r="V321" s="447">
        <f>U321</f>
        <v>1.6E-2</v>
      </c>
    </row>
    <row r="323" spans="20:28" x14ac:dyDescent="0.3">
      <c r="T323" s="446" t="s">
        <v>821</v>
      </c>
      <c r="V323" s="446" t="s">
        <v>822</v>
      </c>
      <c r="W323" s="446" t="s">
        <v>823</v>
      </c>
      <c r="AB323" s="444"/>
    </row>
    <row r="324" spans="20:28" x14ac:dyDescent="0.3">
      <c r="T324" s="446" t="s">
        <v>824</v>
      </c>
      <c r="V324">
        <v>1</v>
      </c>
      <c r="W324" s="448">
        <v>4725</v>
      </c>
    </row>
    <row r="325" spans="20:28" x14ac:dyDescent="0.3">
      <c r="T325" s="446" t="s">
        <v>825</v>
      </c>
      <c r="V325">
        <v>2</v>
      </c>
      <c r="W325" s="448">
        <v>7875</v>
      </c>
    </row>
    <row r="326" spans="20:28" x14ac:dyDescent="0.3">
      <c r="T326" s="446" t="s">
        <v>826</v>
      </c>
      <c r="V326">
        <v>3</v>
      </c>
      <c r="W326" s="448">
        <v>8925</v>
      </c>
    </row>
  </sheetData>
  <mergeCells count="204"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A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29"/>
      <c r="N2" s="29"/>
    </row>
    <row r="3" spans="1:15" ht="32.25" customHeight="1" x14ac:dyDescent="0.3">
      <c r="A3" s="513"/>
      <c r="B3" s="1077" t="s">
        <v>880</v>
      </c>
      <c r="C3" s="1077"/>
      <c r="D3" s="1077"/>
      <c r="E3" s="1077"/>
      <c r="F3" s="1077"/>
      <c r="G3" s="1077"/>
      <c r="H3" s="1077"/>
      <c r="I3" s="1077"/>
      <c r="J3" s="1077"/>
      <c r="K3" s="1077"/>
      <c r="L3" s="1077"/>
      <c r="M3" s="1077"/>
      <c r="N3" s="513"/>
      <c r="O3" s="6" t="s">
        <v>881</v>
      </c>
    </row>
    <row r="4" spans="1:15" s="3" customFormat="1" ht="25.5" customHeight="1" x14ac:dyDescent="0.3">
      <c r="A4" s="514"/>
      <c r="B4" s="514" t="s">
        <v>96</v>
      </c>
      <c r="C4" s="514" t="s">
        <v>882</v>
      </c>
      <c r="D4" s="514" t="s">
        <v>883</v>
      </c>
      <c r="E4" s="514" t="s">
        <v>884</v>
      </c>
      <c r="F4" s="514" t="s">
        <v>885</v>
      </c>
      <c r="G4" s="514" t="s">
        <v>886</v>
      </c>
      <c r="H4" s="514" t="s">
        <v>887</v>
      </c>
      <c r="I4" s="514" t="s">
        <v>888</v>
      </c>
      <c r="J4" s="514" t="s">
        <v>889</v>
      </c>
      <c r="K4" s="514" t="s">
        <v>1170</v>
      </c>
      <c r="L4" s="514" t="s">
        <v>1171</v>
      </c>
      <c r="M4" s="514" t="s">
        <v>891</v>
      </c>
      <c r="N4" s="514"/>
      <c r="O4" s="6" t="s">
        <v>892</v>
      </c>
    </row>
    <row r="5" spans="1:15" s="3" customFormat="1" ht="34.5" customHeight="1" x14ac:dyDescent="0.3">
      <c r="A5" s="514"/>
      <c r="B5" s="515" t="s">
        <v>543</v>
      </c>
      <c r="C5" s="515" t="s">
        <v>157</v>
      </c>
      <c r="D5" s="515" t="s">
        <v>918</v>
      </c>
      <c r="E5" s="515" t="s">
        <v>545</v>
      </c>
      <c r="F5" s="515" t="s">
        <v>583</v>
      </c>
      <c r="G5" s="515" t="s">
        <v>893</v>
      </c>
      <c r="H5" s="515" t="s">
        <v>894</v>
      </c>
      <c r="I5" s="515" t="s">
        <v>895</v>
      </c>
      <c r="J5" s="515" t="s">
        <v>583</v>
      </c>
      <c r="K5" s="515" t="s">
        <v>583</v>
      </c>
      <c r="L5" s="515" t="s">
        <v>546</v>
      </c>
      <c r="M5" s="515" t="s">
        <v>546</v>
      </c>
      <c r="N5" s="514"/>
      <c r="O5" s="6" t="s">
        <v>896</v>
      </c>
    </row>
    <row r="6" spans="1:15" x14ac:dyDescent="0.3">
      <c r="A6" s="516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3"/>
      <c r="O6" s="6" t="s">
        <v>897</v>
      </c>
    </row>
    <row r="7" spans="1:15" ht="5.0999999999999996" customHeight="1" x14ac:dyDescent="0.3">
      <c r="A7" s="510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8"/>
      <c r="B8" s="1077" t="s">
        <v>899</v>
      </c>
      <c r="C8" s="1077"/>
      <c r="D8" s="1077"/>
      <c r="E8" s="1077"/>
      <c r="F8" s="1077"/>
      <c r="G8" s="1077"/>
      <c r="H8" s="1077"/>
      <c r="I8" s="1077"/>
      <c r="J8" s="1077"/>
      <c r="K8" s="1077"/>
      <c r="L8" s="1077"/>
      <c r="M8" s="1077"/>
      <c r="N8" s="1077"/>
      <c r="O8" s="3" t="s">
        <v>900</v>
      </c>
    </row>
    <row r="9" spans="1:15" ht="25.5" customHeight="1" x14ac:dyDescent="0.3">
      <c r="A9" s="514"/>
      <c r="B9" s="514" t="s">
        <v>96</v>
      </c>
      <c r="C9" s="514" t="s">
        <v>882</v>
      </c>
      <c r="D9" s="514" t="s">
        <v>883</v>
      </c>
      <c r="E9" s="514" t="s">
        <v>884</v>
      </c>
      <c r="F9" s="514" t="s">
        <v>901</v>
      </c>
      <c r="G9" s="514" t="s">
        <v>902</v>
      </c>
      <c r="H9" s="514"/>
      <c r="I9" s="514"/>
      <c r="J9" s="514"/>
      <c r="K9" s="514"/>
      <c r="L9" s="514"/>
      <c r="M9" s="514"/>
      <c r="N9" s="514"/>
      <c r="O9" s="3" t="s">
        <v>872</v>
      </c>
    </row>
    <row r="10" spans="1:15" ht="34.5" customHeight="1" x14ac:dyDescent="0.3">
      <c r="A10" s="514"/>
      <c r="B10" s="515" t="s">
        <v>903</v>
      </c>
      <c r="C10" s="515"/>
      <c r="D10" s="515"/>
      <c r="E10" s="515" t="s">
        <v>904</v>
      </c>
      <c r="F10" s="515" t="s">
        <v>546</v>
      </c>
      <c r="G10" s="515" t="s">
        <v>546</v>
      </c>
      <c r="H10" s="514"/>
      <c r="I10" s="514"/>
      <c r="J10" s="514"/>
      <c r="K10" s="514"/>
      <c r="L10" s="514"/>
      <c r="M10" s="514"/>
      <c r="N10" s="514"/>
      <c r="O10" s="3" t="s">
        <v>873</v>
      </c>
    </row>
    <row r="11" spans="1:15" x14ac:dyDescent="0.3">
      <c r="A11" s="516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3"/>
      <c r="O11" s="3" t="s">
        <v>874</v>
      </c>
    </row>
    <row r="12" spans="1:15" ht="5.0999999999999996" customHeight="1" x14ac:dyDescent="0.3">
      <c r="A12" s="29"/>
      <c r="B12" s="510"/>
      <c r="C12" s="510"/>
      <c r="D12" s="510"/>
      <c r="E12" s="510"/>
      <c r="F12" s="510"/>
      <c r="G12" s="510"/>
      <c r="H12" s="510"/>
      <c r="I12" s="510"/>
      <c r="J12" s="510"/>
      <c r="K12" s="510"/>
      <c r="L12" s="510"/>
      <c r="M12" s="29"/>
      <c r="N12" s="29"/>
      <c r="O12" s="6" t="s">
        <v>905</v>
      </c>
    </row>
    <row r="13" spans="1:15" ht="25.8" x14ac:dyDescent="0.3">
      <c r="A13" s="518"/>
      <c r="B13" s="1077" t="s">
        <v>906</v>
      </c>
      <c r="C13" s="1077"/>
      <c r="D13" s="1077"/>
      <c r="E13" s="1077"/>
      <c r="F13" s="1077"/>
      <c r="G13" s="1077"/>
      <c r="H13" s="1077"/>
      <c r="I13" s="1077"/>
      <c r="J13" s="1077"/>
      <c r="K13" s="1077"/>
      <c r="L13" s="1077"/>
      <c r="M13" s="1077"/>
      <c r="N13" s="1077"/>
      <c r="O13" s="6"/>
    </row>
    <row r="14" spans="1:15" ht="25.5" customHeight="1" x14ac:dyDescent="0.3">
      <c r="A14" s="514"/>
      <c r="B14" s="514" t="s">
        <v>96</v>
      </c>
      <c r="C14" s="514" t="s">
        <v>882</v>
      </c>
      <c r="D14" s="514" t="s">
        <v>908</v>
      </c>
      <c r="E14" s="514" t="s">
        <v>909</v>
      </c>
      <c r="F14" s="514" t="s">
        <v>884</v>
      </c>
      <c r="G14" s="514" t="s">
        <v>910</v>
      </c>
      <c r="H14" s="514"/>
      <c r="I14" s="514"/>
      <c r="J14" s="514"/>
      <c r="K14" s="514"/>
      <c r="L14" s="514"/>
      <c r="M14" s="514"/>
      <c r="N14" s="514"/>
      <c r="O14" s="6"/>
    </row>
    <row r="15" spans="1:15" ht="35.25" customHeight="1" x14ac:dyDescent="0.3">
      <c r="A15" s="514"/>
      <c r="B15" s="515" t="s">
        <v>903</v>
      </c>
      <c r="C15" s="515"/>
      <c r="D15" s="515"/>
      <c r="E15" s="515"/>
      <c r="F15" s="515" t="s">
        <v>904</v>
      </c>
      <c r="G15" s="515" t="s">
        <v>912</v>
      </c>
      <c r="H15" s="514"/>
      <c r="I15" s="514"/>
      <c r="J15" s="514"/>
      <c r="K15" s="514"/>
      <c r="L15" s="514"/>
      <c r="M15" s="514"/>
      <c r="N15" s="514"/>
      <c r="O15" s="6"/>
    </row>
    <row r="16" spans="1:15" x14ac:dyDescent="0.3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3"/>
      <c r="O16" s="6"/>
    </row>
    <row r="17" spans="1:15" ht="5.0999999999999996" customHeight="1" x14ac:dyDescent="0.3">
      <c r="A17" s="29"/>
      <c r="B17" s="510"/>
      <c r="C17" s="510"/>
      <c r="D17" s="510"/>
      <c r="E17" s="510"/>
      <c r="F17" s="510"/>
      <c r="G17" s="510"/>
      <c r="H17" s="510"/>
      <c r="I17" s="510"/>
      <c r="J17" s="510"/>
      <c r="K17" s="510"/>
      <c r="L17" s="510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9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2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1" customWidth="1"/>
    <col min="25" max="25" width="13" style="521" customWidth="1"/>
    <col min="26" max="27" width="13.88671875" style="521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958</v>
      </c>
      <c r="N1" s="291" t="s">
        <v>958</v>
      </c>
      <c r="O1" s="528" t="s">
        <v>957</v>
      </c>
      <c r="P1" s="291" t="s">
        <v>959</v>
      </c>
      <c r="Q1" s="291" t="s">
        <v>960</v>
      </c>
      <c r="R1" s="291" t="s">
        <v>961</v>
      </c>
      <c r="S1" s="291" t="s">
        <v>962</v>
      </c>
      <c r="T1" s="531" t="s">
        <v>963</v>
      </c>
      <c r="U1" s="291" t="s">
        <v>964</v>
      </c>
      <c r="V1" s="291" t="s">
        <v>965</v>
      </c>
      <c r="W1" s="291" t="s">
        <v>966</v>
      </c>
      <c r="X1" s="528" t="s">
        <v>967</v>
      </c>
      <c r="Y1" s="528" t="s">
        <v>968</v>
      </c>
      <c r="Z1" s="528" t="s">
        <v>969</v>
      </c>
      <c r="AA1" s="528" t="s">
        <v>975</v>
      </c>
      <c r="AB1" s="528" t="s">
        <v>970</v>
      </c>
      <c r="AC1" s="528" t="s">
        <v>971</v>
      </c>
      <c r="AD1" s="528" t="s">
        <v>972</v>
      </c>
      <c r="AE1" s="528" t="s">
        <v>973</v>
      </c>
      <c r="AF1" s="528" t="s">
        <v>974</v>
      </c>
      <c r="AG1" s="528" t="s">
        <v>977</v>
      </c>
    </row>
    <row r="2" spans="1:33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2" t="b">
        <f>IF(N2=1,VLOOKUP(C2,'AUX5-CUSTOS'!$B$3:$O$14,2,),IF(N2=2,VLOOKUP(C2,'AUX5-CUSTOS'!$B$17:$O$34,2,),IF(N2=3,VLOOKUP(C2,'AUX5-CUSTOS'!$B$36:$O$53,2,))))</f>
        <v>0</v>
      </c>
      <c r="P2" s="522" t="b">
        <f>IF(AND(N2=1,E2="SIM"),VLOOKUP(C2,'AUX5-CUSTOS'!$B$3:$O$14,3,FALSE))</f>
        <v>0</v>
      </c>
      <c r="Q2" s="522" t="b">
        <f>IF(AND(N2=1,F2="1 MANUAL"),VLOOKUP(C2,'AUX5-CUSTOS'!$B$3:$O$14,4,FALSE))</f>
        <v>0</v>
      </c>
      <c r="R2" s="522" t="b">
        <f>IF(AND(N2=1,F2="2 MANUAIS"),VLOOKUP(C2,'AUX5-CUSTOS'!$B$3:$O$14,5,FALSE))</f>
        <v>0</v>
      </c>
      <c r="S2" s="522" t="b">
        <f>IF(AND(N2=1,F2="1 COM ATUADOR ON/OFF"),VLOOKUP(C2,'AUX5-CUSTOS'!$B$3:$O$14,6,FALSE))</f>
        <v>0</v>
      </c>
      <c r="T2" s="522" t="b">
        <f>IF(AND(N2=1,F2="2 COM ATUADORES ON/OFF"),VLOOKUP(C2,'AUX5-CUSTOS'!$B$3:$O$14,7,FALSE))</f>
        <v>0</v>
      </c>
      <c r="U2" s="522" t="b">
        <f>IF(AND(N2=1,G2="Eletrônico"),VLOOKUP(C2,'AUX5-CUSTOS'!$B$3:$O$14,8,FALSE))</f>
        <v>0</v>
      </c>
      <c r="V2" s="522" t="b">
        <f>IF(AND(N2=1,H2="Proporcional"),VLOOKUP(C2,'AUX5-CUSTOS'!$B$3:$O$14,9,FALSE))</f>
        <v>0</v>
      </c>
      <c r="W2" s="522" t="b">
        <f>IF(AND(N2=1,I2="SIM"),VLOOKUP(C2,'AUX5-CUSTOS'!$B$3:$O$14,10,FALSE))</f>
        <v>0</v>
      </c>
      <c r="X2" s="521" t="b">
        <f>IF(AND(N2=1,J2="SIM"),VLOOKUP(C2,'AUX5-CUSTOS'!$B$3:$O$14,11,FALSE))</f>
        <v>0</v>
      </c>
      <c r="Y2" s="521" t="b">
        <f>IF(AND(N2=1,K2="SIM"),VLOOKUP(C2,'AUX5-CUSTOS'!$B$3:$O$14,12,FALSE))</f>
        <v>0</v>
      </c>
      <c r="Z2" s="521" t="b">
        <f>IF(AND(N2=1,L2="SIM"),VLOOKUP(C2,'AUX5-CUSTOS'!$B$3:$O$14,13,FALSE))</f>
        <v>0</v>
      </c>
      <c r="AB2" s="521">
        <f>SUM(O2:Z2)</f>
        <v>0</v>
      </c>
      <c r="AC2" s="49" t="b">
        <f>IF(N2=1,VLOOKUP(C2,'AUX5-CUSTOS'!$B$3:$U$14,15,FALSE))</f>
        <v>0</v>
      </c>
      <c r="AD2" s="49" t="b">
        <f>IF(N2=1,VLOOKUP(C2,'AUX5-CUSTOS'!$B$3:$U$14,16,FALSE))</f>
        <v>0</v>
      </c>
      <c r="AE2" s="49" t="b">
        <f>IF(N2=1,VLOOKUP(C2,'AUX5-CUSTOS'!$B$3:$U$14,17,FALSE))</f>
        <v>0</v>
      </c>
      <c r="AF2" s="49" t="b">
        <f>IF(N2=1,VLOOKUP(C2,'AUX5-CUSTOS'!$B$3:$U$14,18,FALSE))</f>
        <v>0</v>
      </c>
      <c r="AG2" t="b">
        <f>IF(N2=1,VLOOKUP(C2,'AUX5-CUSTOS'!$B$3:$V$14,19,FALSE))</f>
        <v>0</v>
      </c>
    </row>
    <row r="3" spans="1:33" x14ac:dyDescent="0.3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t="str">
        <f t="shared" ref="M3:M41" si="1">B3&amp;"; "&amp;C3&amp;"; "</f>
        <v xml:space="preserve">; ; </v>
      </c>
      <c r="N3">
        <f t="shared" si="0"/>
        <v>0</v>
      </c>
      <c r="O3" s="522" t="b">
        <f>IF(N3=1,VLOOKUP(C3,'AUX5-CUSTOS'!$B$3:$O$14,2,),IF(N3=2,VLOOKUP(C3,'AUX5-CUSTOS'!$B$17:$O$34,2,),IF(N3=3,VLOOKUP(C3,'AUX5-CUSTOS'!$B$36:$O$53,2,))))</f>
        <v>0</v>
      </c>
      <c r="P3" s="522" t="b">
        <f>IF(AND(N3=1,E3="SIM"),VLOOKUP(C3,'AUX5-CUSTOS'!$B$3:$O$14,3,FALSE))</f>
        <v>0</v>
      </c>
      <c r="Q3" s="522" t="b">
        <f>IF(AND(N3=1,F3="1 MANUAL"),VLOOKUP(C3,'AUX5-CUSTOS'!$B$3:$O$14,4,FALSE))</f>
        <v>0</v>
      </c>
      <c r="R3" s="522" t="b">
        <f>IF(AND(N3=1,F3="2 MANUAIS"),VLOOKUP(C3,'AUX5-CUSTOS'!$B$3:$O$14,5,FALSE))</f>
        <v>0</v>
      </c>
      <c r="S3" s="522" t="b">
        <f>IF(AND(N3=1,F3="1 COM ATUADOR ON/OFF"),VLOOKUP(C3,'AUX5-CUSTOS'!$B$3:$O$14,6,FALSE))</f>
        <v>0</v>
      </c>
      <c r="T3" s="522" t="b">
        <f>IF(AND(N3=1,F3="2 COM ATUADORES ON/OFF"),VLOOKUP(C3,'AUX5-CUSTOS'!$B$3:$O$14,7,FALSE))</f>
        <v>0</v>
      </c>
      <c r="U3" s="522" t="b">
        <f>IF(AND(N3=1,G3="Eletrônico"),VLOOKUP(C3,'AUX5-CUSTOS'!$B$3:$O$14,8,FALSE))</f>
        <v>0</v>
      </c>
      <c r="V3" s="522" t="b">
        <f>IF(AND(N3=1,H3="Proporcional"),VLOOKUP(C3,'AUX5-CUSTOS'!$B$3:$O$14,9,FALSE))</f>
        <v>0</v>
      </c>
      <c r="W3" s="522" t="b">
        <f>IF(AND(N3=1,I3="SIM"),VLOOKUP(C3,'AUX5-CUSTOS'!$B$3:$O$14,10,FALSE))</f>
        <v>0</v>
      </c>
      <c r="X3" s="521" t="b">
        <f>IF(AND(N3=1,J3="SIM"),VLOOKUP(C3,'AUX5-CUSTOS'!$B$3:$O$14,11,FALSE))</f>
        <v>0</v>
      </c>
      <c r="Y3" s="521" t="b">
        <f>IF(AND(N3=1,K3="SIM"),VLOOKUP(C3,'AUX5-CUSTOS'!$B$3:$O$14,12,FALSE))</f>
        <v>0</v>
      </c>
      <c r="Z3" s="521" t="b">
        <f>IF(AND(N3=1,L3="SIM"),VLOOKUP(C3,'AUX5-CUSTOS'!$B$3:$O$14,13,FALSE))</f>
        <v>0</v>
      </c>
      <c r="AB3" s="521">
        <f t="shared" ref="AB3:AB47" si="2">SUM(O3:Z3)</f>
        <v>0</v>
      </c>
      <c r="AC3" s="49" t="b">
        <f>IF(N3=1,VLOOKUP(C3,'AUX5-CUSTOS'!$B$3:$U$14,15,FALSE))</f>
        <v>0</v>
      </c>
      <c r="AD3" s="49" t="b">
        <f>IF(N3=1,VLOOKUP(C3,'AUX5-CUSTOS'!$B$3:$U$14,16,FALSE))</f>
        <v>0</v>
      </c>
      <c r="AE3" s="49" t="b">
        <f>IF(N3=1,VLOOKUP(C3,'AUX5-CUSTOS'!$B$3:$U$14,17,FALSE))</f>
        <v>0</v>
      </c>
      <c r="AF3" s="49" t="b">
        <f>IF(N3=1,VLOOKUP(C3,'AUX5-CUSTOS'!$B$3:$U$14,18,FALSE))</f>
        <v>0</v>
      </c>
      <c r="AG3" t="b">
        <f>IF(N3=1,VLOOKUP(C3,'AUX5-CUSTOS'!$B$3:$V$14,19,FALSE))</f>
        <v>0</v>
      </c>
    </row>
    <row r="4" spans="1:33" x14ac:dyDescent="0.3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t="str">
        <f t="shared" si="1"/>
        <v xml:space="preserve">; ; </v>
      </c>
      <c r="N4">
        <f t="shared" si="0"/>
        <v>0</v>
      </c>
      <c r="O4" s="522" t="b">
        <f>IF(N4=1,VLOOKUP(C4,'AUX5-CUSTOS'!$B$3:$O$14,2,),IF(N4=2,VLOOKUP(C4,'AUX5-CUSTOS'!$B$17:$O$34,2,),IF(N4=3,VLOOKUP(C4,'AUX5-CUSTOS'!$B$36:$O$53,2,))))</f>
        <v>0</v>
      </c>
      <c r="P4" s="522" t="b">
        <f>IF(AND(N4=1,E4="SIM"),VLOOKUP(C4,'AUX5-CUSTOS'!$B$3:$O$14,3,FALSE))</f>
        <v>0</v>
      </c>
      <c r="Q4" s="522" t="b">
        <f>IF(AND(N4=1,F4="1 MANUAL"),VLOOKUP(C4,'AUX5-CUSTOS'!$B$3:$O$14,4,FALSE))</f>
        <v>0</v>
      </c>
      <c r="R4" s="522" t="b">
        <f>IF(AND(N4=1,F4="2 MANUAIS"),VLOOKUP(C4,'AUX5-CUSTOS'!$B$3:$O$14,5,FALSE))</f>
        <v>0</v>
      </c>
      <c r="S4" s="522" t="b">
        <f>IF(AND(N4=1,F4="1 COM ATUADOR ON/OFF"),VLOOKUP(C4,'AUX5-CUSTOS'!$B$3:$O$14,6,FALSE))</f>
        <v>0</v>
      </c>
      <c r="T4" s="522" t="b">
        <f>IF(AND(N4=1,F4="2 COM ATUADORES ON/OFF"),VLOOKUP(C4,'AUX5-CUSTOS'!$B$3:$O$14,7,FALSE))</f>
        <v>0</v>
      </c>
      <c r="U4" s="522" t="b">
        <f>IF(AND(N4=1,G4="Eletrônico"),VLOOKUP(C4,'AUX5-CUSTOS'!$B$3:$O$14,8,FALSE))</f>
        <v>0</v>
      </c>
      <c r="V4" s="522" t="b">
        <f>IF(AND(N4=1,H4="Proporcional"),VLOOKUP(C4,'AUX5-CUSTOS'!$B$3:$O$14,9,FALSE))</f>
        <v>0</v>
      </c>
      <c r="W4" s="522" t="b">
        <f>IF(AND(N4=1,I4="SIM"),VLOOKUP(C4,'AUX5-CUSTOS'!$B$3:$O$14,10,FALSE))</f>
        <v>0</v>
      </c>
      <c r="X4" s="521" t="b">
        <f>IF(AND(N4=1,J4="SIM"),VLOOKUP(C4,'AUX5-CUSTOS'!$B$3:$O$14,11,FALSE))</f>
        <v>0</v>
      </c>
      <c r="Y4" s="521" t="b">
        <f>IF(AND(N4=1,K4="SIM"),VLOOKUP(C4,'AUX5-CUSTOS'!$B$3:$O$14,12,FALSE))</f>
        <v>0</v>
      </c>
      <c r="Z4" s="521" t="b">
        <f>IF(AND(N4=1,L4="SIM"),VLOOKUP(C4,'AUX5-CUSTOS'!$B$3:$O$14,13,FALSE))</f>
        <v>0</v>
      </c>
      <c r="AB4" s="521">
        <f t="shared" si="2"/>
        <v>0</v>
      </c>
      <c r="AC4" s="49" t="b">
        <f>IF(N4=1,VLOOKUP(C4,'AUX5-CUSTOS'!$B$3:$U$14,15,FALSE))</f>
        <v>0</v>
      </c>
      <c r="AD4" s="49" t="b">
        <f>IF(N4=1,VLOOKUP(C4,'AUX5-CUSTOS'!$B$3:$U$14,16,FALSE))</f>
        <v>0</v>
      </c>
      <c r="AE4" s="49" t="b">
        <f>IF(N4=1,VLOOKUP(C4,'AUX5-CUSTOS'!$B$3:$U$14,17,FALSE))</f>
        <v>0</v>
      </c>
      <c r="AF4" s="49" t="b">
        <f>IF(N4=1,VLOOKUP(C4,'AUX5-CUSTOS'!$B$3:$U$14,18,FALSE))</f>
        <v>0</v>
      </c>
      <c r="AG4" t="b">
        <f>IF(N4=1,VLOOKUP(C4,'AUX5-CUSTOS'!$B$3:$V$14,19,FALSE))</f>
        <v>0</v>
      </c>
    </row>
    <row r="5" spans="1:33" x14ac:dyDescent="0.3">
      <c r="A5" s="515"/>
      <c r="B5" s="515"/>
      <c r="C5" s="515"/>
      <c r="D5" s="515"/>
      <c r="E5" s="515"/>
      <c r="F5" s="515"/>
      <c r="G5" s="515"/>
      <c r="H5" s="515"/>
      <c r="I5" s="515"/>
      <c r="J5" s="515"/>
      <c r="K5" s="515"/>
      <c r="L5" s="515"/>
      <c r="M5" t="str">
        <f t="shared" si="1"/>
        <v xml:space="preserve">; ; </v>
      </c>
      <c r="N5">
        <f t="shared" si="0"/>
        <v>0</v>
      </c>
      <c r="O5" s="522" t="b">
        <f>IF(N5=1,VLOOKUP(C5,'AUX5-CUSTOS'!$B$3:$O$14,2,),IF(N5=2,VLOOKUP(C5,'AUX5-CUSTOS'!$B$17:$O$34,2,),IF(N5=3,VLOOKUP(C5,'AUX5-CUSTOS'!$B$36:$O$53,2,))))</f>
        <v>0</v>
      </c>
      <c r="P5" s="522" t="b">
        <f>IF(AND(N5=1,E5="SIM"),VLOOKUP(C5,'AUX5-CUSTOS'!$B$3:$O$14,3,FALSE))</f>
        <v>0</v>
      </c>
      <c r="Q5" s="522" t="b">
        <f>IF(AND(N5=1,F5="1 MANUAL"),VLOOKUP(C5,'AUX5-CUSTOS'!$B$3:$O$14,4,FALSE))</f>
        <v>0</v>
      </c>
      <c r="R5" s="522" t="b">
        <f>IF(AND(N5=1,F5="2 MANUAIS"),VLOOKUP(C5,'AUX5-CUSTOS'!$B$3:$O$14,5,FALSE))</f>
        <v>0</v>
      </c>
      <c r="S5" s="522" t="b">
        <f>IF(AND(N5=1,F5="1 COM ATUADOR ON/OFF"),VLOOKUP(C5,'AUX5-CUSTOS'!$B$3:$O$14,6,FALSE))</f>
        <v>0</v>
      </c>
      <c r="T5" s="522" t="b">
        <f>IF(AND(N5=1,F5="2 COM ATUADORES ON/OFF"),VLOOKUP(C5,'AUX5-CUSTOS'!$B$3:$O$14,7,FALSE))</f>
        <v>0</v>
      </c>
      <c r="U5" s="522" t="b">
        <f>IF(AND(N5=1,G5="Eletrônico"),VLOOKUP(C5,'AUX5-CUSTOS'!$B$3:$O$14,8,FALSE))</f>
        <v>0</v>
      </c>
      <c r="V5" s="522" t="b">
        <f>IF(AND(N5=1,H5="Proporcional"),VLOOKUP(C5,'AUX5-CUSTOS'!$B$3:$O$14,9,FALSE))</f>
        <v>0</v>
      </c>
      <c r="W5" s="522" t="b">
        <f>IF(AND(N5=1,I5="SIM"),VLOOKUP(C5,'AUX5-CUSTOS'!$B$3:$O$14,10,FALSE))</f>
        <v>0</v>
      </c>
      <c r="X5" s="521" t="b">
        <f>IF(AND(N5=1,J5="SIM"),VLOOKUP(C5,'AUX5-CUSTOS'!$B$3:$O$14,11,FALSE))</f>
        <v>0</v>
      </c>
      <c r="Y5" s="521" t="b">
        <f>IF(AND(N5=1,K5="SIM"),VLOOKUP(C5,'AUX5-CUSTOS'!$B$3:$O$14,12,FALSE))</f>
        <v>0</v>
      </c>
      <c r="Z5" s="521" t="b">
        <f>IF(AND(N5=1,L5="SIM"),VLOOKUP(C5,'AUX5-CUSTOS'!$B$3:$O$14,13,FALSE))</f>
        <v>0</v>
      </c>
      <c r="AB5" s="521">
        <f t="shared" si="2"/>
        <v>0</v>
      </c>
      <c r="AC5" s="49" t="b">
        <f>IF(N5=1,VLOOKUP(C5,'AUX5-CUSTOS'!$B$3:$U$14,15,FALSE))</f>
        <v>0</v>
      </c>
      <c r="AD5" s="49" t="b">
        <f>IF(N5=1,VLOOKUP(C5,'AUX5-CUSTOS'!$B$3:$U$14,16,FALSE))</f>
        <v>0</v>
      </c>
      <c r="AE5" s="49" t="b">
        <f>IF(N5=1,VLOOKUP(C5,'AUX5-CUSTOS'!$B$3:$U$14,17,FALSE))</f>
        <v>0</v>
      </c>
      <c r="AF5" s="49" t="b">
        <f>IF(N5=1,VLOOKUP(C5,'AUX5-CUSTOS'!$B$3:$U$14,18,FALSE))</f>
        <v>0</v>
      </c>
      <c r="AG5" t="b">
        <f>IF(N5=1,VLOOKUP(C5,'AUX5-CUSTOS'!$B$3:$V$14,19,FALSE))</f>
        <v>0</v>
      </c>
    </row>
    <row r="6" spans="1:33" x14ac:dyDescent="0.3">
      <c r="A6" s="515"/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t="str">
        <f t="shared" si="1"/>
        <v xml:space="preserve">; ; </v>
      </c>
      <c r="N6">
        <f t="shared" si="0"/>
        <v>0</v>
      </c>
      <c r="O6" s="522" t="b">
        <f>IF(N6=1,VLOOKUP(C6,'AUX5-CUSTOS'!$B$3:$O$14,2,),IF(N6=2,VLOOKUP(C6,'AUX5-CUSTOS'!$B$17:$O$34,2,),IF(N6=3,VLOOKUP(C6,'AUX5-CUSTOS'!$B$36:$O$53,2,))))</f>
        <v>0</v>
      </c>
      <c r="P6" s="522" t="b">
        <f>IF(AND(N6=1,E6="SIM"),VLOOKUP(C6,'AUX5-CUSTOS'!$B$3:$O$14,3,FALSE))</f>
        <v>0</v>
      </c>
      <c r="Q6" s="522" t="b">
        <f>IF(AND(N6=1,F6="1 MANUAL"),VLOOKUP(C6,'AUX5-CUSTOS'!$B$3:$O$14,4,FALSE))</f>
        <v>0</v>
      </c>
      <c r="R6" s="522" t="b">
        <f>IF(AND(N6=1,F6="2 MANUAIS"),VLOOKUP(C6,'AUX5-CUSTOS'!$B$3:$O$14,5,FALSE))</f>
        <v>0</v>
      </c>
      <c r="S6" s="522" t="b">
        <f>IF(AND(N6=1,F6="1 COM ATUADOR ON/OFF"),VLOOKUP(C6,'AUX5-CUSTOS'!$B$3:$O$14,6,FALSE))</f>
        <v>0</v>
      </c>
      <c r="T6" s="522" t="b">
        <f>IF(AND(N6=1,F6="2 COM ATUADORES ON/OFF"),VLOOKUP(C6,'AUX5-CUSTOS'!$B$3:$O$14,7,FALSE))</f>
        <v>0</v>
      </c>
      <c r="U6" s="522" t="b">
        <f>IF(AND(N6=1,G6="Eletrônico"),VLOOKUP(C6,'AUX5-CUSTOS'!$B$3:$O$14,8,FALSE))</f>
        <v>0</v>
      </c>
      <c r="V6" s="522" t="b">
        <f>IF(AND(N6=1,H6="Proporcional"),VLOOKUP(C6,'AUX5-CUSTOS'!$B$3:$O$14,9,FALSE))</f>
        <v>0</v>
      </c>
      <c r="W6" s="522" t="b">
        <f>IF(AND(N6=1,I6="SIM"),VLOOKUP(C6,'AUX5-CUSTOS'!$B$3:$O$14,10,FALSE))</f>
        <v>0</v>
      </c>
      <c r="X6" s="521" t="b">
        <f>IF(AND(N6=1,J6="SIM"),VLOOKUP(C6,'AUX5-CUSTOS'!$B$3:$O$14,11,FALSE))</f>
        <v>0</v>
      </c>
      <c r="Y6" s="521" t="b">
        <f>IF(AND(N6=1,K6="SIM"),VLOOKUP(C6,'AUX5-CUSTOS'!$B$3:$O$14,12,FALSE))</f>
        <v>0</v>
      </c>
      <c r="Z6" s="521" t="b">
        <f>IF(AND(N6=1,L6="SIM"),VLOOKUP(C6,'AUX5-CUSTOS'!$B$3:$O$14,13,FALSE))</f>
        <v>0</v>
      </c>
      <c r="AB6" s="521">
        <f t="shared" si="2"/>
        <v>0</v>
      </c>
      <c r="AC6" s="49" t="b">
        <f>IF(N6=1,VLOOKUP(C6,'AUX5-CUSTOS'!$B$3:$U$14,15,FALSE))</f>
        <v>0</v>
      </c>
      <c r="AD6" s="49" t="b">
        <f>IF(N6=1,VLOOKUP(C6,'AUX5-CUSTOS'!$B$3:$U$14,16,FALSE))</f>
        <v>0</v>
      </c>
      <c r="AE6" s="49" t="b">
        <f>IF(N6=1,VLOOKUP(C6,'AUX5-CUSTOS'!$B$3:$U$14,17,FALSE))</f>
        <v>0</v>
      </c>
      <c r="AF6" s="49" t="b">
        <f>IF(N6=1,VLOOKUP(C6,'AUX5-CUSTOS'!$B$3:$U$14,18,FALSE))</f>
        <v>0</v>
      </c>
      <c r="AG6" t="b">
        <f>IF(N6=1,VLOOKUP(C6,'AUX5-CUSTOS'!$B$3:$V$14,19,FALSE))</f>
        <v>0</v>
      </c>
    </row>
    <row r="7" spans="1:33" x14ac:dyDescent="0.3">
      <c r="A7" s="515"/>
      <c r="B7" s="515"/>
      <c r="C7" s="515"/>
      <c r="D7" s="515"/>
      <c r="E7" s="515"/>
      <c r="F7" s="515"/>
      <c r="G7" s="515"/>
      <c r="H7" s="515"/>
      <c r="I7" s="515"/>
      <c r="J7" s="515"/>
      <c r="K7" s="515"/>
      <c r="L7" s="515"/>
      <c r="M7" t="str">
        <f t="shared" si="1"/>
        <v xml:space="preserve">; ; </v>
      </c>
      <c r="N7">
        <f t="shared" si="0"/>
        <v>0</v>
      </c>
      <c r="O7" s="522" t="b">
        <f>IF(N7=1,VLOOKUP(C7,'AUX5-CUSTOS'!$B$3:$O$14,2,),IF(N7=2,VLOOKUP(C7,'AUX5-CUSTOS'!$B$17:$O$34,2,),IF(N7=3,VLOOKUP(C7,'AUX5-CUSTOS'!$B$36:$O$53,2,))))</f>
        <v>0</v>
      </c>
      <c r="P7" s="522" t="b">
        <f>IF(AND(N7=1,E7="SIM"),VLOOKUP(C7,'AUX5-CUSTOS'!$B$3:$O$14,3,FALSE))</f>
        <v>0</v>
      </c>
      <c r="Q7" s="522" t="b">
        <f>IF(AND(N7=1,F7="1 MANUAL"),VLOOKUP(C7,'AUX5-CUSTOS'!$B$3:$O$14,4,FALSE))</f>
        <v>0</v>
      </c>
      <c r="R7" s="522" t="b">
        <f>IF(AND(N7=1,F7="2 MANUAIS"),VLOOKUP(C7,'AUX5-CUSTOS'!$B$3:$O$14,5,FALSE))</f>
        <v>0</v>
      </c>
      <c r="S7" s="522" t="b">
        <f>IF(AND(N7=1,F7="1 COM ATUADOR ON/OFF"),VLOOKUP(C7,'AUX5-CUSTOS'!$B$3:$O$14,6,FALSE))</f>
        <v>0</v>
      </c>
      <c r="T7" s="522" t="b">
        <f>IF(AND(N7=1,F7="2 COM ATUADORES ON/OFF"),VLOOKUP(C7,'AUX5-CUSTOS'!$B$3:$O$14,7,FALSE))</f>
        <v>0</v>
      </c>
      <c r="U7" s="522" t="b">
        <f>IF(AND(N7=1,G7="Eletrônico"),VLOOKUP(C7,'AUX5-CUSTOS'!$B$3:$O$14,8,FALSE))</f>
        <v>0</v>
      </c>
      <c r="V7" s="522" t="b">
        <f>IF(AND(N7=1,H7="Proporcional"),VLOOKUP(C7,'AUX5-CUSTOS'!$B$3:$O$14,9,FALSE))</f>
        <v>0</v>
      </c>
      <c r="W7" s="522" t="b">
        <f>IF(AND(N7=1,I7="SIM"),VLOOKUP(C7,'AUX5-CUSTOS'!$B$3:$O$14,10,FALSE))</f>
        <v>0</v>
      </c>
      <c r="X7" s="521" t="b">
        <f>IF(AND(N7=1,J7="SIM"),VLOOKUP(C7,'AUX5-CUSTOS'!$B$3:$O$14,11,FALSE))</f>
        <v>0</v>
      </c>
      <c r="Y7" s="521" t="b">
        <f>IF(AND(N7=1,K7="SIM"),VLOOKUP(C7,'AUX5-CUSTOS'!$B$3:$O$14,12,FALSE))</f>
        <v>0</v>
      </c>
      <c r="Z7" s="521" t="b">
        <f>IF(AND(N7=1,L7="SIM"),VLOOKUP(C7,'AUX5-CUSTOS'!$B$3:$O$14,13,FALSE))</f>
        <v>0</v>
      </c>
      <c r="AB7" s="521">
        <f t="shared" si="2"/>
        <v>0</v>
      </c>
      <c r="AC7" s="49" t="b">
        <f>IF(N7=1,VLOOKUP(C7,'AUX5-CUSTOS'!$B$3:$U$14,15,FALSE))</f>
        <v>0</v>
      </c>
      <c r="AD7" s="49" t="b">
        <f>IF(N7=1,VLOOKUP(C7,'AUX5-CUSTOS'!$B$3:$U$14,16,FALSE))</f>
        <v>0</v>
      </c>
      <c r="AE7" s="49" t="b">
        <f>IF(N7=1,VLOOKUP(C7,'AUX5-CUSTOS'!$B$3:$U$14,17,FALSE))</f>
        <v>0</v>
      </c>
      <c r="AF7" s="49" t="b">
        <f>IF(N7=1,VLOOKUP(C7,'AUX5-CUSTOS'!$B$3:$U$14,18,FALSE))</f>
        <v>0</v>
      </c>
      <c r="AG7" t="b">
        <f>IF(N7=1,VLOOKUP(C7,'AUX5-CUSTOS'!$B$3:$V$14,19,FALSE))</f>
        <v>0</v>
      </c>
    </row>
    <row r="8" spans="1:33" x14ac:dyDescent="0.3">
      <c r="A8" s="515"/>
      <c r="B8" s="515"/>
      <c r="C8" s="515"/>
      <c r="D8" s="515"/>
      <c r="E8" s="515"/>
      <c r="F8" s="515"/>
      <c r="G8" s="515"/>
      <c r="H8" s="515"/>
      <c r="I8" s="515"/>
      <c r="J8" s="515"/>
      <c r="K8" s="515"/>
      <c r="L8" s="515"/>
      <c r="M8" t="str">
        <f t="shared" si="1"/>
        <v xml:space="preserve">; ; </v>
      </c>
      <c r="N8">
        <f t="shared" si="0"/>
        <v>0</v>
      </c>
      <c r="O8" s="522" t="b">
        <f>IF(N8=1,VLOOKUP(C8,'AUX5-CUSTOS'!$B$3:$O$14,2,),IF(N8=2,VLOOKUP(C8,'AUX5-CUSTOS'!$B$17:$O$34,2,),IF(N8=3,VLOOKUP(C8,'AUX5-CUSTOS'!$B$36:$O$53,2,))))</f>
        <v>0</v>
      </c>
      <c r="P8" s="522" t="b">
        <f>IF(AND(N8=1,E8="SIM"),VLOOKUP(C8,'AUX5-CUSTOS'!$B$3:$O$14,3,FALSE))</f>
        <v>0</v>
      </c>
      <c r="Q8" s="522" t="b">
        <f>IF(AND(N8=1,F8="1 MANUAL"),VLOOKUP(C8,'AUX5-CUSTOS'!$B$3:$O$14,4,FALSE))</f>
        <v>0</v>
      </c>
      <c r="R8" s="522" t="b">
        <f>IF(AND(N8=1,F8="2 MANUAIS"),VLOOKUP(C8,'AUX5-CUSTOS'!$B$3:$O$14,5,FALSE))</f>
        <v>0</v>
      </c>
      <c r="S8" s="522" t="b">
        <f>IF(AND(N8=1,F8="1 COM ATUADOR ON/OFF"),VLOOKUP(C8,'AUX5-CUSTOS'!$B$3:$O$14,6,FALSE))</f>
        <v>0</v>
      </c>
      <c r="T8" s="522" t="b">
        <f>IF(AND(N8=1,F8="2 COM ATUADORES ON/OFF"),VLOOKUP(C8,'AUX5-CUSTOS'!$B$3:$O$14,7,FALSE))</f>
        <v>0</v>
      </c>
      <c r="U8" s="522" t="b">
        <f>IF(AND(N8=1,G8="Eletrônico"),VLOOKUP(C8,'AUX5-CUSTOS'!$B$3:$O$14,8,FALSE))</f>
        <v>0</v>
      </c>
      <c r="V8" s="522" t="b">
        <f>IF(AND(N8=1,H8="Proporcional"),VLOOKUP(C8,'AUX5-CUSTOS'!$B$3:$O$14,9,FALSE))</f>
        <v>0</v>
      </c>
      <c r="W8" s="522" t="b">
        <f>IF(AND(N8=1,I8="SIM"),VLOOKUP(C8,'AUX5-CUSTOS'!$B$3:$O$14,10,FALSE))</f>
        <v>0</v>
      </c>
      <c r="X8" s="521" t="b">
        <f>IF(AND(N8=1,J8="SIM"),VLOOKUP(C8,'AUX5-CUSTOS'!$B$3:$O$14,11,FALSE))</f>
        <v>0</v>
      </c>
      <c r="Y8" s="521" t="b">
        <f>IF(AND(N8=1,K8="SIM"),VLOOKUP(C8,'AUX5-CUSTOS'!$B$3:$O$14,12,FALSE))</f>
        <v>0</v>
      </c>
      <c r="Z8" s="521" t="b">
        <f>IF(AND(N8=1,L8="SIM"),VLOOKUP(C8,'AUX5-CUSTOS'!$B$3:$O$14,13,FALSE))</f>
        <v>0</v>
      </c>
      <c r="AB8" s="521">
        <f t="shared" si="2"/>
        <v>0</v>
      </c>
      <c r="AC8" s="49" t="b">
        <f>IF(N8=1,VLOOKUP(C8,'AUX5-CUSTOS'!$B$3:$U$14,15,FALSE))</f>
        <v>0</v>
      </c>
      <c r="AD8" s="49" t="b">
        <f>IF(N8=1,VLOOKUP(C8,'AUX5-CUSTOS'!$B$3:$U$14,16,FALSE))</f>
        <v>0</v>
      </c>
      <c r="AE8" s="49" t="b">
        <f>IF(N8=1,VLOOKUP(C8,'AUX5-CUSTOS'!$B$3:$U$14,17,FALSE))</f>
        <v>0</v>
      </c>
      <c r="AF8" s="49" t="b">
        <f>IF(N8=1,VLOOKUP(C8,'AUX5-CUSTOS'!$B$3:$U$14,18,FALSE))</f>
        <v>0</v>
      </c>
      <c r="AG8" t="b">
        <f>IF(N8=1,VLOOKUP(C8,'AUX5-CUSTOS'!$B$3:$V$14,19,FALSE))</f>
        <v>0</v>
      </c>
    </row>
    <row r="9" spans="1:33" x14ac:dyDescent="0.3">
      <c r="A9" s="515"/>
      <c r="B9" s="515"/>
      <c r="C9" s="515"/>
      <c r="D9" s="515"/>
      <c r="E9" s="515"/>
      <c r="F9" s="515"/>
      <c r="G9" s="515"/>
      <c r="H9" s="515"/>
      <c r="I9" s="515"/>
      <c r="J9" s="515"/>
      <c r="K9" s="515"/>
      <c r="L9" s="515"/>
      <c r="M9" t="str">
        <f t="shared" si="1"/>
        <v xml:space="preserve">; ; </v>
      </c>
      <c r="N9">
        <f t="shared" si="0"/>
        <v>0</v>
      </c>
      <c r="O9" s="522" t="b">
        <f>IF(N9=1,VLOOKUP(C9,'AUX5-CUSTOS'!$B$3:$O$14,2,),IF(N9=2,VLOOKUP(C9,'AUX5-CUSTOS'!$B$17:$O$34,2,),IF(N9=3,VLOOKUP(C9,'AUX5-CUSTOS'!$B$36:$O$53,2,))))</f>
        <v>0</v>
      </c>
      <c r="P9" s="522" t="b">
        <f>IF(AND(N9=1,E9="SIM"),VLOOKUP(C9,'AUX5-CUSTOS'!$B$3:$O$14,3,FALSE))</f>
        <v>0</v>
      </c>
      <c r="Q9" s="522" t="b">
        <f>IF(AND(N9=1,F9="1 MANUAL"),VLOOKUP(C9,'AUX5-CUSTOS'!$B$3:$O$14,4,FALSE))</f>
        <v>0</v>
      </c>
      <c r="R9" s="522" t="b">
        <f>IF(AND(N9=1,F9="2 MANUAIS"),VLOOKUP(C9,'AUX5-CUSTOS'!$B$3:$O$14,5,FALSE))</f>
        <v>0</v>
      </c>
      <c r="S9" s="522" t="b">
        <f>IF(AND(N9=1,F9="1 COM ATUADOR ON/OFF"),VLOOKUP(C9,'AUX5-CUSTOS'!$B$3:$O$14,6,FALSE))</f>
        <v>0</v>
      </c>
      <c r="T9" s="522" t="b">
        <f>IF(AND(N9=1,F9="2 COM ATUADORES ON/OFF"),VLOOKUP(C9,'AUX5-CUSTOS'!$B$3:$O$14,7,FALSE))</f>
        <v>0</v>
      </c>
      <c r="U9" s="522" t="b">
        <f>IF(AND(N9=1,G9="Eletrônico"),VLOOKUP(C9,'AUX5-CUSTOS'!$B$3:$O$14,8,FALSE))</f>
        <v>0</v>
      </c>
      <c r="V9" s="522" t="b">
        <f>IF(AND(N9=1,H9="Proporcional"),VLOOKUP(C9,'AUX5-CUSTOS'!$B$3:$O$14,9,FALSE))</f>
        <v>0</v>
      </c>
      <c r="W9" s="522" t="b">
        <f>IF(AND(N9=1,I9="SIM"),VLOOKUP(C9,'AUX5-CUSTOS'!$B$3:$O$14,10,FALSE))</f>
        <v>0</v>
      </c>
      <c r="X9" s="521" t="b">
        <f>IF(AND(N9=1,J9="SIM"),VLOOKUP(C9,'AUX5-CUSTOS'!$B$3:$O$14,11,FALSE))</f>
        <v>0</v>
      </c>
      <c r="Y9" s="521" t="b">
        <f>IF(AND(N9=1,K9="SIM"),VLOOKUP(C9,'AUX5-CUSTOS'!$B$3:$O$14,12,FALSE))</f>
        <v>0</v>
      </c>
      <c r="Z9" s="521" t="b">
        <f>IF(AND(N9=1,L9="SIM"),VLOOKUP(C9,'AUX5-CUSTOS'!$B$3:$O$14,13,FALSE))</f>
        <v>0</v>
      </c>
      <c r="AB9" s="521">
        <f t="shared" si="2"/>
        <v>0</v>
      </c>
      <c r="AC9" s="49" t="b">
        <f>IF(N9=1,VLOOKUP(C9,'AUX5-CUSTOS'!$B$3:$U$14,15,FALSE))</f>
        <v>0</v>
      </c>
      <c r="AD9" s="49" t="b">
        <f>IF(N9=1,VLOOKUP(C9,'AUX5-CUSTOS'!$B$3:$U$14,16,FALSE))</f>
        <v>0</v>
      </c>
      <c r="AE9" s="49" t="b">
        <f>IF(N9=1,VLOOKUP(C9,'AUX5-CUSTOS'!$B$3:$U$14,17,FALSE))</f>
        <v>0</v>
      </c>
      <c r="AF9" s="49" t="b">
        <f>IF(N9=1,VLOOKUP(C9,'AUX5-CUSTOS'!$B$3:$U$14,18,FALSE))</f>
        <v>0</v>
      </c>
      <c r="AG9" t="b">
        <f>IF(N9=1,VLOOKUP(C9,'AUX5-CUSTOS'!$B$3:$V$14,19,FALSE))</f>
        <v>0</v>
      </c>
    </row>
    <row r="10" spans="1:33" x14ac:dyDescent="0.3">
      <c r="A10" s="515"/>
      <c r="B10" s="515"/>
      <c r="C10" s="515"/>
      <c r="D10" s="515"/>
      <c r="E10" s="515"/>
      <c r="F10" s="515"/>
      <c r="G10" s="515"/>
      <c r="H10" s="515"/>
      <c r="I10" s="515"/>
      <c r="J10" s="515"/>
      <c r="K10" s="515"/>
      <c r="L10" s="515"/>
      <c r="M10" t="str">
        <f t="shared" si="1"/>
        <v xml:space="preserve">; ; </v>
      </c>
      <c r="N10">
        <f t="shared" si="0"/>
        <v>0</v>
      </c>
      <c r="O10" s="522" t="b">
        <f>IF(N10=1,VLOOKUP(C10,'AUX5-CUSTOS'!$B$3:$O$14,2,),IF(N10=2,VLOOKUP(C10,'AUX5-CUSTOS'!$B$17:$O$34,2,),IF(N10=3,VLOOKUP(C10,'AUX5-CUSTOS'!$B$36:$O$53,2,))))</f>
        <v>0</v>
      </c>
      <c r="P10" s="522" t="b">
        <f>IF(AND(N10=1,E10="SIM"),VLOOKUP(C10,'AUX5-CUSTOS'!$B$3:$O$14,3,FALSE))</f>
        <v>0</v>
      </c>
      <c r="Q10" s="522" t="b">
        <f>IF(AND(N10=1,F10="1 MANUAL"),VLOOKUP(C10,'AUX5-CUSTOS'!$B$3:$O$14,4,FALSE))</f>
        <v>0</v>
      </c>
      <c r="R10" s="522" t="b">
        <f>IF(AND(N10=1,F10="2 MANUAIS"),VLOOKUP(C10,'AUX5-CUSTOS'!$B$3:$O$14,5,FALSE))</f>
        <v>0</v>
      </c>
      <c r="S10" s="522" t="b">
        <f>IF(AND(N10=1,F10="1 COM ATUADOR ON/OFF"),VLOOKUP(C10,'AUX5-CUSTOS'!$B$3:$O$14,6,FALSE))</f>
        <v>0</v>
      </c>
      <c r="T10" s="522" t="b">
        <f>IF(AND(N10=1,F10="2 COM ATUADORES ON/OFF"),VLOOKUP(C10,'AUX5-CUSTOS'!$B$3:$O$14,7,FALSE))</f>
        <v>0</v>
      </c>
      <c r="U10" s="522" t="b">
        <f>IF(AND(N10=1,G10="Eletrônico"),VLOOKUP(C10,'AUX5-CUSTOS'!$B$3:$O$14,8,FALSE))</f>
        <v>0</v>
      </c>
      <c r="V10" s="522" t="b">
        <f>IF(AND(N10=1,H10="Proporcional"),VLOOKUP(C10,'AUX5-CUSTOS'!$B$3:$O$14,9,FALSE))</f>
        <v>0</v>
      </c>
      <c r="W10" s="522" t="b">
        <f>IF(AND(N10=1,I10="SIM"),VLOOKUP(C10,'AUX5-CUSTOS'!$B$3:$O$14,10,FALSE))</f>
        <v>0</v>
      </c>
      <c r="X10" s="521" t="b">
        <f>IF(AND(N10=1,J10="SIM"),VLOOKUP(C10,'AUX5-CUSTOS'!$B$3:$O$14,11,FALSE))</f>
        <v>0</v>
      </c>
      <c r="Y10" s="521" t="b">
        <f>IF(AND(N10=1,K10="SIM"),VLOOKUP(C10,'AUX5-CUSTOS'!$B$3:$O$14,12,FALSE))</f>
        <v>0</v>
      </c>
      <c r="Z10" s="521" t="b">
        <f>IF(AND(N10=1,L10="SIM"),VLOOKUP(C10,'AUX5-CUSTOS'!$B$3:$O$14,13,FALSE))</f>
        <v>0</v>
      </c>
      <c r="AB10" s="521">
        <f t="shared" si="2"/>
        <v>0</v>
      </c>
      <c r="AC10" s="49" t="b">
        <f>IF(N10=1,VLOOKUP(C10,'AUX5-CUSTOS'!$B$3:$U$14,15,FALSE))</f>
        <v>0</v>
      </c>
      <c r="AD10" s="49" t="b">
        <f>IF(N10=1,VLOOKUP(C10,'AUX5-CUSTOS'!$B$3:$U$14,16,FALSE))</f>
        <v>0</v>
      </c>
      <c r="AE10" s="49" t="b">
        <f>IF(N10=1,VLOOKUP(C10,'AUX5-CUSTOS'!$B$3:$U$14,17,FALSE))</f>
        <v>0</v>
      </c>
      <c r="AF10" s="49" t="b">
        <f>IF(N10=1,VLOOKUP(C10,'AUX5-CUSTOS'!$B$3:$U$14,18,FALSE))</f>
        <v>0</v>
      </c>
      <c r="AG10" t="b">
        <f>IF(N10=1,VLOOKUP(C10,'AUX5-CUSTOS'!$B$3:$V$14,19,FALSE))</f>
        <v>0</v>
      </c>
    </row>
    <row r="11" spans="1:33" x14ac:dyDescent="0.3">
      <c r="A11" s="515"/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t="str">
        <f t="shared" si="1"/>
        <v xml:space="preserve">; ; </v>
      </c>
      <c r="N11">
        <f t="shared" si="0"/>
        <v>0</v>
      </c>
      <c r="O11" s="522" t="b">
        <f>IF(N11=1,VLOOKUP(C11,'AUX5-CUSTOS'!$B$3:$O$14,2,),IF(N11=2,VLOOKUP(C11,'AUX5-CUSTOS'!$B$17:$O$34,2,),IF(N11=3,VLOOKUP(C11,'AUX5-CUSTOS'!$B$36:$O$53,2,))))</f>
        <v>0</v>
      </c>
      <c r="P11" s="522" t="b">
        <f>IF(AND(N11=1,E11="SIM"),VLOOKUP(C11,'AUX5-CUSTOS'!$B$3:$O$14,3,FALSE))</f>
        <v>0</v>
      </c>
      <c r="Q11" s="522" t="b">
        <f>IF(AND(N11=1,F11="1 MANUAL"),VLOOKUP(C11,'AUX5-CUSTOS'!$B$3:$O$14,4,FALSE))</f>
        <v>0</v>
      </c>
      <c r="R11" s="522" t="b">
        <f>IF(AND(N11=1,F11="2 MANUAIS"),VLOOKUP(C11,'AUX5-CUSTOS'!$B$3:$O$14,5,FALSE))</f>
        <v>0</v>
      </c>
      <c r="S11" s="522" t="b">
        <f>IF(AND(N11=1,F11="1 COM ATUADOR ON/OFF"),VLOOKUP(C11,'AUX5-CUSTOS'!$B$3:$O$14,6,FALSE))</f>
        <v>0</v>
      </c>
      <c r="T11" s="522" t="b">
        <f>IF(AND(N11=1,F11="2 COM ATUADORES ON/OFF"),VLOOKUP(C11,'AUX5-CUSTOS'!$B$3:$O$14,7,FALSE))</f>
        <v>0</v>
      </c>
      <c r="U11" s="522" t="b">
        <f>IF(AND(N11=1,G11="Eletrônico"),VLOOKUP(C11,'AUX5-CUSTOS'!$B$3:$O$14,8,FALSE))</f>
        <v>0</v>
      </c>
      <c r="V11" s="522" t="b">
        <f>IF(AND(N11=1,H11="Proporcional"),VLOOKUP(C11,'AUX5-CUSTOS'!$B$3:$O$14,9,FALSE))</f>
        <v>0</v>
      </c>
      <c r="W11" s="522" t="b">
        <f>IF(AND(N11=1,I11="SIM"),VLOOKUP(C11,'AUX5-CUSTOS'!$B$3:$O$14,10,FALSE))</f>
        <v>0</v>
      </c>
      <c r="X11" s="521" t="b">
        <f>IF(AND(N11=1,J11="SIM"),VLOOKUP(C11,'AUX5-CUSTOS'!$B$3:$O$14,11,FALSE))</f>
        <v>0</v>
      </c>
      <c r="Y11" s="521" t="b">
        <f>IF(AND(N11=1,K11="SIM"),VLOOKUP(C11,'AUX5-CUSTOS'!$B$3:$O$14,12,FALSE))</f>
        <v>0</v>
      </c>
      <c r="Z11" s="521" t="b">
        <f>IF(AND(N11=1,L11="SIM"),VLOOKUP(C11,'AUX5-CUSTOS'!$B$3:$O$14,13,FALSE))</f>
        <v>0</v>
      </c>
      <c r="AB11" s="521">
        <f t="shared" si="2"/>
        <v>0</v>
      </c>
      <c r="AC11" s="49" t="b">
        <f>IF(N11=1,VLOOKUP(C11,'AUX5-CUSTOS'!$B$3:$U$14,15,FALSE))</f>
        <v>0</v>
      </c>
      <c r="AD11" s="49" t="b">
        <f>IF(N11=1,VLOOKUP(C11,'AUX5-CUSTOS'!$B$3:$U$14,16,FALSE))</f>
        <v>0</v>
      </c>
      <c r="AE11" s="49" t="b">
        <f>IF(N11=1,VLOOKUP(C11,'AUX5-CUSTOS'!$B$3:$U$14,17,FALSE))</f>
        <v>0</v>
      </c>
      <c r="AF11" s="49" t="b">
        <f>IF(N11=1,VLOOKUP(C11,'AUX5-CUSTOS'!$B$3:$U$14,18,FALSE))</f>
        <v>0</v>
      </c>
      <c r="AG11" t="b">
        <f>IF(N11=1,VLOOKUP(C11,'AUX5-CUSTOS'!$B$3:$V$14,19,FALSE))</f>
        <v>0</v>
      </c>
    </row>
    <row r="12" spans="1:33" x14ac:dyDescent="0.3">
      <c r="A12" s="515"/>
      <c r="B12" s="515"/>
      <c r="C12" s="515"/>
      <c r="D12" s="515"/>
      <c r="E12" s="515"/>
      <c r="F12" s="515"/>
      <c r="G12" s="515"/>
      <c r="H12" s="515"/>
      <c r="I12" s="515"/>
      <c r="J12" s="515"/>
      <c r="K12" s="515"/>
      <c r="L12" s="515"/>
      <c r="M12" t="str">
        <f t="shared" si="1"/>
        <v xml:space="preserve">; ; </v>
      </c>
      <c r="N12">
        <f t="shared" si="0"/>
        <v>0</v>
      </c>
      <c r="O12" s="522" t="b">
        <f>IF(N12=1,VLOOKUP(C12,'AUX5-CUSTOS'!$B$3:$O$14,2,),IF(N12=2,VLOOKUP(C12,'AUX5-CUSTOS'!$B$17:$O$34,2,),IF(N12=3,VLOOKUP(C12,'AUX5-CUSTOS'!$B$36:$O$53,2,))))</f>
        <v>0</v>
      </c>
      <c r="P12" s="522" t="b">
        <f>IF(AND(N12=1,E12="SIM"),VLOOKUP(C12,'AUX5-CUSTOS'!$B$3:$O$14,3,FALSE))</f>
        <v>0</v>
      </c>
      <c r="Q12" s="522" t="b">
        <f>IF(AND(N12=1,F12="1 MANUAL"),VLOOKUP(C12,'AUX5-CUSTOS'!$B$3:$O$14,4,FALSE))</f>
        <v>0</v>
      </c>
      <c r="R12" s="522" t="b">
        <f>IF(AND(N12=1,F12="2 MANUAIS"),VLOOKUP(C12,'AUX5-CUSTOS'!$B$3:$O$14,5,FALSE))</f>
        <v>0</v>
      </c>
      <c r="S12" s="522" t="b">
        <f>IF(AND(N12=1,F12="1 COM ATUADOR ON/OFF"),VLOOKUP(C12,'AUX5-CUSTOS'!$B$3:$O$14,6,FALSE))</f>
        <v>0</v>
      </c>
      <c r="T12" s="522" t="b">
        <f>IF(AND(N12=1,F12="2 COM ATUADORES ON/OFF"),VLOOKUP(C12,'AUX5-CUSTOS'!$B$3:$O$14,7,FALSE))</f>
        <v>0</v>
      </c>
      <c r="U12" s="522" t="b">
        <f>IF(AND(N12=1,G12="Eletrônico"),VLOOKUP(C12,'AUX5-CUSTOS'!$B$3:$O$14,8,FALSE))</f>
        <v>0</v>
      </c>
      <c r="V12" s="522" t="b">
        <f>IF(AND(N12=1,H12="Proporcional"),VLOOKUP(C12,'AUX5-CUSTOS'!$B$3:$O$14,9,FALSE))</f>
        <v>0</v>
      </c>
      <c r="W12" s="522" t="b">
        <f>IF(AND(N12=1,I12="SIM"),VLOOKUP(C12,'AUX5-CUSTOS'!$B$3:$O$14,10,FALSE))</f>
        <v>0</v>
      </c>
      <c r="X12" s="521" t="b">
        <f>IF(AND(N12=1,J12="SIM"),VLOOKUP(C12,'AUX5-CUSTOS'!$B$3:$O$14,11,FALSE))</f>
        <v>0</v>
      </c>
      <c r="Y12" s="521" t="b">
        <f>IF(AND(N12=1,K12="SIM"),VLOOKUP(C12,'AUX5-CUSTOS'!$B$3:$O$14,12,FALSE))</f>
        <v>0</v>
      </c>
      <c r="Z12" s="521" t="b">
        <f>IF(AND(N12=1,L12="SIM"),VLOOKUP(C12,'AUX5-CUSTOS'!$B$3:$O$14,13,FALSE))</f>
        <v>0</v>
      </c>
      <c r="AB12" s="521">
        <f t="shared" si="2"/>
        <v>0</v>
      </c>
      <c r="AC12" s="49" t="b">
        <f>IF(N12=1,VLOOKUP(C12,'AUX5-CUSTOS'!$B$3:$U$14,15,FALSE))</f>
        <v>0</v>
      </c>
      <c r="AD12" s="49" t="b">
        <f>IF(N12=1,VLOOKUP(C12,'AUX5-CUSTOS'!$B$3:$U$14,16,FALSE))</f>
        <v>0</v>
      </c>
      <c r="AE12" s="49" t="b">
        <f>IF(N12=1,VLOOKUP(C12,'AUX5-CUSTOS'!$B$3:$U$14,17,FALSE))</f>
        <v>0</v>
      </c>
      <c r="AF12" s="49" t="b">
        <f>IF(N12=1,VLOOKUP(C12,'AUX5-CUSTOS'!$B$3:$U$14,18,FALSE))</f>
        <v>0</v>
      </c>
      <c r="AG12" t="b">
        <f>IF(N12=1,VLOOKUP(C12,'AUX5-CUSTOS'!$B$3:$V$14,19,FALSE))</f>
        <v>0</v>
      </c>
    </row>
    <row r="13" spans="1:33" x14ac:dyDescent="0.3">
      <c r="A13" s="515"/>
      <c r="B13" s="515"/>
      <c r="C13" s="515"/>
      <c r="D13" s="515"/>
      <c r="E13" s="515"/>
      <c r="F13" s="515"/>
      <c r="G13" s="515"/>
      <c r="H13" s="515"/>
      <c r="I13" s="515"/>
      <c r="J13" s="515"/>
      <c r="K13" s="515"/>
      <c r="L13" s="515"/>
      <c r="M13" t="str">
        <f t="shared" si="1"/>
        <v xml:space="preserve">; ; </v>
      </c>
      <c r="N13">
        <f t="shared" si="0"/>
        <v>0</v>
      </c>
      <c r="O13" s="522" t="b">
        <f>IF(N13=1,VLOOKUP(C13,'AUX5-CUSTOS'!$B$3:$O$14,2,),IF(N13=2,VLOOKUP(C13,'AUX5-CUSTOS'!$B$17:$O$34,2,),IF(N13=3,VLOOKUP(C13,'AUX5-CUSTOS'!$B$36:$O$53,2,))))</f>
        <v>0</v>
      </c>
      <c r="P13" s="522" t="b">
        <f>IF(AND(N13=1,E13="SIM"),VLOOKUP(C13,'AUX5-CUSTOS'!$B$3:$O$14,3,FALSE))</f>
        <v>0</v>
      </c>
      <c r="Q13" s="522" t="b">
        <f>IF(AND(N13=1,F13="1 MANUAL"),VLOOKUP(C13,'AUX5-CUSTOS'!$B$3:$O$14,4,FALSE))</f>
        <v>0</v>
      </c>
      <c r="R13" s="522" t="b">
        <f>IF(AND(N13=1,F13="2 MANUAIS"),VLOOKUP(C13,'AUX5-CUSTOS'!$B$3:$O$14,5,FALSE))</f>
        <v>0</v>
      </c>
      <c r="S13" s="522" t="b">
        <f>IF(AND(N13=1,F13="1 COM ATUADOR ON/OFF"),VLOOKUP(C13,'AUX5-CUSTOS'!$B$3:$O$14,6,FALSE))</f>
        <v>0</v>
      </c>
      <c r="T13" s="522" t="b">
        <f>IF(AND(N13=1,F13="2 COM ATUADORES ON/OFF"),VLOOKUP(C13,'AUX5-CUSTOS'!$B$3:$O$14,7,FALSE))</f>
        <v>0</v>
      </c>
      <c r="U13" s="522" t="b">
        <f>IF(AND(N13=1,G13="Eletrônico"),VLOOKUP(C13,'AUX5-CUSTOS'!$B$3:$O$14,8,FALSE))</f>
        <v>0</v>
      </c>
      <c r="V13" s="522" t="b">
        <f>IF(AND(N13=1,H13="Proporcional"),VLOOKUP(C13,'AUX5-CUSTOS'!$B$3:$O$14,9,FALSE))</f>
        <v>0</v>
      </c>
      <c r="W13" s="522" t="b">
        <f>IF(AND(N13=1,I13="SIM"),VLOOKUP(C13,'AUX5-CUSTOS'!$B$3:$O$14,10,FALSE))</f>
        <v>0</v>
      </c>
      <c r="X13" s="521" t="b">
        <f>IF(AND(N13=1,J13="SIM"),VLOOKUP(C13,'AUX5-CUSTOS'!$B$3:$O$14,11,FALSE))</f>
        <v>0</v>
      </c>
      <c r="Y13" s="521" t="b">
        <f>IF(AND(N13=1,K13="SIM"),VLOOKUP(C13,'AUX5-CUSTOS'!$B$3:$O$14,12,FALSE))</f>
        <v>0</v>
      </c>
      <c r="Z13" s="521" t="b">
        <f>IF(AND(N13=1,L13="SIM"),VLOOKUP(C13,'AUX5-CUSTOS'!$B$3:$O$14,13,FALSE))</f>
        <v>0</v>
      </c>
      <c r="AB13" s="521">
        <f t="shared" si="2"/>
        <v>0</v>
      </c>
      <c r="AC13" s="49" t="b">
        <f>IF(N13=1,VLOOKUP(C13,'AUX5-CUSTOS'!$B$3:$U$14,15,FALSE))</f>
        <v>0</v>
      </c>
      <c r="AD13" s="49" t="b">
        <f>IF(N13=1,VLOOKUP(C13,'AUX5-CUSTOS'!$B$3:$U$14,16,FALSE))</f>
        <v>0</v>
      </c>
      <c r="AE13" s="49" t="b">
        <f>IF(N13=1,VLOOKUP(C13,'AUX5-CUSTOS'!$B$3:$U$14,17,FALSE))</f>
        <v>0</v>
      </c>
      <c r="AF13" s="49" t="b">
        <f>IF(N13=1,VLOOKUP(C13,'AUX5-CUSTOS'!$B$3:$U$14,18,FALSE))</f>
        <v>0</v>
      </c>
      <c r="AG13" t="b">
        <f>IF(N13=1,VLOOKUP(C13,'AUX5-CUSTOS'!$B$3:$V$14,19,FALSE))</f>
        <v>0</v>
      </c>
    </row>
    <row r="14" spans="1:33" x14ac:dyDescent="0.3">
      <c r="A14" s="515"/>
      <c r="B14" s="515"/>
      <c r="C14" s="515"/>
      <c r="D14" s="515"/>
      <c r="E14" s="515"/>
      <c r="F14" s="515"/>
      <c r="G14" s="515"/>
      <c r="H14" s="515"/>
      <c r="I14" s="515"/>
      <c r="J14" s="515"/>
      <c r="K14" s="515"/>
      <c r="L14" s="515"/>
      <c r="M14" t="str">
        <f t="shared" si="1"/>
        <v xml:space="preserve">; ; </v>
      </c>
      <c r="N14">
        <f t="shared" si="0"/>
        <v>0</v>
      </c>
      <c r="O14" s="522" t="b">
        <f>IF(N14=1,VLOOKUP(C14,'AUX5-CUSTOS'!$B$3:$O$14,2,),IF(N14=2,VLOOKUP(C14,'AUX5-CUSTOS'!$B$17:$O$34,2,),IF(N14=3,VLOOKUP(C14,'AUX5-CUSTOS'!$B$36:$O$53,2,))))</f>
        <v>0</v>
      </c>
      <c r="P14" s="522" t="b">
        <f>IF(AND(N14=1,E14="SIM"),VLOOKUP(C14,'AUX5-CUSTOS'!$B$3:$O$14,3,FALSE))</f>
        <v>0</v>
      </c>
      <c r="Q14" s="522" t="b">
        <f>IF(AND(N14=1,F14="1 MANUAL"),VLOOKUP(C14,'AUX5-CUSTOS'!$B$3:$O$14,4,FALSE))</f>
        <v>0</v>
      </c>
      <c r="R14" s="522" t="b">
        <f>IF(AND(N14=1,F14="2 MANUAIS"),VLOOKUP(C14,'AUX5-CUSTOS'!$B$3:$O$14,5,FALSE))</f>
        <v>0</v>
      </c>
      <c r="S14" s="522" t="b">
        <f>IF(AND(N14=1,F14="1 COM ATUADOR ON/OFF"),VLOOKUP(C14,'AUX5-CUSTOS'!$B$3:$O$14,6,FALSE))</f>
        <v>0</v>
      </c>
      <c r="T14" s="522" t="b">
        <f>IF(AND(N14=1,F14="2 COM ATUADORES ON/OFF"),VLOOKUP(C14,'AUX5-CUSTOS'!$B$3:$O$14,7,FALSE))</f>
        <v>0</v>
      </c>
      <c r="U14" s="522" t="b">
        <f>IF(AND(N14=1,G14="Eletrônico"),VLOOKUP(C14,'AUX5-CUSTOS'!$B$3:$O$14,8,FALSE))</f>
        <v>0</v>
      </c>
      <c r="V14" s="522" t="b">
        <f>IF(AND(N14=1,H14="Proporcional"),VLOOKUP(C14,'AUX5-CUSTOS'!$B$3:$O$14,9,FALSE))</f>
        <v>0</v>
      </c>
      <c r="W14" s="522" t="b">
        <f>IF(AND(N14=1,I14="SIM"),VLOOKUP(C14,'AUX5-CUSTOS'!$B$3:$O$14,10,FALSE))</f>
        <v>0</v>
      </c>
      <c r="X14" s="521" t="b">
        <f>IF(AND(N14=1,J14="SIM"),VLOOKUP(C14,'AUX5-CUSTOS'!$B$3:$O$14,11,FALSE))</f>
        <v>0</v>
      </c>
      <c r="Y14" s="521" t="b">
        <f>IF(AND(N14=1,K14="SIM"),VLOOKUP(C14,'AUX5-CUSTOS'!$B$3:$O$14,12,FALSE))</f>
        <v>0</v>
      </c>
      <c r="Z14" s="521" t="b">
        <f>IF(AND(N14=1,L14="SIM"),VLOOKUP(C14,'AUX5-CUSTOS'!$B$3:$O$14,13,FALSE))</f>
        <v>0</v>
      </c>
      <c r="AB14" s="521">
        <f t="shared" si="2"/>
        <v>0</v>
      </c>
      <c r="AC14" s="49" t="b">
        <f>IF(N14=1,VLOOKUP(C14,'AUX5-CUSTOS'!$B$3:$U$14,15,FALSE))</f>
        <v>0</v>
      </c>
      <c r="AD14" s="49" t="b">
        <f>IF(N14=1,VLOOKUP(C14,'AUX5-CUSTOS'!$B$3:$U$14,16,FALSE))</f>
        <v>0</v>
      </c>
      <c r="AE14" s="49" t="b">
        <f>IF(N14=1,VLOOKUP(C14,'AUX5-CUSTOS'!$B$3:$U$14,17,FALSE))</f>
        <v>0</v>
      </c>
      <c r="AF14" s="49" t="b">
        <f>IF(N14=1,VLOOKUP(C14,'AUX5-CUSTOS'!$B$3:$U$14,18,FALSE))</f>
        <v>0</v>
      </c>
      <c r="AG14" t="b">
        <f>IF(N14=1,VLOOKUP(C14,'AUX5-CUSTOS'!$B$3:$V$14,19,FALSE))</f>
        <v>0</v>
      </c>
    </row>
    <row r="15" spans="1:33" x14ac:dyDescent="0.3">
      <c r="A15" s="515"/>
      <c r="B15" s="515"/>
      <c r="C15" s="515"/>
      <c r="D15" s="515"/>
      <c r="E15" s="515"/>
      <c r="F15" s="515"/>
      <c r="G15" s="515"/>
      <c r="H15" s="515"/>
      <c r="I15" s="515"/>
      <c r="J15" s="515"/>
      <c r="K15" s="515"/>
      <c r="L15" s="515"/>
      <c r="M15" t="str">
        <f t="shared" si="1"/>
        <v xml:space="preserve">; ; </v>
      </c>
      <c r="N15">
        <f t="shared" si="0"/>
        <v>0</v>
      </c>
      <c r="O15" s="522" t="b">
        <f>IF(N15=1,VLOOKUP(C15,'AUX5-CUSTOS'!$B$3:$O$14,2,),IF(N15=2,VLOOKUP(C15,'AUX5-CUSTOS'!$B$17:$O$34,2,),IF(N15=3,VLOOKUP(C15,'AUX5-CUSTOS'!$B$36:$O$53,2,))))</f>
        <v>0</v>
      </c>
      <c r="P15" s="522" t="b">
        <f>IF(AND(N15=1,E15="SIM"),VLOOKUP(C15,'AUX5-CUSTOS'!$B$3:$O$14,3,FALSE))</f>
        <v>0</v>
      </c>
      <c r="Q15" s="522" t="b">
        <f>IF(AND(N15=1,F15="1 MANUAL"),VLOOKUP(C15,'AUX5-CUSTOS'!$B$3:$O$14,4,FALSE))</f>
        <v>0</v>
      </c>
      <c r="R15" s="522" t="b">
        <f>IF(AND(N15=1,F15="2 MANUAIS"),VLOOKUP(C15,'AUX5-CUSTOS'!$B$3:$O$14,5,FALSE))</f>
        <v>0</v>
      </c>
      <c r="S15" s="522" t="b">
        <f>IF(AND(N15=1,F15="1 COM ATUADOR ON/OFF"),VLOOKUP(C15,'AUX5-CUSTOS'!$B$3:$O$14,6,FALSE))</f>
        <v>0</v>
      </c>
      <c r="T15" s="522" t="b">
        <f>IF(AND(N15=1,F15="2 COM ATUADORES ON/OFF"),VLOOKUP(C15,'AUX5-CUSTOS'!$B$3:$O$14,7,FALSE))</f>
        <v>0</v>
      </c>
      <c r="U15" s="522" t="b">
        <f>IF(AND(N15=1,G15="Eletrônico"),VLOOKUP(C15,'AUX5-CUSTOS'!$B$3:$O$14,8,FALSE))</f>
        <v>0</v>
      </c>
      <c r="V15" s="522" t="b">
        <f>IF(AND(N15=1,H15="Proporcional"),VLOOKUP(C15,'AUX5-CUSTOS'!$B$3:$O$14,9,FALSE))</f>
        <v>0</v>
      </c>
      <c r="W15" s="522" t="b">
        <f>IF(AND(N15=1,I15="SIM"),VLOOKUP(C15,'AUX5-CUSTOS'!$B$3:$O$14,10,FALSE))</f>
        <v>0</v>
      </c>
      <c r="X15" s="521" t="b">
        <f>IF(AND(N15=1,J15="SIM"),VLOOKUP(C15,'AUX5-CUSTOS'!$B$3:$O$14,11,FALSE))</f>
        <v>0</v>
      </c>
      <c r="Y15" s="521" t="b">
        <f>IF(AND(N15=1,K15="SIM"),VLOOKUP(C15,'AUX5-CUSTOS'!$B$3:$O$14,12,FALSE))</f>
        <v>0</v>
      </c>
      <c r="Z15" s="521" t="b">
        <f>IF(AND(N15=1,L15="SIM"),VLOOKUP(C15,'AUX5-CUSTOS'!$B$3:$O$14,13,FALSE))</f>
        <v>0</v>
      </c>
      <c r="AB15" s="521">
        <f t="shared" si="2"/>
        <v>0</v>
      </c>
      <c r="AC15" s="49" t="b">
        <f>IF(N15=1,VLOOKUP(C15,'AUX5-CUSTOS'!$B$3:$U$14,15,FALSE))</f>
        <v>0</v>
      </c>
      <c r="AD15" s="49" t="b">
        <f>IF(N15=1,VLOOKUP(C15,'AUX5-CUSTOS'!$B$3:$U$14,16,FALSE))</f>
        <v>0</v>
      </c>
      <c r="AE15" s="49" t="b">
        <f>IF(N15=1,VLOOKUP(C15,'AUX5-CUSTOS'!$B$3:$U$14,17,FALSE))</f>
        <v>0</v>
      </c>
      <c r="AF15" s="49" t="b">
        <f>IF(N15=1,VLOOKUP(C15,'AUX5-CUSTOS'!$B$3:$U$14,18,FALSE))</f>
        <v>0</v>
      </c>
      <c r="AG15" t="b">
        <f>IF(N15=1,VLOOKUP(C15,'AUX5-CUSTOS'!$B$3:$V$14,19,FALSE))</f>
        <v>0</v>
      </c>
    </row>
    <row r="16" spans="1:33" x14ac:dyDescent="0.3">
      <c r="A16" s="515"/>
      <c r="B16" s="515"/>
      <c r="C16" s="515"/>
      <c r="D16" s="515"/>
      <c r="E16" s="515"/>
      <c r="F16" s="515"/>
      <c r="G16" s="515"/>
      <c r="H16" s="515"/>
      <c r="I16" s="515"/>
      <c r="J16" s="515"/>
      <c r="K16" s="515"/>
      <c r="L16" s="515"/>
      <c r="M16" t="str">
        <f t="shared" si="1"/>
        <v xml:space="preserve">; ; </v>
      </c>
      <c r="N16">
        <f t="shared" si="0"/>
        <v>0</v>
      </c>
      <c r="O16" s="522" t="b">
        <f>IF(N16=1,VLOOKUP(C16,'AUX5-CUSTOS'!$B$3:$O$14,2,),IF(N16=2,VLOOKUP(C16,'AUX5-CUSTOS'!$B$17:$O$34,2,),IF(N16=3,VLOOKUP(C16,'AUX5-CUSTOS'!$B$36:$O$53,2,))))</f>
        <v>0</v>
      </c>
      <c r="P16" s="522" t="b">
        <f>IF(AND(N16=1,E16="SIM"),VLOOKUP(C16,'AUX5-CUSTOS'!$B$3:$O$14,3,FALSE))</f>
        <v>0</v>
      </c>
      <c r="Q16" s="522" t="b">
        <f>IF(AND(N16=1,F16="1 MANUAL"),VLOOKUP(C16,'AUX5-CUSTOS'!$B$3:$O$14,4,FALSE))</f>
        <v>0</v>
      </c>
      <c r="R16" s="522" t="b">
        <f>IF(AND(N16=1,F16="2 MANUAIS"),VLOOKUP(C16,'AUX5-CUSTOS'!$B$3:$O$14,5,FALSE))</f>
        <v>0</v>
      </c>
      <c r="S16" s="522" t="b">
        <f>IF(AND(N16=1,F16="1 COM ATUADOR ON/OFF"),VLOOKUP(C16,'AUX5-CUSTOS'!$B$3:$O$14,6,FALSE))</f>
        <v>0</v>
      </c>
      <c r="T16" s="522" t="b">
        <f>IF(AND(N16=1,F16="2 COM ATUADORES ON/OFF"),VLOOKUP(C16,'AUX5-CUSTOS'!$B$3:$O$14,7,FALSE))</f>
        <v>0</v>
      </c>
      <c r="U16" s="522" t="b">
        <f>IF(AND(N16=1,G16="Eletrônico"),VLOOKUP(C16,'AUX5-CUSTOS'!$B$3:$O$14,8,FALSE))</f>
        <v>0</v>
      </c>
      <c r="V16" s="522" t="b">
        <f>IF(AND(N16=1,H16="Proporcional"),VLOOKUP(C16,'AUX5-CUSTOS'!$B$3:$O$14,9,FALSE))</f>
        <v>0</v>
      </c>
      <c r="W16" s="522" t="b">
        <f>IF(AND(N16=1,I16="SIM"),VLOOKUP(C16,'AUX5-CUSTOS'!$B$3:$O$14,10,FALSE))</f>
        <v>0</v>
      </c>
      <c r="X16" s="521" t="b">
        <f>IF(AND(N16=1,J16="SIM"),VLOOKUP(C16,'AUX5-CUSTOS'!$B$3:$O$14,11,FALSE))</f>
        <v>0</v>
      </c>
      <c r="Y16" s="521" t="b">
        <f>IF(AND(N16=1,K16="SIM"),VLOOKUP(C16,'AUX5-CUSTOS'!$B$3:$O$14,12,FALSE))</f>
        <v>0</v>
      </c>
      <c r="Z16" s="521" t="b">
        <f>IF(AND(N16=1,L16="SIM"),VLOOKUP(C16,'AUX5-CUSTOS'!$B$3:$O$14,13,FALSE))</f>
        <v>0</v>
      </c>
      <c r="AB16" s="521">
        <f t="shared" si="2"/>
        <v>0</v>
      </c>
      <c r="AC16" s="49" t="b">
        <f>IF(N16=1,VLOOKUP(C16,'AUX5-CUSTOS'!$B$3:$U$14,15,FALSE))</f>
        <v>0</v>
      </c>
      <c r="AD16" s="49" t="b">
        <f>IF(N16=1,VLOOKUP(C16,'AUX5-CUSTOS'!$B$3:$U$14,16,FALSE))</f>
        <v>0</v>
      </c>
      <c r="AE16" s="49" t="b">
        <f>IF(N16=1,VLOOKUP(C16,'AUX5-CUSTOS'!$B$3:$U$14,17,FALSE))</f>
        <v>0</v>
      </c>
      <c r="AF16" s="49" t="b">
        <f>IF(N16=1,VLOOKUP(C16,'AUX5-CUSTOS'!$B$3:$U$14,18,FALSE))</f>
        <v>0</v>
      </c>
      <c r="AG16" t="b">
        <f>IF(N16=1,VLOOKUP(C16,'AUX5-CUSTOS'!$B$3:$V$14,19,FALSE))</f>
        <v>0</v>
      </c>
    </row>
    <row r="17" spans="1:33" x14ac:dyDescent="0.3">
      <c r="A17" s="515"/>
      <c r="B17" s="515"/>
      <c r="C17" s="515"/>
      <c r="D17" s="515"/>
      <c r="E17" s="515"/>
      <c r="F17" s="515"/>
      <c r="G17" s="515"/>
      <c r="H17" s="515"/>
      <c r="I17" s="515"/>
      <c r="J17" s="515"/>
      <c r="K17" s="515"/>
      <c r="L17" s="515"/>
      <c r="M17" t="str">
        <f t="shared" si="1"/>
        <v xml:space="preserve">; ; </v>
      </c>
      <c r="N17">
        <f t="shared" si="0"/>
        <v>0</v>
      </c>
      <c r="O17" s="522" t="b">
        <f>IF(N17=1,VLOOKUP(C17,'AUX5-CUSTOS'!$B$3:$O$14,2,),IF(N17=2,VLOOKUP(C17,'AUX5-CUSTOS'!$B$17:$O$34,2,),IF(N17=3,VLOOKUP(C17,'AUX5-CUSTOS'!$B$36:$O$53,2,))))</f>
        <v>0</v>
      </c>
      <c r="P17" s="522" t="b">
        <f>IF(AND(N17=1,E17="SIM"),VLOOKUP(C17,'AUX5-CUSTOS'!$B$3:$O$14,3,FALSE))</f>
        <v>0</v>
      </c>
      <c r="Q17" s="522" t="b">
        <f>IF(AND(N17=1,F17="1 MANUAL"),VLOOKUP(C17,'AUX5-CUSTOS'!$B$3:$O$14,4,FALSE))</f>
        <v>0</v>
      </c>
      <c r="R17" s="522" t="b">
        <f>IF(AND(N17=1,F17="2 MANUAIS"),VLOOKUP(C17,'AUX5-CUSTOS'!$B$3:$O$14,5,FALSE))</f>
        <v>0</v>
      </c>
      <c r="S17" s="522" t="b">
        <f>IF(AND(N17=1,F17="1 COM ATUADOR ON/OFF"),VLOOKUP(C17,'AUX5-CUSTOS'!$B$3:$O$14,6,FALSE))</f>
        <v>0</v>
      </c>
      <c r="T17" s="522" t="b">
        <f>IF(AND(N17=1,F17="2 COM ATUADORES ON/OFF"),VLOOKUP(C17,'AUX5-CUSTOS'!$B$3:$O$14,7,FALSE))</f>
        <v>0</v>
      </c>
      <c r="U17" s="522" t="b">
        <f>IF(AND(N17=1,G17="Eletrônico"),VLOOKUP(C17,'AUX5-CUSTOS'!$B$3:$O$14,8,FALSE))</f>
        <v>0</v>
      </c>
      <c r="V17" s="522" t="b">
        <f>IF(AND(N17=1,H17="Proporcional"),VLOOKUP(C17,'AUX5-CUSTOS'!$B$3:$O$14,9,FALSE))</f>
        <v>0</v>
      </c>
      <c r="W17" s="522" t="b">
        <f>IF(AND(N17=1,I17="SIM"),VLOOKUP(C17,'AUX5-CUSTOS'!$B$3:$O$14,10,FALSE))</f>
        <v>0</v>
      </c>
      <c r="X17" s="521" t="b">
        <f>IF(AND(N17=1,J17="SIM"),VLOOKUP(C17,'AUX5-CUSTOS'!$B$3:$O$14,11,FALSE))</f>
        <v>0</v>
      </c>
      <c r="Y17" s="521" t="b">
        <f>IF(AND(N17=1,K17="SIM"),VLOOKUP(C17,'AUX5-CUSTOS'!$B$3:$O$14,12,FALSE))</f>
        <v>0</v>
      </c>
      <c r="Z17" s="521" t="b">
        <f>IF(AND(N17=1,L17="SIM"),VLOOKUP(C17,'AUX5-CUSTOS'!$B$3:$O$14,13,FALSE))</f>
        <v>0</v>
      </c>
      <c r="AB17" s="521">
        <f t="shared" si="2"/>
        <v>0</v>
      </c>
      <c r="AC17" s="49" t="b">
        <f>IF(N17=1,VLOOKUP(C17,'AUX5-CUSTOS'!$B$3:$U$14,15,FALSE))</f>
        <v>0</v>
      </c>
      <c r="AD17" s="49" t="b">
        <f>IF(N17=1,VLOOKUP(C17,'AUX5-CUSTOS'!$B$3:$U$14,16,FALSE))</f>
        <v>0</v>
      </c>
      <c r="AE17" s="49" t="b">
        <f>IF(N17=1,VLOOKUP(C17,'AUX5-CUSTOS'!$B$3:$U$14,17,FALSE))</f>
        <v>0</v>
      </c>
      <c r="AF17" s="49" t="b">
        <f>IF(N17=1,VLOOKUP(C17,'AUX5-CUSTOS'!$B$3:$U$14,18,FALSE))</f>
        <v>0</v>
      </c>
      <c r="AG17" t="b">
        <f>IF(N17=1,VLOOKUP(C17,'AUX5-CUSTOS'!$B$3:$V$14,19,FALSE))</f>
        <v>0</v>
      </c>
    </row>
    <row r="18" spans="1:33" x14ac:dyDescent="0.3">
      <c r="A18" s="515"/>
      <c r="B18" s="515"/>
      <c r="C18" s="515"/>
      <c r="D18" s="515"/>
      <c r="E18" s="515"/>
      <c r="F18" s="515"/>
      <c r="G18" s="515"/>
      <c r="H18" s="515"/>
      <c r="I18" s="515"/>
      <c r="J18" s="515"/>
      <c r="K18" s="515"/>
      <c r="L18" s="515"/>
      <c r="M18" t="str">
        <f t="shared" si="1"/>
        <v xml:space="preserve">; ; </v>
      </c>
      <c r="N18">
        <f t="shared" si="0"/>
        <v>0</v>
      </c>
      <c r="O18" s="522" t="b">
        <f>IF(N18=1,VLOOKUP(C18,'AUX5-CUSTOS'!$B$3:$O$14,2,),IF(N18=2,VLOOKUP(C18,'AUX5-CUSTOS'!$B$17:$O$34,2,),IF(N18=3,VLOOKUP(C18,'AUX5-CUSTOS'!$B$36:$O$53,2,))))</f>
        <v>0</v>
      </c>
      <c r="P18" s="522" t="b">
        <f>IF(AND(N18=1,E18="SIM"),VLOOKUP(C18,'AUX5-CUSTOS'!$B$3:$O$14,3,FALSE))</f>
        <v>0</v>
      </c>
      <c r="Q18" s="522" t="b">
        <f>IF(AND(N18=1,F18="1 MANUAL"),VLOOKUP(C18,'AUX5-CUSTOS'!$B$3:$O$14,4,FALSE))</f>
        <v>0</v>
      </c>
      <c r="R18" s="522" t="b">
        <f>IF(AND(N18=1,F18="2 MANUAIS"),VLOOKUP(C18,'AUX5-CUSTOS'!$B$3:$O$14,5,FALSE))</f>
        <v>0</v>
      </c>
      <c r="S18" s="522" t="b">
        <f>IF(AND(N18=1,F18="1 COM ATUADOR ON/OFF"),VLOOKUP(C18,'AUX5-CUSTOS'!$B$3:$O$14,6,FALSE))</f>
        <v>0</v>
      </c>
      <c r="T18" s="522" t="b">
        <f>IF(AND(N18=1,F18="2 COM ATUADORES ON/OFF"),VLOOKUP(C18,'AUX5-CUSTOS'!$B$3:$O$14,7,FALSE))</f>
        <v>0</v>
      </c>
      <c r="U18" s="522" t="b">
        <f>IF(AND(N18=1,G18="Eletrônico"),VLOOKUP(C18,'AUX5-CUSTOS'!$B$3:$O$14,8,FALSE))</f>
        <v>0</v>
      </c>
      <c r="V18" s="522" t="b">
        <f>IF(AND(N18=1,H18="Proporcional"),VLOOKUP(C18,'AUX5-CUSTOS'!$B$3:$O$14,9,FALSE))</f>
        <v>0</v>
      </c>
      <c r="W18" s="522" t="b">
        <f>IF(AND(N18=1,I18="SIM"),VLOOKUP(C18,'AUX5-CUSTOS'!$B$3:$O$14,10,FALSE))</f>
        <v>0</v>
      </c>
      <c r="X18" s="521" t="b">
        <f>IF(AND(N18=1,J18="SIM"),VLOOKUP(C18,'AUX5-CUSTOS'!$B$3:$O$14,11,FALSE))</f>
        <v>0</v>
      </c>
      <c r="Y18" s="521" t="b">
        <f>IF(AND(N18=1,K18="SIM"),VLOOKUP(C18,'AUX5-CUSTOS'!$B$3:$O$14,12,FALSE))</f>
        <v>0</v>
      </c>
      <c r="Z18" s="521" t="b">
        <f>IF(AND(N18=1,L18="SIM"),VLOOKUP(C18,'AUX5-CUSTOS'!$B$3:$O$14,13,FALSE))</f>
        <v>0</v>
      </c>
      <c r="AB18" s="521">
        <f t="shared" si="2"/>
        <v>0</v>
      </c>
      <c r="AC18" s="49" t="b">
        <f>IF(N18=1,VLOOKUP(C18,'AUX5-CUSTOS'!$B$3:$U$14,15,FALSE))</f>
        <v>0</v>
      </c>
      <c r="AD18" s="49" t="b">
        <f>IF(N18=1,VLOOKUP(C18,'AUX5-CUSTOS'!$B$3:$U$14,16,FALSE))</f>
        <v>0</v>
      </c>
      <c r="AE18" s="49" t="b">
        <f>IF(N18=1,VLOOKUP(C18,'AUX5-CUSTOS'!$B$3:$U$14,17,FALSE))</f>
        <v>0</v>
      </c>
      <c r="AF18" s="49" t="b">
        <f>IF(N18=1,VLOOKUP(C18,'AUX5-CUSTOS'!$B$3:$U$14,18,FALSE))</f>
        <v>0</v>
      </c>
      <c r="AG18" t="b">
        <f>IF(N18=1,VLOOKUP(C18,'AUX5-CUSTOS'!$B$3:$V$14,19,FALSE))</f>
        <v>0</v>
      </c>
    </row>
    <row r="19" spans="1:33" x14ac:dyDescent="0.3">
      <c r="A19" s="515"/>
      <c r="B19" s="515"/>
      <c r="C19" s="515"/>
      <c r="D19" s="515"/>
      <c r="E19" s="515"/>
      <c r="F19" s="515"/>
      <c r="G19" s="515"/>
      <c r="H19" s="515"/>
      <c r="I19" s="515"/>
      <c r="J19" s="515"/>
      <c r="K19" s="515"/>
      <c r="L19" s="515"/>
      <c r="M19" t="str">
        <f t="shared" si="1"/>
        <v xml:space="preserve">; ; </v>
      </c>
      <c r="N19">
        <f t="shared" si="0"/>
        <v>0</v>
      </c>
      <c r="O19" s="522" t="b">
        <f>IF(N19=1,VLOOKUP(C19,'AUX5-CUSTOS'!$B$3:$O$14,2,),IF(N19=2,VLOOKUP(C19,'AUX5-CUSTOS'!$B$17:$O$34,2,),IF(N19=3,VLOOKUP(C19,'AUX5-CUSTOS'!$B$36:$O$53,2,))))</f>
        <v>0</v>
      </c>
      <c r="P19" s="522" t="b">
        <f>IF(AND(N19=1,E19="SIM"),VLOOKUP(C19,'AUX5-CUSTOS'!$B$3:$O$14,3,FALSE))</f>
        <v>0</v>
      </c>
      <c r="Q19" s="522" t="b">
        <f>IF(AND(N19=1,F19="1 MANUAL"),VLOOKUP(C19,'AUX5-CUSTOS'!$B$3:$O$14,4,FALSE))</f>
        <v>0</v>
      </c>
      <c r="R19" s="522" t="b">
        <f>IF(AND(N19=1,F19="2 MANUAIS"),VLOOKUP(C19,'AUX5-CUSTOS'!$B$3:$O$14,5,FALSE))</f>
        <v>0</v>
      </c>
      <c r="S19" s="522" t="b">
        <f>IF(AND(N19=1,F19="1 COM ATUADOR ON/OFF"),VLOOKUP(C19,'AUX5-CUSTOS'!$B$3:$O$14,6,FALSE))</f>
        <v>0</v>
      </c>
      <c r="T19" s="522" t="b">
        <f>IF(AND(N19=1,F19="2 COM ATUADORES ON/OFF"),VLOOKUP(C19,'AUX5-CUSTOS'!$B$3:$O$14,7,FALSE))</f>
        <v>0</v>
      </c>
      <c r="U19" s="522" t="b">
        <f>IF(AND(N19=1,G19="Eletrônico"),VLOOKUP(C19,'AUX5-CUSTOS'!$B$3:$O$14,8,FALSE))</f>
        <v>0</v>
      </c>
      <c r="V19" s="522" t="b">
        <f>IF(AND(N19=1,H19="Proporcional"),VLOOKUP(C19,'AUX5-CUSTOS'!$B$3:$O$14,9,FALSE))</f>
        <v>0</v>
      </c>
      <c r="W19" s="522" t="b">
        <f>IF(AND(N19=1,I19="SIM"),VLOOKUP(C19,'AUX5-CUSTOS'!$B$3:$O$14,10,FALSE))</f>
        <v>0</v>
      </c>
      <c r="X19" s="521" t="b">
        <f>IF(AND(N19=1,J19="SIM"),VLOOKUP(C19,'AUX5-CUSTOS'!$B$3:$O$14,11,FALSE))</f>
        <v>0</v>
      </c>
      <c r="Y19" s="521" t="b">
        <f>IF(AND(N19=1,K19="SIM"),VLOOKUP(C19,'AUX5-CUSTOS'!$B$3:$O$14,12,FALSE))</f>
        <v>0</v>
      </c>
      <c r="Z19" s="521" t="b">
        <f>IF(AND(N19=1,L19="SIM"),VLOOKUP(C19,'AUX5-CUSTOS'!$B$3:$O$14,13,FALSE))</f>
        <v>0</v>
      </c>
      <c r="AB19" s="521">
        <f t="shared" si="2"/>
        <v>0</v>
      </c>
      <c r="AC19" s="49" t="b">
        <f>IF(N19=1,VLOOKUP(C19,'AUX5-CUSTOS'!$B$3:$U$14,15,FALSE))</f>
        <v>0</v>
      </c>
      <c r="AD19" s="49" t="b">
        <f>IF(N19=1,VLOOKUP(C19,'AUX5-CUSTOS'!$B$3:$U$14,16,FALSE))</f>
        <v>0</v>
      </c>
      <c r="AE19" s="49" t="b">
        <f>IF(N19=1,VLOOKUP(C19,'AUX5-CUSTOS'!$B$3:$U$14,17,FALSE))</f>
        <v>0</v>
      </c>
      <c r="AF19" s="49" t="b">
        <f>IF(N19=1,VLOOKUP(C19,'AUX5-CUSTOS'!$B$3:$U$14,18,FALSE))</f>
        <v>0</v>
      </c>
      <c r="AG19" t="b">
        <f>IF(N19=1,VLOOKUP(C19,'AUX5-CUSTOS'!$B$3:$V$14,19,FALSE))</f>
        <v>0</v>
      </c>
    </row>
    <row r="20" spans="1:33" x14ac:dyDescent="0.3">
      <c r="A20" s="515"/>
      <c r="B20" s="515"/>
      <c r="C20" s="515"/>
      <c r="D20" s="515"/>
      <c r="E20" s="515"/>
      <c r="F20" s="515"/>
      <c r="G20" s="515"/>
      <c r="H20" s="515"/>
      <c r="I20" s="515"/>
      <c r="J20" s="515"/>
      <c r="K20" s="515"/>
      <c r="L20" s="515"/>
      <c r="M20" t="str">
        <f t="shared" si="1"/>
        <v xml:space="preserve">; ; </v>
      </c>
      <c r="N20">
        <f t="shared" si="0"/>
        <v>0</v>
      </c>
      <c r="O20" s="522" t="b">
        <f>IF(N20=1,VLOOKUP(C20,'AUX5-CUSTOS'!$B$3:$O$14,2,),IF(N20=2,VLOOKUP(C20,'AUX5-CUSTOS'!$B$17:$O$34,2,),IF(N20=3,VLOOKUP(C20,'AUX5-CUSTOS'!$B$36:$O$53,2,))))</f>
        <v>0</v>
      </c>
      <c r="P20" s="522" t="b">
        <f>IF(AND(N20=1,E20="SIM"),VLOOKUP(C20,'AUX5-CUSTOS'!$B$3:$O$14,3,FALSE))</f>
        <v>0</v>
      </c>
      <c r="Q20" s="522" t="b">
        <f>IF(AND(N20=1,F20="1 MANUAL"),VLOOKUP(C20,'AUX5-CUSTOS'!$B$3:$O$14,4,FALSE))</f>
        <v>0</v>
      </c>
      <c r="R20" s="522" t="b">
        <f>IF(AND(N20=1,F20="2 MANUAIS"),VLOOKUP(C20,'AUX5-CUSTOS'!$B$3:$O$14,5,FALSE))</f>
        <v>0</v>
      </c>
      <c r="S20" s="522" t="b">
        <f>IF(AND(N20=1,F20="1 COM ATUADOR ON/OFF"),VLOOKUP(C20,'AUX5-CUSTOS'!$B$3:$O$14,6,FALSE))</f>
        <v>0</v>
      </c>
      <c r="T20" s="522" t="b">
        <f>IF(AND(N20=1,F20="2 COM ATUADORES ON/OFF"),VLOOKUP(C20,'AUX5-CUSTOS'!$B$3:$O$14,7,FALSE))</f>
        <v>0</v>
      </c>
      <c r="U20" s="522" t="b">
        <f>IF(AND(N20=1,G20="Eletrônico"),VLOOKUP(C20,'AUX5-CUSTOS'!$B$3:$O$14,8,FALSE))</f>
        <v>0</v>
      </c>
      <c r="V20" s="522" t="b">
        <f>IF(AND(N20=1,H20="Proporcional"),VLOOKUP(C20,'AUX5-CUSTOS'!$B$3:$O$14,9,FALSE))</f>
        <v>0</v>
      </c>
      <c r="W20" s="522" t="b">
        <f>IF(AND(N20=1,I20="SIM"),VLOOKUP(C20,'AUX5-CUSTOS'!$B$3:$O$14,10,FALSE))</f>
        <v>0</v>
      </c>
      <c r="X20" s="521" t="b">
        <f>IF(AND(N20=1,J20="SIM"),VLOOKUP(C20,'AUX5-CUSTOS'!$B$3:$O$14,11,FALSE))</f>
        <v>0</v>
      </c>
      <c r="Y20" s="521" t="b">
        <f>IF(AND(N20=1,K20="SIM"),VLOOKUP(C20,'AUX5-CUSTOS'!$B$3:$O$14,12,FALSE))</f>
        <v>0</v>
      </c>
      <c r="Z20" s="521" t="b">
        <f>IF(AND(N20=1,L20="SIM"),VLOOKUP(C20,'AUX5-CUSTOS'!$B$3:$O$14,13,FALSE))</f>
        <v>0</v>
      </c>
      <c r="AB20" s="521">
        <f t="shared" si="2"/>
        <v>0</v>
      </c>
      <c r="AC20" s="49" t="b">
        <f>IF(N20=1,VLOOKUP(C20,'AUX5-CUSTOS'!$B$3:$U$14,15,FALSE))</f>
        <v>0</v>
      </c>
      <c r="AD20" s="49" t="b">
        <f>IF(N20=1,VLOOKUP(C20,'AUX5-CUSTOS'!$B$3:$U$14,16,FALSE))</f>
        <v>0</v>
      </c>
      <c r="AE20" s="49" t="b">
        <f>IF(N20=1,VLOOKUP(C20,'AUX5-CUSTOS'!$B$3:$U$14,17,FALSE))</f>
        <v>0</v>
      </c>
      <c r="AF20" s="49" t="b">
        <f>IF(N20=1,VLOOKUP(C20,'AUX5-CUSTOS'!$B$3:$U$14,18,FALSE))</f>
        <v>0</v>
      </c>
      <c r="AG20" t="b">
        <f>IF(N20=1,VLOOKUP(C20,'AUX5-CUSTOS'!$B$3:$V$14,19,FALSE))</f>
        <v>0</v>
      </c>
    </row>
    <row r="21" spans="1:33" x14ac:dyDescent="0.3">
      <c r="A21" s="515"/>
      <c r="B21" s="515"/>
      <c r="C21" s="515"/>
      <c r="D21" s="515"/>
      <c r="E21" s="515"/>
      <c r="F21" s="515"/>
      <c r="G21" s="515"/>
      <c r="H21" s="515"/>
      <c r="I21" s="515"/>
      <c r="J21" s="515"/>
      <c r="K21" s="515"/>
      <c r="L21" s="515"/>
      <c r="M21" t="str">
        <f t="shared" si="1"/>
        <v xml:space="preserve">; ; </v>
      </c>
      <c r="N21">
        <f t="shared" si="0"/>
        <v>0</v>
      </c>
      <c r="O21" s="522" t="b">
        <f>IF(N21=1,VLOOKUP(C21,'AUX5-CUSTOS'!$B$3:$O$14,2,),IF(N21=2,VLOOKUP(C21,'AUX5-CUSTOS'!$B$17:$O$34,2,),IF(N21=3,VLOOKUP(C21,'AUX5-CUSTOS'!$B$36:$O$53,2,))))</f>
        <v>0</v>
      </c>
      <c r="P21" s="522" t="b">
        <f>IF(AND(N21=1,E21="SIM"),VLOOKUP(C21,'AUX5-CUSTOS'!$B$3:$O$14,3,FALSE))</f>
        <v>0</v>
      </c>
      <c r="Q21" s="522" t="b">
        <f>IF(AND(N21=1,F21="1 MANUAL"),VLOOKUP(C21,'AUX5-CUSTOS'!$B$3:$O$14,4,FALSE))</f>
        <v>0</v>
      </c>
      <c r="R21" s="522" t="b">
        <f>IF(AND(N21=1,F21="2 MANUAIS"),VLOOKUP(C21,'AUX5-CUSTOS'!$B$3:$O$14,5,FALSE))</f>
        <v>0</v>
      </c>
      <c r="S21" s="522" t="b">
        <f>IF(AND(N21=1,F21="1 COM ATUADOR ON/OFF"),VLOOKUP(C21,'AUX5-CUSTOS'!$B$3:$O$14,6,FALSE))</f>
        <v>0</v>
      </c>
      <c r="T21" s="522" t="b">
        <f>IF(AND(N21=1,F21="2 COM ATUADORES ON/OFF"),VLOOKUP(C21,'AUX5-CUSTOS'!$B$3:$O$14,7,FALSE))</f>
        <v>0</v>
      </c>
      <c r="U21" s="522" t="b">
        <f>IF(AND(N21=1,G21="Eletrônico"),VLOOKUP(C21,'AUX5-CUSTOS'!$B$3:$O$14,8,FALSE))</f>
        <v>0</v>
      </c>
      <c r="V21" s="522" t="b">
        <f>IF(AND(N21=1,H21="Proporcional"),VLOOKUP(C21,'AUX5-CUSTOS'!$B$3:$O$14,9,FALSE))</f>
        <v>0</v>
      </c>
      <c r="W21" s="522" t="b">
        <f>IF(AND(N21=1,I21="SIM"),VLOOKUP(C21,'AUX5-CUSTOS'!$B$3:$O$14,10,FALSE))</f>
        <v>0</v>
      </c>
      <c r="X21" s="521" t="b">
        <f>IF(AND(N21=1,J21="SIM"),VLOOKUP(C21,'AUX5-CUSTOS'!$B$3:$O$14,11,FALSE))</f>
        <v>0</v>
      </c>
      <c r="Y21" s="521" t="b">
        <f>IF(AND(N21=1,K21="SIM"),VLOOKUP(C21,'AUX5-CUSTOS'!$B$3:$O$14,12,FALSE))</f>
        <v>0</v>
      </c>
      <c r="Z21" s="521" t="b">
        <f>IF(AND(N21=1,L21="SIM"),VLOOKUP(C21,'AUX5-CUSTOS'!$B$3:$O$14,13,FALSE))</f>
        <v>0</v>
      </c>
      <c r="AB21" s="521">
        <f t="shared" si="2"/>
        <v>0</v>
      </c>
      <c r="AC21" s="49" t="b">
        <f>IF(N21=1,VLOOKUP(C21,'AUX5-CUSTOS'!$B$3:$U$14,15,FALSE))</f>
        <v>0</v>
      </c>
      <c r="AD21" s="49" t="b">
        <f>IF(N21=1,VLOOKUP(C21,'AUX5-CUSTOS'!$B$3:$U$14,16,FALSE))</f>
        <v>0</v>
      </c>
      <c r="AE21" s="49" t="b">
        <f>IF(N21=1,VLOOKUP(C21,'AUX5-CUSTOS'!$B$3:$U$14,17,FALSE))</f>
        <v>0</v>
      </c>
      <c r="AF21" s="49" t="b">
        <f>IF(N21=1,VLOOKUP(C21,'AUX5-CUSTOS'!$B$3:$U$14,18,FALSE))</f>
        <v>0</v>
      </c>
      <c r="AG21" t="b">
        <f>IF(N21=1,VLOOKUP(C21,'AUX5-CUSTOS'!$B$3:$V$14,19,FALSE))</f>
        <v>0</v>
      </c>
    </row>
    <row r="22" spans="1:33" x14ac:dyDescent="0.3">
      <c r="A22" s="515"/>
      <c r="B22" s="515"/>
      <c r="C22" s="515"/>
      <c r="D22" s="515"/>
      <c r="E22" s="515"/>
      <c r="F22" s="515"/>
      <c r="G22" s="515"/>
      <c r="H22" s="515"/>
      <c r="I22" s="515"/>
      <c r="J22" s="515"/>
      <c r="K22" s="515"/>
      <c r="L22" s="515"/>
      <c r="M22" t="str">
        <f t="shared" si="1"/>
        <v xml:space="preserve">; ; </v>
      </c>
      <c r="N22">
        <f t="shared" si="0"/>
        <v>0</v>
      </c>
      <c r="O22" s="522" t="b">
        <f>IF(N22=1,VLOOKUP(C22,'AUX5-CUSTOS'!$B$3:$O$14,2,),IF(N22=2,VLOOKUP(C22,'AUX5-CUSTOS'!$B$17:$O$34,2,),IF(N22=3,VLOOKUP(C22,'AUX5-CUSTOS'!$B$36:$O$53,2,))))</f>
        <v>0</v>
      </c>
      <c r="P22" s="522" t="b">
        <f>IF(AND(N22=1,E22="SIM"),VLOOKUP(C22,'AUX5-CUSTOS'!$B$3:$O$14,3,FALSE))</f>
        <v>0</v>
      </c>
      <c r="Q22" s="522" t="b">
        <f>IF(AND(N22=1,F22="1 MANUAL"),VLOOKUP(C22,'AUX5-CUSTOS'!$B$3:$O$14,4,FALSE))</f>
        <v>0</v>
      </c>
      <c r="R22" s="522" t="b">
        <f>IF(AND(N22=1,F22="2 MANUAIS"),VLOOKUP(C22,'AUX5-CUSTOS'!$B$3:$O$14,5,FALSE))</f>
        <v>0</v>
      </c>
      <c r="S22" s="522" t="b">
        <f>IF(AND(N22=1,F22="1 COM ATUADOR ON/OFF"),VLOOKUP(C22,'AUX5-CUSTOS'!$B$3:$O$14,6,FALSE))</f>
        <v>0</v>
      </c>
      <c r="T22" s="522" t="b">
        <f>IF(AND(N22=1,F22="2 COM ATUADORES ON/OFF"),VLOOKUP(C22,'AUX5-CUSTOS'!$B$3:$O$14,7,FALSE))</f>
        <v>0</v>
      </c>
      <c r="U22" s="522" t="b">
        <f>IF(AND(N22=1,G22="Eletrônico"),VLOOKUP(C22,'AUX5-CUSTOS'!$B$3:$O$14,8,FALSE))</f>
        <v>0</v>
      </c>
      <c r="V22" s="522" t="b">
        <f>IF(AND(N22=1,H22="Proporcional"),VLOOKUP(C22,'AUX5-CUSTOS'!$B$3:$O$14,9,FALSE))</f>
        <v>0</v>
      </c>
      <c r="W22" s="522" t="b">
        <f>IF(AND(N22=1,I22="SIM"),VLOOKUP(C22,'AUX5-CUSTOS'!$B$3:$O$14,10,FALSE))</f>
        <v>0</v>
      </c>
      <c r="X22" s="521" t="b">
        <f>IF(AND(N22=1,J22="SIM"),VLOOKUP(C22,'AUX5-CUSTOS'!$B$3:$O$14,11,FALSE))</f>
        <v>0</v>
      </c>
      <c r="Y22" s="521" t="b">
        <f>IF(AND(N22=1,K22="SIM"),VLOOKUP(C22,'AUX5-CUSTOS'!$B$3:$O$14,12,FALSE))</f>
        <v>0</v>
      </c>
      <c r="Z22" s="521" t="b">
        <f>IF(AND(N22=1,L22="SIM"),VLOOKUP(C22,'AUX5-CUSTOS'!$B$3:$O$14,13,FALSE))</f>
        <v>0</v>
      </c>
      <c r="AB22" s="521">
        <f t="shared" si="2"/>
        <v>0</v>
      </c>
      <c r="AC22" s="49" t="b">
        <f>IF(N22=1,VLOOKUP(C22,'AUX5-CUSTOS'!$B$3:$U$14,15,FALSE))</f>
        <v>0</v>
      </c>
      <c r="AD22" s="49" t="b">
        <f>IF(N22=1,VLOOKUP(C22,'AUX5-CUSTOS'!$B$3:$U$14,16,FALSE))</f>
        <v>0</v>
      </c>
      <c r="AE22" s="49" t="b">
        <f>IF(N22=1,VLOOKUP(C22,'AUX5-CUSTOS'!$B$3:$U$14,17,FALSE))</f>
        <v>0</v>
      </c>
      <c r="AF22" s="49" t="b">
        <f>IF(N22=1,VLOOKUP(C22,'AUX5-CUSTOS'!$B$3:$U$14,18,FALSE))</f>
        <v>0</v>
      </c>
      <c r="AG22" t="b">
        <f>IF(N22=1,VLOOKUP(C22,'AUX5-CUSTOS'!$B$3:$V$14,19,FALSE))</f>
        <v>0</v>
      </c>
    </row>
    <row r="23" spans="1:33" x14ac:dyDescent="0.3">
      <c r="A23" s="515"/>
      <c r="B23" s="515"/>
      <c r="C23" s="515"/>
      <c r="D23" s="515"/>
      <c r="E23" s="515"/>
      <c r="F23" s="515"/>
      <c r="G23" s="515"/>
      <c r="H23" s="515"/>
      <c r="I23" s="515"/>
      <c r="J23" s="515"/>
      <c r="K23" s="515"/>
      <c r="L23" s="515"/>
      <c r="M23" t="str">
        <f t="shared" si="1"/>
        <v xml:space="preserve">; ; </v>
      </c>
      <c r="N23">
        <f t="shared" si="0"/>
        <v>0</v>
      </c>
      <c r="O23" s="522" t="b">
        <f>IF(N23=1,VLOOKUP(C23,'AUX5-CUSTOS'!$B$3:$O$14,2,),IF(N23=2,VLOOKUP(C23,'AUX5-CUSTOS'!$B$17:$O$34,2,),IF(N23=3,VLOOKUP(C23,'AUX5-CUSTOS'!$B$36:$O$53,2,))))</f>
        <v>0</v>
      </c>
      <c r="P23" s="522" t="b">
        <f>IF(AND(N23=1,E23="SIM"),VLOOKUP(C23,'AUX5-CUSTOS'!$B$3:$O$14,3,FALSE))</f>
        <v>0</v>
      </c>
      <c r="Q23" s="522" t="b">
        <f>IF(AND(N23=1,F23="1 MANUAL"),VLOOKUP(C23,'AUX5-CUSTOS'!$B$3:$O$14,4,FALSE))</f>
        <v>0</v>
      </c>
      <c r="R23" s="522" t="b">
        <f>IF(AND(N23=1,F23="2 MANUAIS"),VLOOKUP(C23,'AUX5-CUSTOS'!$B$3:$O$14,5,FALSE))</f>
        <v>0</v>
      </c>
      <c r="S23" s="522" t="b">
        <f>IF(AND(N23=1,F23="1 COM ATUADOR ON/OFF"),VLOOKUP(C23,'AUX5-CUSTOS'!$B$3:$O$14,6,FALSE))</f>
        <v>0</v>
      </c>
      <c r="T23" s="522" t="b">
        <f>IF(AND(N23=1,F23="2 COM ATUADORES ON/OFF"),VLOOKUP(C23,'AUX5-CUSTOS'!$B$3:$O$14,7,FALSE))</f>
        <v>0</v>
      </c>
      <c r="U23" s="522" t="b">
        <f>IF(AND(N23=1,G23="Eletrônico"),VLOOKUP(C23,'AUX5-CUSTOS'!$B$3:$O$14,8,FALSE))</f>
        <v>0</v>
      </c>
      <c r="V23" s="522" t="b">
        <f>IF(AND(N23=1,H23="Proporcional"),VLOOKUP(C23,'AUX5-CUSTOS'!$B$3:$O$14,9,FALSE))</f>
        <v>0</v>
      </c>
      <c r="W23" s="522" t="b">
        <f>IF(AND(N23=1,I23="SIM"),VLOOKUP(C23,'AUX5-CUSTOS'!$B$3:$O$14,10,FALSE))</f>
        <v>0</v>
      </c>
      <c r="X23" s="521" t="b">
        <f>IF(AND(N23=1,J23="SIM"),VLOOKUP(C23,'AUX5-CUSTOS'!$B$3:$O$14,11,FALSE))</f>
        <v>0</v>
      </c>
      <c r="Y23" s="521" t="b">
        <f>IF(AND(N23=1,K23="SIM"),VLOOKUP(C23,'AUX5-CUSTOS'!$B$3:$O$14,12,FALSE))</f>
        <v>0</v>
      </c>
      <c r="Z23" s="521" t="b">
        <f>IF(AND(N23=1,L23="SIM"),VLOOKUP(C23,'AUX5-CUSTOS'!$B$3:$O$14,13,FALSE))</f>
        <v>0</v>
      </c>
      <c r="AB23" s="521">
        <f t="shared" si="2"/>
        <v>0</v>
      </c>
      <c r="AC23" s="49" t="b">
        <f>IF(N23=1,VLOOKUP(C23,'AUX5-CUSTOS'!$B$3:$U$14,15,FALSE))</f>
        <v>0</v>
      </c>
      <c r="AD23" s="49" t="b">
        <f>IF(N23=1,VLOOKUP(C23,'AUX5-CUSTOS'!$B$3:$U$14,16,FALSE))</f>
        <v>0</v>
      </c>
      <c r="AE23" s="49" t="b">
        <f>IF(N23=1,VLOOKUP(C23,'AUX5-CUSTOS'!$B$3:$U$14,17,FALSE))</f>
        <v>0</v>
      </c>
      <c r="AF23" s="49" t="b">
        <f>IF(N23=1,VLOOKUP(C23,'AUX5-CUSTOS'!$B$3:$U$14,18,FALSE))</f>
        <v>0</v>
      </c>
      <c r="AG23" t="b">
        <f>IF(N23=1,VLOOKUP(C23,'AUX5-CUSTOS'!$B$3:$V$14,19,FALSE))</f>
        <v>0</v>
      </c>
    </row>
    <row r="24" spans="1:33" x14ac:dyDescent="0.3">
      <c r="A24" s="515"/>
      <c r="B24" s="515"/>
      <c r="C24" s="515"/>
      <c r="D24" s="515"/>
      <c r="E24" s="515"/>
      <c r="F24" s="515"/>
      <c r="G24" s="515"/>
      <c r="H24" s="515"/>
      <c r="I24" s="515"/>
      <c r="J24" s="515"/>
      <c r="K24" s="515"/>
      <c r="L24" s="515"/>
      <c r="M24" t="str">
        <f t="shared" si="1"/>
        <v xml:space="preserve">; ; </v>
      </c>
      <c r="N24">
        <f t="shared" si="0"/>
        <v>0</v>
      </c>
      <c r="O24" s="522" t="b">
        <f>IF(N24=1,VLOOKUP(C24,'AUX5-CUSTOS'!$B$3:$O$14,2,),IF(N24=2,VLOOKUP(C24,'AUX5-CUSTOS'!$B$17:$O$34,2,),IF(N24=3,VLOOKUP(C24,'AUX5-CUSTOS'!$B$36:$O$53,2,))))</f>
        <v>0</v>
      </c>
      <c r="P24" s="522" t="b">
        <f>IF(AND(N24=1,E24="SIM"),VLOOKUP(C24,'AUX5-CUSTOS'!$B$3:$O$14,3,FALSE))</f>
        <v>0</v>
      </c>
      <c r="Q24" s="522" t="b">
        <f>IF(AND(N24=1,F24="1 MANUAL"),VLOOKUP(C24,'AUX5-CUSTOS'!$B$3:$O$14,4,FALSE))</f>
        <v>0</v>
      </c>
      <c r="R24" s="522" t="b">
        <f>IF(AND(N24=1,F24="2 MANUAIS"),VLOOKUP(C24,'AUX5-CUSTOS'!$B$3:$O$14,5,FALSE))</f>
        <v>0</v>
      </c>
      <c r="S24" s="522" t="b">
        <f>IF(AND(N24=1,F24="1 COM ATUADOR ON/OFF"),VLOOKUP(C24,'AUX5-CUSTOS'!$B$3:$O$14,6,FALSE))</f>
        <v>0</v>
      </c>
      <c r="T24" s="522" t="b">
        <f>IF(AND(N24=1,F24="2 COM ATUADORES ON/OFF"),VLOOKUP(C24,'AUX5-CUSTOS'!$B$3:$O$14,7,FALSE))</f>
        <v>0</v>
      </c>
      <c r="U24" s="522" t="b">
        <f>IF(AND(N24=1,G24="Eletrônico"),VLOOKUP(C24,'AUX5-CUSTOS'!$B$3:$O$14,8,FALSE))</f>
        <v>0</v>
      </c>
      <c r="V24" s="522" t="b">
        <f>IF(AND(N24=1,H24="Proporcional"),VLOOKUP(C24,'AUX5-CUSTOS'!$B$3:$O$14,9,FALSE))</f>
        <v>0</v>
      </c>
      <c r="W24" s="522" t="b">
        <f>IF(AND(N24=1,I24="SIM"),VLOOKUP(C24,'AUX5-CUSTOS'!$B$3:$O$14,10,FALSE))</f>
        <v>0</v>
      </c>
      <c r="X24" s="521" t="b">
        <f>IF(AND(N24=1,J24="SIM"),VLOOKUP(C24,'AUX5-CUSTOS'!$B$3:$O$14,11,FALSE))</f>
        <v>0</v>
      </c>
      <c r="Y24" s="521" t="b">
        <f>IF(AND(N24=1,K24="SIM"),VLOOKUP(C24,'AUX5-CUSTOS'!$B$3:$O$14,12,FALSE))</f>
        <v>0</v>
      </c>
      <c r="Z24" s="521" t="b">
        <f>IF(AND(N24=1,L24="SIM"),VLOOKUP(C24,'AUX5-CUSTOS'!$B$3:$O$14,13,FALSE))</f>
        <v>0</v>
      </c>
      <c r="AB24" s="521">
        <f t="shared" si="2"/>
        <v>0</v>
      </c>
      <c r="AC24" s="49" t="b">
        <f>IF(N24=1,VLOOKUP(C24,'AUX5-CUSTOS'!$B$3:$U$14,15,FALSE))</f>
        <v>0</v>
      </c>
      <c r="AD24" s="49" t="b">
        <f>IF(N24=1,VLOOKUP(C24,'AUX5-CUSTOS'!$B$3:$U$14,16,FALSE))</f>
        <v>0</v>
      </c>
      <c r="AE24" s="49" t="b">
        <f>IF(N24=1,VLOOKUP(C24,'AUX5-CUSTOS'!$B$3:$U$14,17,FALSE))</f>
        <v>0</v>
      </c>
      <c r="AF24" s="49" t="b">
        <f>IF(N24=1,VLOOKUP(C24,'AUX5-CUSTOS'!$B$3:$U$14,18,FALSE))</f>
        <v>0</v>
      </c>
      <c r="AG24" t="b">
        <f>IF(N24=1,VLOOKUP(C24,'AUX5-CUSTOS'!$B$3:$V$14,19,FALSE))</f>
        <v>0</v>
      </c>
    </row>
    <row r="25" spans="1:33" x14ac:dyDescent="0.3">
      <c r="A25" s="515"/>
      <c r="B25" s="515"/>
      <c r="C25" s="515"/>
      <c r="D25" s="515"/>
      <c r="E25" s="515"/>
      <c r="F25" s="515"/>
      <c r="G25" s="515"/>
      <c r="H25" s="515"/>
      <c r="I25" s="515"/>
      <c r="J25" s="515"/>
      <c r="K25" s="515"/>
      <c r="L25" s="515"/>
      <c r="M25" t="str">
        <f t="shared" si="1"/>
        <v xml:space="preserve">; ; </v>
      </c>
      <c r="N25">
        <f t="shared" si="0"/>
        <v>0</v>
      </c>
      <c r="O25" s="522" t="b">
        <f>IF(N25=1,VLOOKUP(C25,'AUX5-CUSTOS'!$B$3:$O$14,2,),IF(N25=2,VLOOKUP(C25,'AUX5-CUSTOS'!$B$17:$O$34,2,),IF(N25=3,VLOOKUP(C25,'AUX5-CUSTOS'!$B$36:$O$53,2,))))</f>
        <v>0</v>
      </c>
      <c r="P25" s="522" t="b">
        <f>IF(AND(N25=1,E25="SIM"),VLOOKUP(C25,'AUX5-CUSTOS'!$B$3:$O$14,3,FALSE))</f>
        <v>0</v>
      </c>
      <c r="Q25" s="522" t="b">
        <f>IF(AND(N25=1,F25="1 MANUAL"),VLOOKUP(C25,'AUX5-CUSTOS'!$B$3:$O$14,4,FALSE))</f>
        <v>0</v>
      </c>
      <c r="R25" s="522" t="b">
        <f>IF(AND(N25=1,F25="2 MANUAIS"),VLOOKUP(C25,'AUX5-CUSTOS'!$B$3:$O$14,5,FALSE))</f>
        <v>0</v>
      </c>
      <c r="S25" s="522" t="b">
        <f>IF(AND(N25=1,F25="1 COM ATUADOR ON/OFF"),VLOOKUP(C25,'AUX5-CUSTOS'!$B$3:$O$14,6,FALSE))</f>
        <v>0</v>
      </c>
      <c r="T25" s="522" t="b">
        <f>IF(AND(N25=1,F25="2 COM ATUADORES ON/OFF"),VLOOKUP(C25,'AUX5-CUSTOS'!$B$3:$O$14,7,FALSE))</f>
        <v>0</v>
      </c>
      <c r="U25" s="522" t="b">
        <f>IF(AND(N25=1,G25="Eletrônico"),VLOOKUP(C25,'AUX5-CUSTOS'!$B$3:$O$14,8,FALSE))</f>
        <v>0</v>
      </c>
      <c r="V25" s="522" t="b">
        <f>IF(AND(N25=1,H25="Proporcional"),VLOOKUP(C25,'AUX5-CUSTOS'!$B$3:$O$14,9,FALSE))</f>
        <v>0</v>
      </c>
      <c r="W25" s="522" t="b">
        <f>IF(AND(N25=1,I25="SIM"),VLOOKUP(C25,'AUX5-CUSTOS'!$B$3:$O$14,10,FALSE))</f>
        <v>0</v>
      </c>
      <c r="X25" s="521" t="b">
        <f>IF(AND(N25=1,J25="SIM"),VLOOKUP(C25,'AUX5-CUSTOS'!$B$3:$O$14,11,FALSE))</f>
        <v>0</v>
      </c>
      <c r="Y25" s="521" t="b">
        <f>IF(AND(N25=1,K25="SIM"),VLOOKUP(C25,'AUX5-CUSTOS'!$B$3:$O$14,12,FALSE))</f>
        <v>0</v>
      </c>
      <c r="Z25" s="521" t="b">
        <f>IF(AND(N25=1,L25="SIM"),VLOOKUP(C25,'AUX5-CUSTOS'!$B$3:$O$14,13,FALSE))</f>
        <v>0</v>
      </c>
      <c r="AB25" s="521">
        <f t="shared" si="2"/>
        <v>0</v>
      </c>
      <c r="AC25" s="49" t="b">
        <f>IF(N25=1,VLOOKUP(C25,'AUX5-CUSTOS'!$B$3:$U$14,15,FALSE))</f>
        <v>0</v>
      </c>
      <c r="AD25" s="49" t="b">
        <f>IF(N25=1,VLOOKUP(C25,'AUX5-CUSTOS'!$B$3:$U$14,16,FALSE))</f>
        <v>0</v>
      </c>
      <c r="AE25" s="49" t="b">
        <f>IF(N25=1,VLOOKUP(C25,'AUX5-CUSTOS'!$B$3:$U$14,17,FALSE))</f>
        <v>0</v>
      </c>
      <c r="AF25" s="49" t="b">
        <f>IF(N25=1,VLOOKUP(C25,'AUX5-CUSTOS'!$B$3:$U$14,18,FALSE))</f>
        <v>0</v>
      </c>
      <c r="AG25" t="b">
        <f>IF(N25=1,VLOOKUP(C25,'AUX5-CUSTOS'!$B$3:$V$14,19,FALSE))</f>
        <v>0</v>
      </c>
    </row>
    <row r="26" spans="1:33" x14ac:dyDescent="0.3">
      <c r="A26" s="515"/>
      <c r="B26" s="515"/>
      <c r="C26" s="515"/>
      <c r="D26" s="515"/>
      <c r="E26" s="515"/>
      <c r="F26" s="515"/>
      <c r="G26" s="515"/>
      <c r="H26" s="515"/>
      <c r="I26" s="515"/>
      <c r="J26" s="515"/>
      <c r="K26" s="515"/>
      <c r="L26" s="515"/>
      <c r="M26" t="str">
        <f t="shared" si="1"/>
        <v xml:space="preserve">; ; </v>
      </c>
      <c r="N26">
        <f t="shared" si="0"/>
        <v>0</v>
      </c>
      <c r="O26" s="522" t="b">
        <f>IF(N26=1,VLOOKUP(C26,'AUX5-CUSTOS'!$B$3:$O$14,2,),IF(N26=2,VLOOKUP(C26,'AUX5-CUSTOS'!$B$17:$O$34,2,),IF(N26=3,VLOOKUP(C26,'AUX5-CUSTOS'!$B$36:$O$53,2,))))</f>
        <v>0</v>
      </c>
      <c r="P26" s="522" t="b">
        <f>IF(AND(N26=1,E26="SIM"),VLOOKUP(C26,'AUX5-CUSTOS'!$B$3:$O$14,3,FALSE))</f>
        <v>0</v>
      </c>
      <c r="Q26" s="522" t="b">
        <f>IF(AND(N26=1,F26="1 MANUAL"),VLOOKUP(C26,'AUX5-CUSTOS'!$B$3:$O$14,4,FALSE))</f>
        <v>0</v>
      </c>
      <c r="R26" s="522" t="b">
        <f>IF(AND(N26=1,F26="2 MANUAIS"),VLOOKUP(C26,'AUX5-CUSTOS'!$B$3:$O$14,5,FALSE))</f>
        <v>0</v>
      </c>
      <c r="S26" s="522" t="b">
        <f>IF(AND(N26=1,F26="1 COM ATUADOR ON/OFF"),VLOOKUP(C26,'AUX5-CUSTOS'!$B$3:$O$14,6,FALSE))</f>
        <v>0</v>
      </c>
      <c r="T26" s="522" t="b">
        <f>IF(AND(N26=1,F26="2 COM ATUADORES ON/OFF"),VLOOKUP(C26,'AUX5-CUSTOS'!$B$3:$O$14,7,FALSE))</f>
        <v>0</v>
      </c>
      <c r="U26" s="522" t="b">
        <f>IF(AND(N26=1,G26="Eletrônico"),VLOOKUP(C26,'AUX5-CUSTOS'!$B$3:$O$14,8,FALSE))</f>
        <v>0</v>
      </c>
      <c r="V26" s="522" t="b">
        <f>IF(AND(N26=1,H26="Proporcional"),VLOOKUP(C26,'AUX5-CUSTOS'!$B$3:$O$14,9,FALSE))</f>
        <v>0</v>
      </c>
      <c r="W26" s="522" t="b">
        <f>IF(AND(N26=1,I26="SIM"),VLOOKUP(C26,'AUX5-CUSTOS'!$B$3:$O$14,10,FALSE))</f>
        <v>0</v>
      </c>
      <c r="X26" s="521" t="b">
        <f>IF(AND(N26=1,J26="SIM"),VLOOKUP(C26,'AUX5-CUSTOS'!$B$3:$O$14,11,FALSE))</f>
        <v>0</v>
      </c>
      <c r="Y26" s="521" t="b">
        <f>IF(AND(N26=1,K26="SIM"),VLOOKUP(C26,'AUX5-CUSTOS'!$B$3:$O$14,12,FALSE))</f>
        <v>0</v>
      </c>
      <c r="Z26" s="521" t="b">
        <f>IF(AND(N26=1,L26="SIM"),VLOOKUP(C26,'AUX5-CUSTOS'!$B$3:$O$14,13,FALSE))</f>
        <v>0</v>
      </c>
      <c r="AB26" s="521">
        <f t="shared" si="2"/>
        <v>0</v>
      </c>
      <c r="AC26" s="49" t="b">
        <f>IF(N26=1,VLOOKUP(C26,'AUX5-CUSTOS'!$B$3:$U$14,15,FALSE))</f>
        <v>0</v>
      </c>
      <c r="AD26" s="49" t="b">
        <f>IF(N26=1,VLOOKUP(C26,'AUX5-CUSTOS'!$B$3:$U$14,16,FALSE))</f>
        <v>0</v>
      </c>
      <c r="AE26" s="49" t="b">
        <f>IF(N26=1,VLOOKUP(C26,'AUX5-CUSTOS'!$B$3:$U$14,17,FALSE))</f>
        <v>0</v>
      </c>
      <c r="AF26" s="49" t="b">
        <f>IF(N26=1,VLOOKUP(C26,'AUX5-CUSTOS'!$B$3:$U$14,18,FALSE))</f>
        <v>0</v>
      </c>
      <c r="AG26" t="b">
        <f>IF(N26=1,VLOOKUP(C26,'AUX5-CUSTOS'!$B$3:$V$14,19,FALSE))</f>
        <v>0</v>
      </c>
    </row>
    <row r="27" spans="1:33" x14ac:dyDescent="0.3">
      <c r="A27" s="515"/>
      <c r="B27" s="515"/>
      <c r="C27" s="515"/>
      <c r="D27" s="515"/>
      <c r="E27" s="515"/>
      <c r="F27" s="515"/>
      <c r="G27" s="515"/>
      <c r="H27" s="515"/>
      <c r="I27" s="515"/>
      <c r="J27" s="515"/>
      <c r="K27" s="515"/>
      <c r="L27" s="515"/>
      <c r="M27" t="str">
        <f t="shared" si="1"/>
        <v xml:space="preserve">; ; </v>
      </c>
      <c r="N27">
        <f t="shared" si="0"/>
        <v>0</v>
      </c>
      <c r="O27" s="522" t="b">
        <f>IF(N27=1,VLOOKUP(C27,'AUX5-CUSTOS'!$B$3:$O$14,2,),IF(N27=2,VLOOKUP(C27,'AUX5-CUSTOS'!$B$17:$O$34,2,),IF(N27=3,VLOOKUP(C27,'AUX5-CUSTOS'!$B$36:$O$53,2,))))</f>
        <v>0</v>
      </c>
      <c r="P27" s="522" t="b">
        <f>IF(AND(N27=1,E27="SIM"),VLOOKUP(C27,'AUX5-CUSTOS'!$B$3:$O$14,3,FALSE))</f>
        <v>0</v>
      </c>
      <c r="Q27" s="522" t="b">
        <f>IF(AND(N27=1,F27="1 MANUAL"),VLOOKUP(C27,'AUX5-CUSTOS'!$B$3:$O$14,4,FALSE))</f>
        <v>0</v>
      </c>
      <c r="R27" s="522" t="b">
        <f>IF(AND(N27=1,F27="2 MANUAIS"),VLOOKUP(C27,'AUX5-CUSTOS'!$B$3:$O$14,5,FALSE))</f>
        <v>0</v>
      </c>
      <c r="S27" s="522" t="b">
        <f>IF(AND(N27=1,F27="1 COM ATUADOR ON/OFF"),VLOOKUP(C27,'AUX5-CUSTOS'!$B$3:$O$14,6,FALSE))</f>
        <v>0</v>
      </c>
      <c r="T27" s="522" t="b">
        <f>IF(AND(N27=1,F27="2 COM ATUADORES ON/OFF"),VLOOKUP(C27,'AUX5-CUSTOS'!$B$3:$O$14,7,FALSE))</f>
        <v>0</v>
      </c>
      <c r="U27" s="522" t="b">
        <f>IF(AND(N27=1,G27="Eletrônico"),VLOOKUP(C27,'AUX5-CUSTOS'!$B$3:$O$14,8,FALSE))</f>
        <v>0</v>
      </c>
      <c r="V27" s="522" t="b">
        <f>IF(AND(N27=1,H27="Proporcional"),VLOOKUP(C27,'AUX5-CUSTOS'!$B$3:$O$14,9,FALSE))</f>
        <v>0</v>
      </c>
      <c r="W27" s="522" t="b">
        <f>IF(AND(N27=1,I27="SIM"),VLOOKUP(C27,'AUX5-CUSTOS'!$B$3:$O$14,10,FALSE))</f>
        <v>0</v>
      </c>
      <c r="X27" s="521" t="b">
        <f>IF(AND(N27=1,J27="SIM"),VLOOKUP(C27,'AUX5-CUSTOS'!$B$3:$O$14,11,FALSE))</f>
        <v>0</v>
      </c>
      <c r="Y27" s="521" t="b">
        <f>IF(AND(N27=1,K27="SIM"),VLOOKUP(C27,'AUX5-CUSTOS'!$B$3:$O$14,12,FALSE))</f>
        <v>0</v>
      </c>
      <c r="Z27" s="521" t="b">
        <f>IF(AND(N27=1,L27="SIM"),VLOOKUP(C27,'AUX5-CUSTOS'!$B$3:$O$14,13,FALSE))</f>
        <v>0</v>
      </c>
      <c r="AB27" s="521">
        <f t="shared" si="2"/>
        <v>0</v>
      </c>
      <c r="AC27" s="49" t="b">
        <f>IF(N27=1,VLOOKUP(C27,'AUX5-CUSTOS'!$B$3:$U$14,15,FALSE))</f>
        <v>0</v>
      </c>
      <c r="AD27" s="49" t="b">
        <f>IF(N27=1,VLOOKUP(C27,'AUX5-CUSTOS'!$B$3:$U$14,16,FALSE))</f>
        <v>0</v>
      </c>
      <c r="AE27" s="49" t="b">
        <f>IF(N27=1,VLOOKUP(C27,'AUX5-CUSTOS'!$B$3:$U$14,17,FALSE))</f>
        <v>0</v>
      </c>
      <c r="AF27" s="49" t="b">
        <f>IF(N27=1,VLOOKUP(C27,'AUX5-CUSTOS'!$B$3:$U$14,18,FALSE))</f>
        <v>0</v>
      </c>
      <c r="AG27" t="b">
        <f>IF(N27=1,VLOOKUP(C27,'AUX5-CUSTOS'!$B$3:$V$14,19,FALSE))</f>
        <v>0</v>
      </c>
    </row>
    <row r="28" spans="1:33" x14ac:dyDescent="0.3">
      <c r="A28" s="515"/>
      <c r="B28" s="515"/>
      <c r="C28" s="515"/>
      <c r="D28" s="515"/>
      <c r="E28" s="515"/>
      <c r="F28" s="515"/>
      <c r="G28" s="515"/>
      <c r="H28" s="515"/>
      <c r="I28" s="515"/>
      <c r="J28" s="515"/>
      <c r="K28" s="515"/>
      <c r="L28" s="515"/>
      <c r="M28" t="str">
        <f t="shared" si="1"/>
        <v xml:space="preserve">; ; </v>
      </c>
      <c r="N28">
        <f t="shared" si="0"/>
        <v>0</v>
      </c>
      <c r="O28" s="522" t="b">
        <f>IF(N28=1,VLOOKUP(C28,'AUX5-CUSTOS'!$B$3:$O$14,2,),IF(N28=2,VLOOKUP(C28,'AUX5-CUSTOS'!$B$17:$O$34,2,),IF(N28=3,VLOOKUP(C28,'AUX5-CUSTOS'!$B$36:$O$53,2,))))</f>
        <v>0</v>
      </c>
      <c r="P28" s="522" t="b">
        <f>IF(AND(N28=1,E28="SIM"),VLOOKUP(C28,'AUX5-CUSTOS'!$B$3:$O$14,3,FALSE))</f>
        <v>0</v>
      </c>
      <c r="Q28" s="522" t="b">
        <f>IF(AND(N28=1,F28="1 MANUAL"),VLOOKUP(C28,'AUX5-CUSTOS'!$B$3:$O$14,4,FALSE))</f>
        <v>0</v>
      </c>
      <c r="R28" s="522" t="b">
        <f>IF(AND(N28=1,F28="2 MANUAIS"),VLOOKUP(C28,'AUX5-CUSTOS'!$B$3:$O$14,5,FALSE))</f>
        <v>0</v>
      </c>
      <c r="S28" s="522" t="b">
        <f>IF(AND(N28=1,F28="1 COM ATUADOR ON/OFF"),VLOOKUP(C28,'AUX5-CUSTOS'!$B$3:$O$14,6,FALSE))</f>
        <v>0</v>
      </c>
      <c r="T28" s="522" t="b">
        <f>IF(AND(N28=1,F28="2 COM ATUADORES ON/OFF"),VLOOKUP(C28,'AUX5-CUSTOS'!$B$3:$O$14,7,FALSE))</f>
        <v>0</v>
      </c>
      <c r="U28" s="522" t="b">
        <f>IF(AND(N28=1,G28="Eletrônico"),VLOOKUP(C28,'AUX5-CUSTOS'!$B$3:$O$14,8,FALSE))</f>
        <v>0</v>
      </c>
      <c r="V28" s="522" t="b">
        <f>IF(AND(N28=1,H28="Proporcional"),VLOOKUP(C28,'AUX5-CUSTOS'!$B$3:$O$14,9,FALSE))</f>
        <v>0</v>
      </c>
      <c r="W28" s="522" t="b">
        <f>IF(AND(N28=1,I28="SIM"),VLOOKUP(C28,'AUX5-CUSTOS'!$B$3:$O$14,10,FALSE))</f>
        <v>0</v>
      </c>
      <c r="X28" s="521" t="b">
        <f>IF(AND(N28=1,J28="SIM"),VLOOKUP(C28,'AUX5-CUSTOS'!$B$3:$O$14,11,FALSE))</f>
        <v>0</v>
      </c>
      <c r="Y28" s="521" t="b">
        <f>IF(AND(N28=1,K28="SIM"),VLOOKUP(C28,'AUX5-CUSTOS'!$B$3:$O$14,12,FALSE))</f>
        <v>0</v>
      </c>
      <c r="Z28" s="521" t="b">
        <f>IF(AND(N28=1,L28="SIM"),VLOOKUP(C28,'AUX5-CUSTOS'!$B$3:$O$14,13,FALSE))</f>
        <v>0</v>
      </c>
      <c r="AB28" s="521">
        <f t="shared" si="2"/>
        <v>0</v>
      </c>
      <c r="AC28" s="49" t="b">
        <f>IF(N28=1,VLOOKUP(C28,'AUX5-CUSTOS'!$B$3:$U$14,15,FALSE))</f>
        <v>0</v>
      </c>
      <c r="AD28" s="49" t="b">
        <f>IF(N28=1,VLOOKUP(C28,'AUX5-CUSTOS'!$B$3:$U$14,16,FALSE))</f>
        <v>0</v>
      </c>
      <c r="AE28" s="49" t="b">
        <f>IF(N28=1,VLOOKUP(C28,'AUX5-CUSTOS'!$B$3:$U$14,17,FALSE))</f>
        <v>0</v>
      </c>
      <c r="AF28" s="49" t="b">
        <f>IF(N28=1,VLOOKUP(C28,'AUX5-CUSTOS'!$B$3:$U$14,18,FALSE))</f>
        <v>0</v>
      </c>
      <c r="AG28" t="b">
        <f>IF(N28=1,VLOOKUP(C28,'AUX5-CUSTOS'!$B$3:$V$14,19,FALSE))</f>
        <v>0</v>
      </c>
    </row>
    <row r="29" spans="1:33" x14ac:dyDescent="0.3">
      <c r="A29" s="515"/>
      <c r="B29" s="515"/>
      <c r="C29" s="515"/>
      <c r="D29" s="515"/>
      <c r="E29" s="515"/>
      <c r="F29" s="515"/>
      <c r="G29" s="515"/>
      <c r="H29" s="515"/>
      <c r="I29" s="515"/>
      <c r="J29" s="515"/>
      <c r="K29" s="515"/>
      <c r="L29" s="515"/>
      <c r="M29" t="str">
        <f t="shared" si="1"/>
        <v xml:space="preserve">; ; </v>
      </c>
      <c r="N29">
        <f t="shared" si="0"/>
        <v>0</v>
      </c>
      <c r="O29" s="522" t="b">
        <f>IF(N29=1,VLOOKUP(C29,'AUX5-CUSTOS'!$B$3:$O$14,2,),IF(N29=2,VLOOKUP(C29,'AUX5-CUSTOS'!$B$17:$O$34,2,),IF(N29=3,VLOOKUP(C29,'AUX5-CUSTOS'!$B$36:$O$53,2,))))</f>
        <v>0</v>
      </c>
      <c r="P29" s="522" t="b">
        <f>IF(AND(N29=1,E29="SIM"),VLOOKUP(C29,'AUX5-CUSTOS'!$B$3:$O$14,3,FALSE))</f>
        <v>0</v>
      </c>
      <c r="Q29" s="522" t="b">
        <f>IF(AND(N29=1,F29="1 MANUAL"),VLOOKUP(C29,'AUX5-CUSTOS'!$B$3:$O$14,4,FALSE))</f>
        <v>0</v>
      </c>
      <c r="R29" s="522" t="b">
        <f>IF(AND(N29=1,F29="2 MANUAIS"),VLOOKUP(C29,'AUX5-CUSTOS'!$B$3:$O$14,5,FALSE))</f>
        <v>0</v>
      </c>
      <c r="S29" s="522" t="b">
        <f>IF(AND(N29=1,F29="1 COM ATUADOR ON/OFF"),VLOOKUP(C29,'AUX5-CUSTOS'!$B$3:$O$14,6,FALSE))</f>
        <v>0</v>
      </c>
      <c r="T29" s="522" t="b">
        <f>IF(AND(N29=1,F29="2 COM ATUADORES ON/OFF"),VLOOKUP(C29,'AUX5-CUSTOS'!$B$3:$O$14,7,FALSE))</f>
        <v>0</v>
      </c>
      <c r="U29" s="522" t="b">
        <f>IF(AND(N29=1,G29="Eletrônico"),VLOOKUP(C29,'AUX5-CUSTOS'!$B$3:$O$14,8,FALSE))</f>
        <v>0</v>
      </c>
      <c r="V29" s="522" t="b">
        <f>IF(AND(N29=1,H29="Proporcional"),VLOOKUP(C29,'AUX5-CUSTOS'!$B$3:$O$14,9,FALSE))</f>
        <v>0</v>
      </c>
      <c r="W29" s="522" t="b">
        <f>IF(AND(N29=1,I29="SIM"),VLOOKUP(C29,'AUX5-CUSTOS'!$B$3:$O$14,10,FALSE))</f>
        <v>0</v>
      </c>
      <c r="X29" s="521" t="b">
        <f>IF(AND(N29=1,J29="SIM"),VLOOKUP(C29,'AUX5-CUSTOS'!$B$3:$O$14,11,FALSE))</f>
        <v>0</v>
      </c>
      <c r="Y29" s="521" t="b">
        <f>IF(AND(N29=1,K29="SIM"),VLOOKUP(C29,'AUX5-CUSTOS'!$B$3:$O$14,12,FALSE))</f>
        <v>0</v>
      </c>
      <c r="Z29" s="521" t="b">
        <f>IF(AND(N29=1,L29="SIM"),VLOOKUP(C29,'AUX5-CUSTOS'!$B$3:$O$14,13,FALSE))</f>
        <v>0</v>
      </c>
      <c r="AB29" s="521">
        <f t="shared" si="2"/>
        <v>0</v>
      </c>
      <c r="AC29" s="49" t="b">
        <f>IF(N29=1,VLOOKUP(C29,'AUX5-CUSTOS'!$B$3:$U$14,15,FALSE))</f>
        <v>0</v>
      </c>
      <c r="AD29" s="49" t="b">
        <f>IF(N29=1,VLOOKUP(C29,'AUX5-CUSTOS'!$B$3:$U$14,16,FALSE))</f>
        <v>0</v>
      </c>
      <c r="AE29" s="49" t="b">
        <f>IF(N29=1,VLOOKUP(C29,'AUX5-CUSTOS'!$B$3:$U$14,17,FALSE))</f>
        <v>0</v>
      </c>
      <c r="AF29" s="49" t="b">
        <f>IF(N29=1,VLOOKUP(C29,'AUX5-CUSTOS'!$B$3:$U$14,18,FALSE))</f>
        <v>0</v>
      </c>
      <c r="AG29" t="b">
        <f>IF(N29=1,VLOOKUP(C29,'AUX5-CUSTOS'!$B$3:$V$14,19,FALSE))</f>
        <v>0</v>
      </c>
    </row>
    <row r="30" spans="1:33" x14ac:dyDescent="0.3">
      <c r="A30" s="515"/>
      <c r="B30" s="515"/>
      <c r="C30" s="515"/>
      <c r="D30" s="515"/>
      <c r="E30" s="515"/>
      <c r="F30" s="515"/>
      <c r="G30" s="515"/>
      <c r="H30" s="515"/>
      <c r="I30" s="515"/>
      <c r="J30" s="515"/>
      <c r="K30" s="515"/>
      <c r="L30" s="515"/>
      <c r="M30" t="str">
        <f t="shared" si="1"/>
        <v xml:space="preserve">; ; </v>
      </c>
      <c r="N30">
        <f t="shared" si="0"/>
        <v>0</v>
      </c>
      <c r="O30" s="522" t="b">
        <f>IF(N30=1,VLOOKUP(C30,'AUX5-CUSTOS'!$B$3:$O$14,2,),IF(N30=2,VLOOKUP(C30,'AUX5-CUSTOS'!$B$17:$O$34,2,),IF(N30=3,VLOOKUP(C30,'AUX5-CUSTOS'!$B$36:$O$53,2,))))</f>
        <v>0</v>
      </c>
      <c r="P30" s="522" t="b">
        <f>IF(AND(N30=1,E30="SIM"),VLOOKUP(C30,'AUX5-CUSTOS'!$B$3:$O$14,3,FALSE))</f>
        <v>0</v>
      </c>
      <c r="Q30" s="522" t="b">
        <f>IF(AND(N30=1,F30="1 MANUAL"),VLOOKUP(C30,'AUX5-CUSTOS'!$B$3:$O$14,4,FALSE))</f>
        <v>0</v>
      </c>
      <c r="R30" s="522" t="b">
        <f>IF(AND(N30=1,F30="2 MANUAIS"),VLOOKUP(C30,'AUX5-CUSTOS'!$B$3:$O$14,5,FALSE))</f>
        <v>0</v>
      </c>
      <c r="S30" s="522" t="b">
        <f>IF(AND(N30=1,F30="1 COM ATUADOR ON/OFF"),VLOOKUP(C30,'AUX5-CUSTOS'!$B$3:$O$14,6,FALSE))</f>
        <v>0</v>
      </c>
      <c r="T30" s="522" t="b">
        <f>IF(AND(N30=1,F30="2 COM ATUADORES ON/OFF"),VLOOKUP(C30,'AUX5-CUSTOS'!$B$3:$O$14,7,FALSE))</f>
        <v>0</v>
      </c>
      <c r="U30" s="522" t="b">
        <f>IF(AND(N30=1,G30="Eletrônico"),VLOOKUP(C30,'AUX5-CUSTOS'!$B$3:$O$14,8,FALSE))</f>
        <v>0</v>
      </c>
      <c r="V30" s="522" t="b">
        <f>IF(AND(N30=1,H30="Proporcional"),VLOOKUP(C30,'AUX5-CUSTOS'!$B$3:$O$14,9,FALSE))</f>
        <v>0</v>
      </c>
      <c r="W30" s="522" t="b">
        <f>IF(AND(N30=1,I30="SIM"),VLOOKUP(C30,'AUX5-CUSTOS'!$B$3:$O$14,10,FALSE))</f>
        <v>0</v>
      </c>
      <c r="X30" s="521" t="b">
        <f>IF(AND(N30=1,J30="SIM"),VLOOKUP(C30,'AUX5-CUSTOS'!$B$3:$O$14,11,FALSE))</f>
        <v>0</v>
      </c>
      <c r="Y30" s="521" t="b">
        <f>IF(AND(N30=1,K30="SIM"),VLOOKUP(C30,'AUX5-CUSTOS'!$B$3:$O$14,12,FALSE))</f>
        <v>0</v>
      </c>
      <c r="Z30" s="521" t="b">
        <f>IF(AND(N30=1,L30="SIM"),VLOOKUP(C30,'AUX5-CUSTOS'!$B$3:$O$14,13,FALSE))</f>
        <v>0</v>
      </c>
      <c r="AB30" s="521">
        <f t="shared" si="2"/>
        <v>0</v>
      </c>
      <c r="AC30" s="49" t="b">
        <f>IF(N30=1,VLOOKUP(C30,'AUX5-CUSTOS'!$B$3:$U$14,15,FALSE))</f>
        <v>0</v>
      </c>
      <c r="AD30" s="49" t="b">
        <f>IF(N30=1,VLOOKUP(C30,'AUX5-CUSTOS'!$B$3:$U$14,16,FALSE))</f>
        <v>0</v>
      </c>
      <c r="AE30" s="49" t="b">
        <f>IF(N30=1,VLOOKUP(C30,'AUX5-CUSTOS'!$B$3:$U$14,17,FALSE))</f>
        <v>0</v>
      </c>
      <c r="AF30" s="49" t="b">
        <f>IF(N30=1,VLOOKUP(C30,'AUX5-CUSTOS'!$B$3:$U$14,18,FALSE))</f>
        <v>0</v>
      </c>
      <c r="AG30" t="b">
        <f>IF(N30=1,VLOOKUP(C30,'AUX5-CUSTOS'!$B$3:$V$14,19,FALSE))</f>
        <v>0</v>
      </c>
    </row>
    <row r="31" spans="1:33" x14ac:dyDescent="0.3">
      <c r="A31" s="515"/>
      <c r="B31" s="515"/>
      <c r="C31" s="515"/>
      <c r="D31" s="515"/>
      <c r="E31" s="515"/>
      <c r="F31" s="515"/>
      <c r="G31" s="515"/>
      <c r="H31" s="515"/>
      <c r="I31" s="515"/>
      <c r="J31" s="515"/>
      <c r="K31" s="515"/>
      <c r="L31" s="515"/>
      <c r="M31" t="str">
        <f t="shared" si="1"/>
        <v xml:space="preserve">; ; </v>
      </c>
      <c r="N31">
        <f t="shared" si="0"/>
        <v>0</v>
      </c>
      <c r="O31" s="522" t="b">
        <f>IF(N31=1,VLOOKUP(C31,'AUX5-CUSTOS'!$B$3:$O$14,2,),IF(N31=2,VLOOKUP(C31,'AUX5-CUSTOS'!$B$17:$O$34,2,),IF(N31=3,VLOOKUP(C31,'AUX5-CUSTOS'!$B$36:$O$53,2,))))</f>
        <v>0</v>
      </c>
      <c r="P31" s="522" t="b">
        <f>IF(AND(N31=1,E31="SIM"),VLOOKUP(C31,'AUX5-CUSTOS'!$B$3:$O$14,3,FALSE))</f>
        <v>0</v>
      </c>
      <c r="Q31" s="522" t="b">
        <f>IF(AND(N31=1,F31="1 MANUAL"),VLOOKUP(C31,'AUX5-CUSTOS'!$B$3:$O$14,4,FALSE))</f>
        <v>0</v>
      </c>
      <c r="R31" s="522" t="b">
        <f>IF(AND(N31=1,F31="2 MANUAIS"),VLOOKUP(C31,'AUX5-CUSTOS'!$B$3:$O$14,5,FALSE))</f>
        <v>0</v>
      </c>
      <c r="S31" s="522" t="b">
        <f>IF(AND(N31=1,F31="1 COM ATUADOR ON/OFF"),VLOOKUP(C31,'AUX5-CUSTOS'!$B$3:$O$14,6,FALSE))</f>
        <v>0</v>
      </c>
      <c r="T31" s="522" t="b">
        <f>IF(AND(N31=1,F31="2 COM ATUADORES ON/OFF"),VLOOKUP(C31,'AUX5-CUSTOS'!$B$3:$O$14,7,FALSE))</f>
        <v>0</v>
      </c>
      <c r="U31" s="522" t="b">
        <f>IF(AND(N31=1,G31="Eletrônico"),VLOOKUP(C31,'AUX5-CUSTOS'!$B$3:$O$14,8,FALSE))</f>
        <v>0</v>
      </c>
      <c r="V31" s="522" t="b">
        <f>IF(AND(N31=1,H31="Proporcional"),VLOOKUP(C31,'AUX5-CUSTOS'!$B$3:$O$14,9,FALSE))</f>
        <v>0</v>
      </c>
      <c r="W31" s="522" t="b">
        <f>IF(AND(N31=1,I31="SIM"),VLOOKUP(C31,'AUX5-CUSTOS'!$B$3:$O$14,10,FALSE))</f>
        <v>0</v>
      </c>
      <c r="X31" s="521" t="b">
        <f>IF(AND(N31=1,J31="SIM"),VLOOKUP(C31,'AUX5-CUSTOS'!$B$3:$O$14,11,FALSE))</f>
        <v>0</v>
      </c>
      <c r="Y31" s="521" t="b">
        <f>IF(AND(N31=1,K31="SIM"),VLOOKUP(C31,'AUX5-CUSTOS'!$B$3:$O$14,12,FALSE))</f>
        <v>0</v>
      </c>
      <c r="Z31" s="521" t="b">
        <f>IF(AND(N31=1,L31="SIM"),VLOOKUP(C31,'AUX5-CUSTOS'!$B$3:$O$14,13,FALSE))</f>
        <v>0</v>
      </c>
      <c r="AB31" s="521">
        <f t="shared" si="2"/>
        <v>0</v>
      </c>
      <c r="AC31" s="49" t="b">
        <f>IF(N31=1,VLOOKUP(C31,'AUX5-CUSTOS'!$B$3:$U$14,15,FALSE))</f>
        <v>0</v>
      </c>
      <c r="AD31" s="49" t="b">
        <f>IF(N31=1,VLOOKUP(C31,'AUX5-CUSTOS'!$B$3:$U$14,16,FALSE))</f>
        <v>0</v>
      </c>
      <c r="AE31" s="49" t="b">
        <f>IF(N31=1,VLOOKUP(C31,'AUX5-CUSTOS'!$B$3:$U$14,17,FALSE))</f>
        <v>0</v>
      </c>
      <c r="AF31" s="49" t="b">
        <f>IF(N31=1,VLOOKUP(C31,'AUX5-CUSTOS'!$B$3:$U$14,18,FALSE))</f>
        <v>0</v>
      </c>
      <c r="AG31" t="b">
        <f>IF(N31=1,VLOOKUP(C31,'AUX5-CUSTOS'!$B$3:$V$14,19,FALSE))</f>
        <v>0</v>
      </c>
    </row>
    <row r="32" spans="1:33" x14ac:dyDescent="0.3">
      <c r="A32" s="515"/>
      <c r="B32" s="515"/>
      <c r="C32" s="515"/>
      <c r="D32" s="515"/>
      <c r="E32" s="515"/>
      <c r="F32" s="515"/>
      <c r="G32" s="515"/>
      <c r="H32" s="515"/>
      <c r="I32" s="515"/>
      <c r="J32" s="515"/>
      <c r="K32" s="515"/>
      <c r="L32" s="515"/>
      <c r="M32" t="str">
        <f t="shared" si="1"/>
        <v xml:space="preserve">; ; </v>
      </c>
      <c r="N32">
        <f t="shared" si="0"/>
        <v>0</v>
      </c>
      <c r="O32" s="522" t="b">
        <f>IF(N32=1,VLOOKUP(C32,'AUX5-CUSTOS'!$B$3:$O$14,2,),IF(N32=2,VLOOKUP(C32,'AUX5-CUSTOS'!$B$17:$O$34,2,),IF(N32=3,VLOOKUP(C32,'AUX5-CUSTOS'!$B$36:$O$53,2,))))</f>
        <v>0</v>
      </c>
      <c r="P32" s="522" t="b">
        <f>IF(AND(N32=1,E32="SIM"),VLOOKUP(C32,'AUX5-CUSTOS'!$B$3:$O$14,3,FALSE))</f>
        <v>0</v>
      </c>
      <c r="Q32" s="522" t="b">
        <f>IF(AND(N32=1,F32="1 MANUAL"),VLOOKUP(C32,'AUX5-CUSTOS'!$B$3:$O$14,4,FALSE))</f>
        <v>0</v>
      </c>
      <c r="R32" s="522" t="b">
        <f>IF(AND(N32=1,F32="2 MANUAIS"),VLOOKUP(C32,'AUX5-CUSTOS'!$B$3:$O$14,5,FALSE))</f>
        <v>0</v>
      </c>
      <c r="S32" s="522" t="b">
        <f>IF(AND(N32=1,F32="1 COM ATUADOR ON/OFF"),VLOOKUP(C32,'AUX5-CUSTOS'!$B$3:$O$14,6,FALSE))</f>
        <v>0</v>
      </c>
      <c r="T32" s="522" t="b">
        <f>IF(AND(N32=1,F32="2 COM ATUADORES ON/OFF"),VLOOKUP(C32,'AUX5-CUSTOS'!$B$3:$O$14,7,FALSE))</f>
        <v>0</v>
      </c>
      <c r="U32" s="522" t="b">
        <f>IF(AND(N32=1,G32="Eletrônico"),VLOOKUP(C32,'AUX5-CUSTOS'!$B$3:$O$14,8,FALSE))</f>
        <v>0</v>
      </c>
      <c r="V32" s="522" t="b">
        <f>IF(AND(N32=1,H32="Proporcional"),VLOOKUP(C32,'AUX5-CUSTOS'!$B$3:$O$14,9,FALSE))</f>
        <v>0</v>
      </c>
      <c r="W32" s="522" t="b">
        <f>IF(AND(N32=1,I32="SIM"),VLOOKUP(C32,'AUX5-CUSTOS'!$B$3:$O$14,10,FALSE))</f>
        <v>0</v>
      </c>
      <c r="X32" s="521" t="b">
        <f>IF(AND(N32=1,J32="SIM"),VLOOKUP(C32,'AUX5-CUSTOS'!$B$3:$O$14,11,FALSE))</f>
        <v>0</v>
      </c>
      <c r="Y32" s="521" t="b">
        <f>IF(AND(N32=1,K32="SIM"),VLOOKUP(C32,'AUX5-CUSTOS'!$B$3:$O$14,12,FALSE))</f>
        <v>0</v>
      </c>
      <c r="Z32" s="521" t="b">
        <f>IF(AND(N32=1,L32="SIM"),VLOOKUP(C32,'AUX5-CUSTOS'!$B$3:$O$14,13,FALSE))</f>
        <v>0</v>
      </c>
      <c r="AB32" s="521">
        <f t="shared" si="2"/>
        <v>0</v>
      </c>
      <c r="AC32" s="49" t="b">
        <f>IF(N32=1,VLOOKUP(C32,'AUX5-CUSTOS'!$B$3:$U$14,15,FALSE))</f>
        <v>0</v>
      </c>
      <c r="AD32" s="49" t="b">
        <f>IF(N32=1,VLOOKUP(C32,'AUX5-CUSTOS'!$B$3:$U$14,16,FALSE))</f>
        <v>0</v>
      </c>
      <c r="AE32" s="49" t="b">
        <f>IF(N32=1,VLOOKUP(C32,'AUX5-CUSTOS'!$B$3:$U$14,17,FALSE))</f>
        <v>0</v>
      </c>
      <c r="AF32" s="49" t="b">
        <f>IF(N32=1,VLOOKUP(C32,'AUX5-CUSTOS'!$B$3:$U$14,18,FALSE))</f>
        <v>0</v>
      </c>
      <c r="AG32" t="b">
        <f>IF(N32=1,VLOOKUP(C32,'AUX5-CUSTOS'!$B$3:$V$14,19,FALSE))</f>
        <v>0</v>
      </c>
    </row>
    <row r="33" spans="1:33" x14ac:dyDescent="0.3">
      <c r="A33" s="515"/>
      <c r="B33" s="515"/>
      <c r="C33" s="515"/>
      <c r="D33" s="515"/>
      <c r="E33" s="515"/>
      <c r="F33" s="515"/>
      <c r="G33" s="515"/>
      <c r="H33" s="515"/>
      <c r="I33" s="515"/>
      <c r="J33" s="515"/>
      <c r="K33" s="515"/>
      <c r="L33" s="515"/>
      <c r="M33" t="str">
        <f t="shared" si="1"/>
        <v xml:space="preserve">; ; </v>
      </c>
      <c r="N33">
        <f t="shared" si="0"/>
        <v>0</v>
      </c>
      <c r="O33" s="522" t="b">
        <f>IF(N33=1,VLOOKUP(C33,'AUX5-CUSTOS'!$B$3:$O$14,2,),IF(N33=2,VLOOKUP(C33,'AUX5-CUSTOS'!$B$17:$O$34,2,),IF(N33=3,VLOOKUP(C33,'AUX5-CUSTOS'!$B$36:$O$53,2,))))</f>
        <v>0</v>
      </c>
      <c r="P33" s="522" t="b">
        <f>IF(AND(N33=1,E33="SIM"),VLOOKUP(C33,'AUX5-CUSTOS'!$B$3:$O$14,3,FALSE))</f>
        <v>0</v>
      </c>
      <c r="Q33" s="522" t="b">
        <f>IF(AND(N33=1,F33="1 MANUAL"),VLOOKUP(C33,'AUX5-CUSTOS'!$B$3:$O$14,4,FALSE))</f>
        <v>0</v>
      </c>
      <c r="R33" s="522" t="b">
        <f>IF(AND(N33=1,F33="2 MANUAIS"),VLOOKUP(C33,'AUX5-CUSTOS'!$B$3:$O$14,5,FALSE))</f>
        <v>0</v>
      </c>
      <c r="S33" s="522" t="b">
        <f>IF(AND(N33=1,F33="1 COM ATUADOR ON/OFF"),VLOOKUP(C33,'AUX5-CUSTOS'!$B$3:$O$14,6,FALSE))</f>
        <v>0</v>
      </c>
      <c r="T33" s="522" t="b">
        <f>IF(AND(N33=1,F33="2 COM ATUADORES ON/OFF"),VLOOKUP(C33,'AUX5-CUSTOS'!$B$3:$O$14,7,FALSE))</f>
        <v>0</v>
      </c>
      <c r="U33" s="522" t="b">
        <f>IF(AND(N33=1,G33="Eletrônico"),VLOOKUP(C33,'AUX5-CUSTOS'!$B$3:$O$14,8,FALSE))</f>
        <v>0</v>
      </c>
      <c r="V33" s="522" t="b">
        <f>IF(AND(N33=1,H33="Proporcional"),VLOOKUP(C33,'AUX5-CUSTOS'!$B$3:$O$14,9,FALSE))</f>
        <v>0</v>
      </c>
      <c r="W33" s="522" t="b">
        <f>IF(AND(N33=1,I33="SIM"),VLOOKUP(C33,'AUX5-CUSTOS'!$B$3:$O$14,10,FALSE))</f>
        <v>0</v>
      </c>
      <c r="X33" s="521" t="b">
        <f>IF(AND(N33=1,J33="SIM"),VLOOKUP(C33,'AUX5-CUSTOS'!$B$3:$O$14,11,FALSE))</f>
        <v>0</v>
      </c>
      <c r="Y33" s="521" t="b">
        <f>IF(AND(N33=1,K33="SIM"),VLOOKUP(C33,'AUX5-CUSTOS'!$B$3:$O$14,12,FALSE))</f>
        <v>0</v>
      </c>
      <c r="Z33" s="521" t="b">
        <f>IF(AND(N33=1,L33="SIM"),VLOOKUP(C33,'AUX5-CUSTOS'!$B$3:$O$14,13,FALSE))</f>
        <v>0</v>
      </c>
      <c r="AB33" s="521">
        <f t="shared" si="2"/>
        <v>0</v>
      </c>
      <c r="AC33" s="49" t="b">
        <f>IF(N33=1,VLOOKUP(C33,'AUX5-CUSTOS'!$B$3:$U$14,15,FALSE))</f>
        <v>0</v>
      </c>
      <c r="AD33" s="49" t="b">
        <f>IF(N33=1,VLOOKUP(C33,'AUX5-CUSTOS'!$B$3:$U$14,16,FALSE))</f>
        <v>0</v>
      </c>
      <c r="AE33" s="49" t="b">
        <f>IF(N33=1,VLOOKUP(C33,'AUX5-CUSTOS'!$B$3:$U$14,17,FALSE))</f>
        <v>0</v>
      </c>
      <c r="AF33" s="49" t="b">
        <f>IF(N33=1,VLOOKUP(C33,'AUX5-CUSTOS'!$B$3:$U$14,18,FALSE))</f>
        <v>0</v>
      </c>
      <c r="AG33" t="b">
        <f>IF(N33=1,VLOOKUP(C33,'AUX5-CUSTOS'!$B$3:$V$14,19,FALSE))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2" t="b">
        <f>IF(N34=1,VLOOKUP(C34,'AUX5-CUSTOS'!$B$3:$O$14,2,),IF(N34=2,VLOOKUP(C34,'AUX5-CUSTOS'!$B$17:$O$34,2,),IF(N34=3,VLOOKUP(C34,'AUX5-CUSTOS'!$B$36:$O$53,2,))))</f>
        <v>0</v>
      </c>
      <c r="P34" s="522" t="b">
        <f>IF(AND(N34=1,E34="SIM"),VLOOKUP(C34,'AUX5-CUSTOS'!$B$3:$O$14,3,FALSE))</f>
        <v>0</v>
      </c>
      <c r="Q34" s="522" t="b">
        <f>IF(AND(N34=1,F34="1 MANUAL"),VLOOKUP(C34,'AUX5-CUSTOS'!$B$3:$O$14,4,FALSE))</f>
        <v>0</v>
      </c>
      <c r="R34" s="522" t="b">
        <f>IF(AND(N34=1,F34="2 MANUAIS"),VLOOKUP(C34,'AUX5-CUSTOS'!$B$3:$O$14,5,FALSE))</f>
        <v>0</v>
      </c>
      <c r="S34" s="522" t="b">
        <f>IF(AND(N34=1,F34="1 COM ATUADOR ON/OFF"),VLOOKUP(C34,'AUX5-CUSTOS'!$B$3:$O$14,6,FALSE))</f>
        <v>0</v>
      </c>
      <c r="T34" s="522" t="b">
        <f>IF(AND(N34=1,F34="2 COM ATUADORES ON/OFF"),VLOOKUP(C34,'AUX5-CUSTOS'!$B$3:$O$14,7,FALSE))</f>
        <v>0</v>
      </c>
      <c r="U34" s="522" t="b">
        <f>IF(AND(N34=1,G34="Eletrônico"),VLOOKUP(C34,'AUX5-CUSTOS'!$B$3:$O$14,8,FALSE))</f>
        <v>0</v>
      </c>
      <c r="V34" s="522" t="b">
        <f>IF(AND(N34=1,H34="Proporcional"),VLOOKUP(C34,'AUX5-CUSTOS'!$B$3:$O$14,9,FALSE))</f>
        <v>0</v>
      </c>
      <c r="W34" s="522" t="b">
        <f>IF(AND(N34=1,I34="SIM"),VLOOKUP(C34,'AUX5-CUSTOS'!$B$3:$O$14,10,FALSE))</f>
        <v>0</v>
      </c>
      <c r="X34" s="521" t="b">
        <f>IF(AND(N34=1,J34="SIM"),VLOOKUP(C34,'AUX5-CUSTOS'!$B$3:$O$14,11,FALSE))</f>
        <v>0</v>
      </c>
      <c r="Y34" s="521" t="b">
        <f>IF(AND(N34=1,K34="SIM"),VLOOKUP(C34,'AUX5-CUSTOS'!$B$3:$O$14,12,FALSE))</f>
        <v>0</v>
      </c>
      <c r="Z34" s="521" t="b">
        <f>IF(AND(N34=1,L34="SIM"),VLOOKUP(C34,'AUX5-CUSTOS'!$B$3:$O$14,13,FALSE))</f>
        <v>0</v>
      </c>
      <c r="AB34" s="521">
        <f t="shared" si="2"/>
        <v>0</v>
      </c>
      <c r="AC34" s="49" t="b">
        <f>IF(N34=1,VLOOKUP(C34,'AUX5-CUSTOS'!$B$3:$U$14,15,FALSE))</f>
        <v>0</v>
      </c>
      <c r="AD34" s="49" t="b">
        <f>IF(N34=1,VLOOKUP(C34,'AUX5-CUSTOS'!$B$3:$U$14,16,FALSE))</f>
        <v>0</v>
      </c>
      <c r="AE34" s="49" t="b">
        <f>IF(N34=1,VLOOKUP(C34,'AUX5-CUSTOS'!$B$3:$U$14,17,FALSE))</f>
        <v>0</v>
      </c>
      <c r="AF34" s="49" t="b">
        <f>IF(N34=1,VLOOKUP(C34,'AUX5-CUSTOS'!$B$3:$U$14,18,FALSE))</f>
        <v>0</v>
      </c>
      <c r="AG34" t="b">
        <f>IF(N34=1,VLOOKUP(C34,'AUX5-CUSTOS'!$B$3:$V$14,19,FALSE))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2" t="b">
        <f>IF(N35=1,VLOOKUP(C35,'AUX5-CUSTOS'!$B$3:$O$14,2,),IF(N35=2,VLOOKUP(C35,'AUX5-CUSTOS'!$B$17:$O$34,2,),IF(N35=3,VLOOKUP(C35,'AUX5-CUSTOS'!$B$36:$O$53,2,))))</f>
        <v>0</v>
      </c>
      <c r="P35" s="522" t="b">
        <f>IF(AND(N35=1,E35="SIM"),VLOOKUP(C35,'AUX5-CUSTOS'!$B$3:$O$14,3,FALSE))</f>
        <v>0</v>
      </c>
      <c r="Q35" s="522" t="b">
        <f>IF(AND(N35=1,F35="1 MANUAL"),VLOOKUP(C35,'AUX5-CUSTOS'!$B$3:$O$14,4,FALSE))</f>
        <v>0</v>
      </c>
      <c r="R35" s="522" t="b">
        <f>IF(AND(N35=1,F35="2 MANUAIS"),VLOOKUP(C35,'AUX5-CUSTOS'!$B$3:$O$14,5,FALSE))</f>
        <v>0</v>
      </c>
      <c r="S35" s="522" t="b">
        <f>IF(AND(N35=1,F35="1 COM ATUADOR ON/OFF"),VLOOKUP(C35,'AUX5-CUSTOS'!$B$3:$O$14,6,FALSE))</f>
        <v>0</v>
      </c>
      <c r="T35" s="522" t="b">
        <f>IF(AND(N35=1,F35="2 COM ATUADORES ON/OFF"),VLOOKUP(C35,'AUX5-CUSTOS'!$B$3:$O$14,7,FALSE))</f>
        <v>0</v>
      </c>
      <c r="U35" s="522" t="b">
        <f>IF(AND(N35=1,G35="Eletrônico"),VLOOKUP(C35,'AUX5-CUSTOS'!$B$3:$O$14,8,FALSE))</f>
        <v>0</v>
      </c>
      <c r="V35" s="522" t="b">
        <f>IF(AND(N35=1,H35="Proporcional"),VLOOKUP(C35,'AUX5-CUSTOS'!$B$3:$O$14,9,FALSE))</f>
        <v>0</v>
      </c>
      <c r="W35" s="522" t="b">
        <f>IF(AND(N35=1,I35="SIM"),VLOOKUP(C35,'AUX5-CUSTOS'!$B$3:$O$14,10,FALSE))</f>
        <v>0</v>
      </c>
      <c r="X35" s="521" t="b">
        <f>IF(AND(N35=1,J35="SIM"),VLOOKUP(C35,'AUX5-CUSTOS'!$B$3:$O$14,11,FALSE))</f>
        <v>0</v>
      </c>
      <c r="Y35" s="521" t="b">
        <f>IF(AND(N35=1,K35="SIM"),VLOOKUP(C35,'AUX5-CUSTOS'!$B$3:$O$14,12,FALSE))</f>
        <v>0</v>
      </c>
      <c r="Z35" s="521" t="b">
        <f>IF(AND(N35=1,L35="SIM"),VLOOKUP(C35,'AUX5-CUSTOS'!$B$3:$O$14,13,FALSE))</f>
        <v>0</v>
      </c>
      <c r="AB35" s="521">
        <f t="shared" si="2"/>
        <v>0</v>
      </c>
      <c r="AC35" s="49" t="b">
        <f>IF(N35=1,VLOOKUP(C35,'AUX5-CUSTOS'!$B$3:$U$14,15,FALSE))</f>
        <v>0</v>
      </c>
      <c r="AD35" s="49" t="b">
        <f>IF(N35=1,VLOOKUP(C35,'AUX5-CUSTOS'!$B$3:$U$14,16,FALSE))</f>
        <v>0</v>
      </c>
      <c r="AE35" s="49" t="b">
        <f>IF(N35=1,VLOOKUP(C35,'AUX5-CUSTOS'!$B$3:$U$14,17,FALSE))</f>
        <v>0</v>
      </c>
      <c r="AF35" s="49" t="b">
        <f>IF(N35=1,VLOOKUP(C35,'AUX5-CUSTOS'!$B$3:$U$14,18,FALSE))</f>
        <v>0</v>
      </c>
      <c r="AG35" t="b">
        <f>IF(N35=1,VLOOKUP(C35,'AUX5-CUSTOS'!$B$3:$V$14,19,FALSE))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2" t="b">
        <f>IF(N36=1,VLOOKUP(C36,'AUX5-CUSTOS'!$B$3:$O$14,2,),IF(N36=2,VLOOKUP(C36,'AUX5-CUSTOS'!$B$17:$O$34,2,),IF(N36=3,VLOOKUP(C36,'AUX5-CUSTOS'!$B$36:$O$53,2,))))</f>
        <v>0</v>
      </c>
      <c r="P36" s="522" t="b">
        <f>IF(AND(N36=1,E36="SIM"),VLOOKUP(C36,'AUX5-CUSTOS'!$B$3:$O$14,3,FALSE))</f>
        <v>0</v>
      </c>
      <c r="Q36" s="522" t="b">
        <f>IF(AND(N36=1,F36="1 MANUAL"),VLOOKUP(C36,'AUX5-CUSTOS'!$B$3:$O$14,4,FALSE))</f>
        <v>0</v>
      </c>
      <c r="R36" s="522" t="b">
        <f>IF(AND(N36=1,F36="2 MANUAIS"),VLOOKUP(C36,'AUX5-CUSTOS'!$B$3:$O$14,5,FALSE))</f>
        <v>0</v>
      </c>
      <c r="S36" s="522" t="b">
        <f>IF(AND(N36=1,F36="1 COM ATUADOR ON/OFF"),VLOOKUP(C36,'AUX5-CUSTOS'!$B$3:$O$14,6,FALSE))</f>
        <v>0</v>
      </c>
      <c r="T36" s="522" t="b">
        <f>IF(AND(N36=1,F36="2 COM ATUADORES ON/OFF"),VLOOKUP(C36,'AUX5-CUSTOS'!$B$3:$O$14,7,FALSE))</f>
        <v>0</v>
      </c>
      <c r="U36" s="522" t="b">
        <f>IF(AND(N36=1,G36="Eletrônico"),VLOOKUP(C36,'AUX5-CUSTOS'!$B$3:$O$14,8,FALSE))</f>
        <v>0</v>
      </c>
      <c r="V36" s="522" t="b">
        <f>IF(AND(N36=1,H36="Proporcional"),VLOOKUP(C36,'AUX5-CUSTOS'!$B$3:$O$14,9,FALSE))</f>
        <v>0</v>
      </c>
      <c r="W36" s="522" t="b">
        <f>IF(AND(N36=1,I36="SIM"),VLOOKUP(C36,'AUX5-CUSTOS'!$B$3:$O$14,10,FALSE))</f>
        <v>0</v>
      </c>
      <c r="X36" s="521" t="b">
        <f>IF(AND(N36=1,J36="SIM"),VLOOKUP(C36,'AUX5-CUSTOS'!$B$3:$O$14,11,FALSE))</f>
        <v>0</v>
      </c>
      <c r="Y36" s="521" t="b">
        <f>IF(AND(N36=1,K36="SIM"),VLOOKUP(C36,'AUX5-CUSTOS'!$B$3:$O$14,12,FALSE))</f>
        <v>0</v>
      </c>
      <c r="Z36" s="521" t="b">
        <f>IF(AND(N36=1,L36="SIM"),VLOOKUP(C36,'AUX5-CUSTOS'!$B$3:$O$14,13,FALSE))</f>
        <v>0</v>
      </c>
      <c r="AB36" s="521">
        <f t="shared" si="2"/>
        <v>0</v>
      </c>
      <c r="AC36" s="49" t="b">
        <f>IF(N36=1,VLOOKUP(C36,'AUX5-CUSTOS'!$B$3:$U$14,15,FALSE))</f>
        <v>0</v>
      </c>
      <c r="AD36" s="49" t="b">
        <f>IF(N36=1,VLOOKUP(C36,'AUX5-CUSTOS'!$B$3:$U$14,16,FALSE))</f>
        <v>0</v>
      </c>
      <c r="AE36" s="49" t="b">
        <f>IF(N36=1,VLOOKUP(C36,'AUX5-CUSTOS'!$B$3:$U$14,17,FALSE))</f>
        <v>0</v>
      </c>
      <c r="AF36" s="49" t="b">
        <f>IF(N36=1,VLOOKUP(C36,'AUX5-CUSTOS'!$B$3:$U$14,18,FALSE))</f>
        <v>0</v>
      </c>
      <c r="AG36" t="b">
        <f>IF(N36=1,VLOOKUP(C36,'AUX5-CUSTOS'!$B$3:$V$14,19,FALSE))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2" t="b">
        <f>IF(N37=1,VLOOKUP(C37,'AUX5-CUSTOS'!$B$3:$O$14,2,),IF(N37=2,VLOOKUP(C37,'AUX5-CUSTOS'!$B$17:$O$34,2,),IF(N37=3,VLOOKUP(C37,'AUX5-CUSTOS'!$B$36:$O$53,2,))))</f>
        <v>0</v>
      </c>
      <c r="P37" s="522" t="b">
        <f>IF(AND(N37=1,E37="SIM"),VLOOKUP(C37,'AUX5-CUSTOS'!$B$3:$O$14,3,FALSE))</f>
        <v>0</v>
      </c>
      <c r="Q37" s="522" t="b">
        <f>IF(AND(N37=1,F37="1 MANUAL"),VLOOKUP(C37,'AUX5-CUSTOS'!$B$3:$O$14,4,FALSE))</f>
        <v>0</v>
      </c>
      <c r="R37" s="522" t="b">
        <f>IF(AND(N37=1,F37="2 MANUAIS"),VLOOKUP(C37,'AUX5-CUSTOS'!$B$3:$O$14,5,FALSE))</f>
        <v>0</v>
      </c>
      <c r="S37" s="522" t="b">
        <f>IF(AND(N37=1,F37="1 COM ATUADOR ON/OFF"),VLOOKUP(C37,'AUX5-CUSTOS'!$B$3:$O$14,6,FALSE))</f>
        <v>0</v>
      </c>
      <c r="T37" s="522" t="b">
        <f>IF(AND(N37=1,F37="2 COM ATUADORES ON/OFF"),VLOOKUP(C37,'AUX5-CUSTOS'!$B$3:$O$14,7,FALSE))</f>
        <v>0</v>
      </c>
      <c r="U37" s="522" t="b">
        <f>IF(AND(N37=1,G37="Eletrônico"),VLOOKUP(C37,'AUX5-CUSTOS'!$B$3:$O$14,8,FALSE))</f>
        <v>0</v>
      </c>
      <c r="V37" s="522" t="b">
        <f>IF(AND(N37=1,H37="Proporcional"),VLOOKUP(C37,'AUX5-CUSTOS'!$B$3:$O$14,9,FALSE))</f>
        <v>0</v>
      </c>
      <c r="W37" s="522" t="b">
        <f>IF(AND(N37=1,I37="SIM"),VLOOKUP(C37,'AUX5-CUSTOS'!$B$3:$O$14,10,FALSE))</f>
        <v>0</v>
      </c>
      <c r="X37" s="521" t="b">
        <f>IF(AND(N37=1,J37="SIM"),VLOOKUP(C37,'AUX5-CUSTOS'!$B$3:$O$14,11,FALSE))</f>
        <v>0</v>
      </c>
      <c r="Y37" s="521" t="b">
        <f>IF(AND(N37=1,K37="SIM"),VLOOKUP(C37,'AUX5-CUSTOS'!$B$3:$O$14,12,FALSE))</f>
        <v>0</v>
      </c>
      <c r="Z37" s="521" t="b">
        <f>IF(AND(N37=1,L37="SIM"),VLOOKUP(C37,'AUX5-CUSTOS'!$B$3:$O$14,13,FALSE))</f>
        <v>0</v>
      </c>
      <c r="AB37" s="521">
        <f t="shared" si="2"/>
        <v>0</v>
      </c>
      <c r="AC37" s="49" t="b">
        <f>IF(N37=1,VLOOKUP(C37,'AUX5-CUSTOS'!$B$3:$U$14,15,FALSE))</f>
        <v>0</v>
      </c>
      <c r="AD37" s="49" t="b">
        <f>IF(N37=1,VLOOKUP(C37,'AUX5-CUSTOS'!$B$3:$U$14,16,FALSE))</f>
        <v>0</v>
      </c>
      <c r="AE37" s="49" t="b">
        <f>IF(N37=1,VLOOKUP(C37,'AUX5-CUSTOS'!$B$3:$U$14,17,FALSE))</f>
        <v>0</v>
      </c>
      <c r="AF37" s="49" t="b">
        <f>IF(N37=1,VLOOKUP(C37,'AUX5-CUSTOS'!$B$3:$U$14,18,FALSE))</f>
        <v>0</v>
      </c>
      <c r="AG37" t="b">
        <f>IF(N37=1,VLOOKUP(C37,'AUX5-CUSTOS'!$B$3:$V$14,19,FALSE))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2" t="b">
        <f>IF(N38=1,VLOOKUP(C38,'AUX5-CUSTOS'!$B$3:$O$14,2,),IF(N38=2,VLOOKUP(C38,'AUX5-CUSTOS'!$B$17:$O$34,2,),IF(N38=3,VLOOKUP(C38,'AUX5-CUSTOS'!$B$36:$O$53,2,))))</f>
        <v>0</v>
      </c>
      <c r="P38" s="522" t="b">
        <f>IF(AND(N38=1,E38="SIM"),VLOOKUP(C38,'AUX5-CUSTOS'!$B$3:$O$14,3,FALSE))</f>
        <v>0</v>
      </c>
      <c r="Q38" s="522" t="b">
        <f>IF(AND(N38=1,F38="1 MANUAL"),VLOOKUP(C38,'AUX5-CUSTOS'!$B$3:$O$14,4,FALSE))</f>
        <v>0</v>
      </c>
      <c r="R38" s="522" t="b">
        <f>IF(AND(N38=1,F38="2 MANUAIS"),VLOOKUP(C38,'AUX5-CUSTOS'!$B$3:$O$14,5,FALSE))</f>
        <v>0</v>
      </c>
      <c r="S38" s="522" t="b">
        <f>IF(AND(N38=1,F38="1 COM ATUADOR ON/OFF"),VLOOKUP(C38,'AUX5-CUSTOS'!$B$3:$O$14,6,FALSE))</f>
        <v>0</v>
      </c>
      <c r="T38" s="522" t="b">
        <f>IF(AND(N38=1,F38="2 COM ATUADORES ON/OFF"),VLOOKUP(C38,'AUX5-CUSTOS'!$B$3:$O$14,7,FALSE))</f>
        <v>0</v>
      </c>
      <c r="U38" s="522" t="b">
        <f>IF(AND(N38=1,G38="Eletrônico"),VLOOKUP(C38,'AUX5-CUSTOS'!$B$3:$O$14,8,FALSE))</f>
        <v>0</v>
      </c>
      <c r="V38" s="522" t="b">
        <f>IF(AND(N38=1,H38="Proporcional"),VLOOKUP(C38,'AUX5-CUSTOS'!$B$3:$O$14,9,FALSE))</f>
        <v>0</v>
      </c>
      <c r="W38" s="522" t="b">
        <f>IF(AND(N38=1,I38="SIM"),VLOOKUP(C38,'AUX5-CUSTOS'!$B$3:$O$14,10,FALSE))</f>
        <v>0</v>
      </c>
      <c r="X38" s="521" t="b">
        <f>IF(AND(N38=1,J38="SIM"),VLOOKUP(C38,'AUX5-CUSTOS'!$B$3:$O$14,11,FALSE))</f>
        <v>0</v>
      </c>
      <c r="Y38" s="521" t="b">
        <f>IF(AND(N38=1,K38="SIM"),VLOOKUP(C38,'AUX5-CUSTOS'!$B$3:$O$14,12,FALSE))</f>
        <v>0</v>
      </c>
      <c r="Z38" s="521" t="b">
        <f>IF(AND(N38=1,L38="SIM"),VLOOKUP(C38,'AUX5-CUSTOS'!$B$3:$O$14,13,FALSE))</f>
        <v>0</v>
      </c>
      <c r="AB38" s="521">
        <f t="shared" si="2"/>
        <v>0</v>
      </c>
      <c r="AC38" s="49" t="b">
        <f>IF(N38=1,VLOOKUP(C38,'AUX5-CUSTOS'!$B$3:$U$14,15,FALSE))</f>
        <v>0</v>
      </c>
      <c r="AD38" s="49" t="b">
        <f>IF(N38=1,VLOOKUP(C38,'AUX5-CUSTOS'!$B$3:$U$14,16,FALSE))</f>
        <v>0</v>
      </c>
      <c r="AE38" s="49" t="b">
        <f>IF(N38=1,VLOOKUP(C38,'AUX5-CUSTOS'!$B$3:$U$14,17,FALSE))</f>
        <v>0</v>
      </c>
      <c r="AF38" s="49" t="b">
        <f>IF(N38=1,VLOOKUP(C38,'AUX5-CUSTOS'!$B$3:$U$14,18,FALSE))</f>
        <v>0</v>
      </c>
      <c r="AG38" t="b">
        <f>IF(N38=1,VLOOKUP(C38,'AUX5-CUSTOS'!$B$3:$V$14,19,FALSE))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2" t="b">
        <f>IF(N39=1,VLOOKUP(C39,'AUX5-CUSTOS'!$B$3:$O$14,2,),IF(N39=2,VLOOKUP(C39,'AUX5-CUSTOS'!$B$17:$O$34,2,),IF(N39=3,VLOOKUP(C39,'AUX5-CUSTOS'!$B$36:$O$53,2,))))</f>
        <v>0</v>
      </c>
      <c r="P39" s="522" t="b">
        <f>IF(AND(N39=1,E39="SIM"),VLOOKUP(C39,'AUX5-CUSTOS'!$B$3:$O$14,3,FALSE))</f>
        <v>0</v>
      </c>
      <c r="Q39" s="522" t="b">
        <f>IF(AND(N39=1,F39="1 MANUAL"),VLOOKUP(C39,'AUX5-CUSTOS'!$B$3:$O$14,4,FALSE))</f>
        <v>0</v>
      </c>
      <c r="R39" s="522" t="b">
        <f>IF(AND(N39=1,F39="2 MANUAIS"),VLOOKUP(C39,'AUX5-CUSTOS'!$B$3:$O$14,5,FALSE))</f>
        <v>0</v>
      </c>
      <c r="S39" s="522" t="b">
        <f>IF(AND(N39=1,F39="1 COM ATUADOR ON/OFF"),VLOOKUP(C39,'AUX5-CUSTOS'!$B$3:$O$14,6,FALSE))</f>
        <v>0</v>
      </c>
      <c r="T39" s="522" t="b">
        <f>IF(AND(N39=1,F39="2 COM ATUADORES ON/OFF"),VLOOKUP(C39,'AUX5-CUSTOS'!$B$3:$O$14,7,FALSE))</f>
        <v>0</v>
      </c>
      <c r="U39" s="522" t="b">
        <f>IF(AND(N39=1,G39="Eletrônico"),VLOOKUP(C39,'AUX5-CUSTOS'!$B$3:$O$14,8,FALSE))</f>
        <v>0</v>
      </c>
      <c r="V39" s="522" t="b">
        <f>IF(AND(N39=1,H39="Proporcional"),VLOOKUP(C39,'AUX5-CUSTOS'!$B$3:$O$14,9,FALSE))</f>
        <v>0</v>
      </c>
      <c r="W39" s="522" t="b">
        <f>IF(AND(N39=1,I39="SIM"),VLOOKUP(C39,'AUX5-CUSTOS'!$B$3:$O$14,10,FALSE))</f>
        <v>0</v>
      </c>
      <c r="X39" s="521" t="b">
        <f>IF(AND(N39=1,J39="SIM"),VLOOKUP(C39,'AUX5-CUSTOS'!$B$3:$O$14,11,FALSE))</f>
        <v>0</v>
      </c>
      <c r="Y39" s="521" t="b">
        <f>IF(AND(N39=1,K39="SIM"),VLOOKUP(C39,'AUX5-CUSTOS'!$B$3:$O$14,12,FALSE))</f>
        <v>0</v>
      </c>
      <c r="Z39" s="521" t="b">
        <f>IF(AND(N39=1,L39="SIM"),VLOOKUP(C39,'AUX5-CUSTOS'!$B$3:$O$14,13,FALSE))</f>
        <v>0</v>
      </c>
      <c r="AB39" s="521">
        <f t="shared" si="2"/>
        <v>0</v>
      </c>
      <c r="AC39" s="49" t="b">
        <f>IF(N39=1,VLOOKUP(C39,'AUX5-CUSTOS'!$B$3:$U$14,15,FALSE))</f>
        <v>0</v>
      </c>
      <c r="AD39" s="49" t="b">
        <f>IF(N39=1,VLOOKUP(C39,'AUX5-CUSTOS'!$B$3:$U$14,16,FALSE))</f>
        <v>0</v>
      </c>
      <c r="AE39" s="49" t="b">
        <f>IF(N39=1,VLOOKUP(C39,'AUX5-CUSTOS'!$B$3:$U$14,17,FALSE))</f>
        <v>0</v>
      </c>
      <c r="AF39" s="49" t="b">
        <f>IF(N39=1,VLOOKUP(C39,'AUX5-CUSTOS'!$B$3:$U$14,18,FALSE))</f>
        <v>0</v>
      </c>
      <c r="AG39" t="b">
        <f>IF(N39=1,VLOOKUP(C39,'AUX5-CUSTOS'!$B$3:$V$14,19,FALSE))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2" t="b">
        <f>IF(N40=1,VLOOKUP(C40,'AUX5-CUSTOS'!$B$3:$O$14,2,),IF(N40=2,VLOOKUP(C40,'AUX5-CUSTOS'!$B$17:$O$34,2,),IF(N40=3,VLOOKUP(C40,'AUX5-CUSTOS'!$B$36:$O$53,2,))))</f>
        <v>0</v>
      </c>
      <c r="P40" s="522" t="b">
        <f>IF(AND(N40=1,E40="SIM"),VLOOKUP(C40,'AUX5-CUSTOS'!$B$3:$O$14,3,FALSE))</f>
        <v>0</v>
      </c>
      <c r="Q40" s="522" t="b">
        <f>IF(AND(N40=1,F40="1 MANUAL"),VLOOKUP(C40,'AUX5-CUSTOS'!$B$3:$O$14,4,FALSE))</f>
        <v>0</v>
      </c>
      <c r="R40" s="522" t="b">
        <f>IF(AND(N40=1,F40="2 MANUAIS"),VLOOKUP(C40,'AUX5-CUSTOS'!$B$3:$O$14,5,FALSE))</f>
        <v>0</v>
      </c>
      <c r="S40" s="522" t="b">
        <f>IF(AND(N40=1,F40="1 COM ATUADOR ON/OFF"),VLOOKUP(C40,'AUX5-CUSTOS'!$B$3:$O$14,6,FALSE))</f>
        <v>0</v>
      </c>
      <c r="T40" s="522" t="b">
        <f>IF(AND(N40=1,F40="2 COM ATUADORES ON/OFF"),VLOOKUP(C40,'AUX5-CUSTOS'!$B$3:$O$14,7,FALSE))</f>
        <v>0</v>
      </c>
      <c r="U40" s="522" t="b">
        <f>IF(AND(N40=1,G40="Eletrônico"),VLOOKUP(C40,'AUX5-CUSTOS'!$B$3:$O$14,8,FALSE))</f>
        <v>0</v>
      </c>
      <c r="V40" s="522" t="b">
        <f>IF(AND(N40=1,H40="Proporcional"),VLOOKUP(C40,'AUX5-CUSTOS'!$B$3:$O$14,9,FALSE))</f>
        <v>0</v>
      </c>
      <c r="W40" s="522" t="b">
        <f>IF(AND(N40=1,I40="SIM"),VLOOKUP(C40,'AUX5-CUSTOS'!$B$3:$O$14,10,FALSE))</f>
        <v>0</v>
      </c>
      <c r="X40" s="521" t="b">
        <f>IF(AND(N40=1,J40="SIM"),VLOOKUP(C40,'AUX5-CUSTOS'!$B$3:$O$14,11,FALSE))</f>
        <v>0</v>
      </c>
      <c r="Y40" s="521" t="b">
        <f>IF(AND(N40=1,K40="SIM"),VLOOKUP(C40,'AUX5-CUSTOS'!$B$3:$O$14,12,FALSE))</f>
        <v>0</v>
      </c>
      <c r="Z40" s="521" t="b">
        <f>IF(AND(N40=1,L40="SIM"),VLOOKUP(C40,'AUX5-CUSTOS'!$B$3:$O$14,13,FALSE))</f>
        <v>0</v>
      </c>
      <c r="AB40" s="521">
        <f t="shared" si="2"/>
        <v>0</v>
      </c>
      <c r="AC40" s="49" t="b">
        <f>IF(N40=1,VLOOKUP(C40,'AUX5-CUSTOS'!$B$3:$U$14,15,FALSE))</f>
        <v>0</v>
      </c>
      <c r="AD40" s="49" t="b">
        <f>IF(N40=1,VLOOKUP(C40,'AUX5-CUSTOS'!$B$3:$U$14,16,FALSE))</f>
        <v>0</v>
      </c>
      <c r="AE40" s="49" t="b">
        <f>IF(N40=1,VLOOKUP(C40,'AUX5-CUSTOS'!$B$3:$U$14,17,FALSE))</f>
        <v>0</v>
      </c>
      <c r="AF40" s="49" t="b">
        <f>IF(N40=1,VLOOKUP(C40,'AUX5-CUSTOS'!$B$3:$U$14,18,FALSE))</f>
        <v>0</v>
      </c>
      <c r="AG40" t="b">
        <f>IF(N40=1,VLOOKUP(C40,'AUX5-CUSTOS'!$B$3:$V$14,19,FALSE))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2" t="b">
        <f>IF(N41=1,VLOOKUP(C41,'AUX5-CUSTOS'!$B$3:$O$14,2,),IF(N41=2,VLOOKUP(C41,'AUX5-CUSTOS'!$B$17:$O$34,2,),IF(N41=3,VLOOKUP(C41,'AUX5-CUSTOS'!$B$36:$O$53,2,))))</f>
        <v>0</v>
      </c>
      <c r="P41" s="522" t="b">
        <f>IF(AND(N41=1,E41="SIM"),VLOOKUP(C41,'AUX5-CUSTOS'!$B$3:$O$14,3,FALSE))</f>
        <v>0</v>
      </c>
      <c r="Q41" s="522" t="b">
        <f>IF(AND(N41=1,F41="1 MANUAL"),VLOOKUP(C41,'AUX5-CUSTOS'!$B$3:$O$14,4,FALSE))</f>
        <v>0</v>
      </c>
      <c r="R41" s="522" t="b">
        <f>IF(AND(N41=1,F41="2 MANUAIS"),VLOOKUP(C41,'AUX5-CUSTOS'!$B$3:$O$14,5,FALSE))</f>
        <v>0</v>
      </c>
      <c r="S41" s="522" t="b">
        <f>IF(AND(N41=1,F41="1 COM ATUADOR ON/OFF"),VLOOKUP(C41,'AUX5-CUSTOS'!$B$3:$O$14,6,FALSE))</f>
        <v>0</v>
      </c>
      <c r="T41" s="522" t="b">
        <f>IF(AND(N41=1,F41="2 COM ATUADORES ON/OFF"),VLOOKUP(C41,'AUX5-CUSTOS'!$B$3:$O$14,7,FALSE))</f>
        <v>0</v>
      </c>
      <c r="U41" s="522" t="b">
        <f>IF(AND(N41=1,G41="Eletrônico"),VLOOKUP(C41,'AUX5-CUSTOS'!$B$3:$O$14,8,FALSE))</f>
        <v>0</v>
      </c>
      <c r="V41" s="522" t="b">
        <f>IF(AND(N41=1,H41="Proporcional"),VLOOKUP(C41,'AUX5-CUSTOS'!$B$3:$O$14,9,FALSE))</f>
        <v>0</v>
      </c>
      <c r="W41" s="522" t="b">
        <f>IF(AND(N41=1,I41="SIM"),VLOOKUP(C41,'AUX5-CUSTOS'!$B$3:$O$14,10,FALSE))</f>
        <v>0</v>
      </c>
      <c r="X41" s="521" t="b">
        <f>IF(AND(N41=1,J41="SIM"),VLOOKUP(C41,'AUX5-CUSTOS'!$B$3:$O$14,11,FALSE))</f>
        <v>0</v>
      </c>
      <c r="Y41" s="521" t="b">
        <f>IF(AND(N41=1,K41="SIM"),VLOOKUP(C41,'AUX5-CUSTOS'!$B$3:$O$14,12,FALSE))</f>
        <v>0</v>
      </c>
      <c r="Z41" s="521" t="b">
        <f>IF(AND(N41=1,L41="SIM"),VLOOKUP(C41,'AUX5-CUSTOS'!$B$3:$O$14,13,FALSE))</f>
        <v>0</v>
      </c>
      <c r="AB41" s="521">
        <f t="shared" si="2"/>
        <v>0</v>
      </c>
      <c r="AC41" s="49" t="b">
        <f>IF(N41=1,VLOOKUP(C41,'AUX5-CUSTOS'!$B$3:$U$14,15,FALSE))</f>
        <v>0</v>
      </c>
      <c r="AD41" s="49" t="b">
        <f>IF(N41=1,VLOOKUP(C41,'AUX5-CUSTOS'!$B$3:$U$14,16,FALSE))</f>
        <v>0</v>
      </c>
      <c r="AE41" s="49" t="b">
        <f>IF(N41=1,VLOOKUP(C41,'AUX5-CUSTOS'!$B$3:$U$14,17,FALSE))</f>
        <v>0</v>
      </c>
      <c r="AF41" s="49" t="b">
        <f>IF(N41=1,VLOOKUP(C41,'AUX5-CUSTOS'!$B$3:$U$14,18,FALSE))</f>
        <v>0</v>
      </c>
      <c r="AG41" t="b">
        <f>IF(N41=1,VLOOKUP(C41,'AUX5-CUSTOS'!$B$3:$V$14,19,FALSE))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2" t="b">
        <f>IF(N42=1,VLOOKUP(C42,'AUX5-CUSTOS'!$B$3:$O$14,2,),IF(N42=2,VLOOKUP(C42,'AUX5-CUSTOS'!$B$17:$O$34,2,),IF(N42=3,VLOOKUP(C42,'AUX5-CUSTOS'!$B$36:$O$53,2,))))</f>
        <v>0</v>
      </c>
      <c r="P42" s="522" t="b">
        <f>IF(AND(N42=1,E42="SIM"),VLOOKUP(C42,'AUX5-CUSTOS'!$B$3:$O$14,3,FALSE))</f>
        <v>0</v>
      </c>
      <c r="Q42" s="522" t="b">
        <f>IF(AND(N42=1,F42="1 MANUAL"),VLOOKUP(C42,'AUX5-CUSTOS'!$B$3:$O$14,4,FALSE))</f>
        <v>0</v>
      </c>
      <c r="R42" s="522" t="b">
        <f>IF(AND(N42=1,F42="2 MANUAIS"),VLOOKUP(C42,'AUX5-CUSTOS'!$B$3:$O$14,5,FALSE))</f>
        <v>0</v>
      </c>
      <c r="S42" s="522" t="b">
        <f>IF(AND(N42=1,F42="1 COM ATUADOR ON/OFF"),VLOOKUP(C42,'AUX5-CUSTOS'!$B$3:$O$14,6,FALSE))</f>
        <v>0</v>
      </c>
      <c r="T42" s="522" t="b">
        <f>IF(AND(N42=1,F42="2 COM ATUADORES ON/OFF"),VLOOKUP(C42,'AUX5-CUSTOS'!$B$3:$O$14,7,FALSE))</f>
        <v>0</v>
      </c>
      <c r="U42" s="522" t="b">
        <f>IF(AND(N42=1,G42="Eletrônico"),VLOOKUP(C42,'AUX5-CUSTOS'!$B$3:$O$14,8,FALSE))</f>
        <v>0</v>
      </c>
      <c r="V42" s="522" t="b">
        <f>IF(AND(N42=1,H42="Proporcional"),VLOOKUP(C42,'AUX5-CUSTOS'!$B$3:$O$14,9,FALSE))</f>
        <v>0</v>
      </c>
      <c r="W42" s="522" t="b">
        <f>IF(AND(N42=1,I42="SIM"),VLOOKUP(C42,'AUX5-CUSTOS'!$B$3:$O$14,10,FALSE))</f>
        <v>0</v>
      </c>
      <c r="X42" s="521" t="b">
        <f>IF(AND(N42=1,J42="SIM"),VLOOKUP(C42,'AUX5-CUSTOS'!$B$3:$O$14,11,FALSE))</f>
        <v>0</v>
      </c>
      <c r="Y42" s="521" t="b">
        <f>IF(AND(N42=1,K42="SIM"),VLOOKUP(C42,'AUX5-CUSTOS'!$B$3:$O$14,12,FALSE))</f>
        <v>0</v>
      </c>
      <c r="Z42" s="521" t="b">
        <f>IF(AND(N42=1,L42="SIM"),VLOOKUP(C42,'AUX5-CUSTOS'!$B$3:$O$14,13,FALSE))</f>
        <v>0</v>
      </c>
      <c r="AB42" s="521">
        <f t="shared" si="2"/>
        <v>0</v>
      </c>
      <c r="AC42" s="49" t="b">
        <f>IF(N42=1,VLOOKUP(C42,'AUX5-CUSTOS'!$B$3:$U$14,15,FALSE))</f>
        <v>0</v>
      </c>
      <c r="AD42" s="49" t="b">
        <f>IF(N42=1,VLOOKUP(C42,'AUX5-CUSTOS'!$B$3:$U$14,16,FALSE))</f>
        <v>0</v>
      </c>
      <c r="AE42" s="49" t="b">
        <f>IF(N42=1,VLOOKUP(C42,'AUX5-CUSTOS'!$B$3:$U$14,17,FALSE))</f>
        <v>0</v>
      </c>
      <c r="AF42" s="49" t="b">
        <f>IF(N42=1,VLOOKUP(C42,'AUX5-CUSTOS'!$B$3:$U$14,18,FALSE))</f>
        <v>0</v>
      </c>
      <c r="AG42" t="b">
        <f>IF(N42=1,VLOOKUP(C42,'AUX5-CUSTOS'!$B$3:$V$14,19,FALSE))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2" t="b">
        <f>IF(N43=1,VLOOKUP(C43,'AUX5-CUSTOS'!$B$3:$O$14,2,),IF(N43=2,VLOOKUP(C43,'AUX5-CUSTOS'!$B$17:$O$34,2,),IF(N43=3,VLOOKUP(C43,'AUX5-CUSTOS'!$B$36:$O$53,2,))))</f>
        <v>0</v>
      </c>
      <c r="P43" s="522" t="b">
        <f>IF(AND(N43=1,E43="SIM"),VLOOKUP(C43,'AUX5-CUSTOS'!$B$3:$O$14,3,FALSE))</f>
        <v>0</v>
      </c>
      <c r="Q43" s="522" t="b">
        <f>IF(AND(N43=1,F43="1 MANUAL"),VLOOKUP(C43,'AUX5-CUSTOS'!$B$3:$O$14,4,FALSE))</f>
        <v>0</v>
      </c>
      <c r="R43" s="522" t="b">
        <f>IF(AND(N43=1,F43="2 MANUAIS"),VLOOKUP(C43,'AUX5-CUSTOS'!$B$3:$O$14,5,FALSE))</f>
        <v>0</v>
      </c>
      <c r="S43" s="522" t="b">
        <f>IF(AND(N43=1,F43="1 COM ATUADOR ON/OFF"),VLOOKUP(C43,'AUX5-CUSTOS'!$B$3:$O$14,6,FALSE))</f>
        <v>0</v>
      </c>
      <c r="T43" s="522" t="b">
        <f>IF(AND(N43=1,F43="2 COM ATUADORES ON/OFF"),VLOOKUP(C43,'AUX5-CUSTOS'!$B$3:$O$14,7,FALSE))</f>
        <v>0</v>
      </c>
      <c r="U43" s="522" t="b">
        <f>IF(AND(N43=1,G43="Eletrônico"),VLOOKUP(C43,'AUX5-CUSTOS'!$B$3:$O$14,8,FALSE))</f>
        <v>0</v>
      </c>
      <c r="V43" s="522" t="b">
        <f>IF(AND(N43=1,H43="Proporcional"),VLOOKUP(C43,'AUX5-CUSTOS'!$B$3:$O$14,9,FALSE))</f>
        <v>0</v>
      </c>
      <c r="W43" s="522" t="b">
        <f>IF(AND(N43=1,I43="SIM"),VLOOKUP(C43,'AUX5-CUSTOS'!$B$3:$O$14,10,FALSE))</f>
        <v>0</v>
      </c>
      <c r="X43" s="521" t="b">
        <f>IF(AND(N43=1,J43="SIM"),VLOOKUP(C43,'AUX5-CUSTOS'!$B$3:$O$14,11,FALSE))</f>
        <v>0</v>
      </c>
      <c r="Y43" s="521" t="b">
        <f>IF(AND(N43=1,K43="SIM"),VLOOKUP(C43,'AUX5-CUSTOS'!$B$3:$O$14,12,FALSE))</f>
        <v>0</v>
      </c>
      <c r="Z43" s="521" t="b">
        <f>IF(AND(N43=1,L43="SIM"),VLOOKUP(C43,'AUX5-CUSTOS'!$B$3:$O$14,13,FALSE))</f>
        <v>0</v>
      </c>
      <c r="AB43" s="521">
        <f t="shared" si="2"/>
        <v>0</v>
      </c>
      <c r="AC43" s="49" t="b">
        <f>IF(N43=1,VLOOKUP(C43,'AUX5-CUSTOS'!$B$3:$U$14,15,FALSE))</f>
        <v>0</v>
      </c>
      <c r="AD43" s="49" t="b">
        <f>IF(N43=1,VLOOKUP(C43,'AUX5-CUSTOS'!$B$3:$U$14,16,FALSE))</f>
        <v>0</v>
      </c>
      <c r="AE43" s="49" t="b">
        <f>IF(N43=1,VLOOKUP(C43,'AUX5-CUSTOS'!$B$3:$U$14,17,FALSE))</f>
        <v>0</v>
      </c>
      <c r="AF43" s="49" t="b">
        <f>IF(N43=1,VLOOKUP(C43,'AUX5-CUSTOS'!$B$3:$U$14,18,FALSE))</f>
        <v>0</v>
      </c>
      <c r="AG43" t="b">
        <f>IF(N43=1,VLOOKUP(C43,'AUX5-CUSTOS'!$B$3:$V$14,19,FALSE))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2" t="b">
        <f>IF(N44=1,VLOOKUP(C44,'AUX5-CUSTOS'!$B$3:$O$14,2,),IF(N44=2,VLOOKUP(C44,'AUX5-CUSTOS'!$B$17:$O$34,2,),IF(N44=3,VLOOKUP(C44,'AUX5-CUSTOS'!$B$36:$O$53,2,))))</f>
        <v>0</v>
      </c>
      <c r="P44" s="522" t="b">
        <f>IF(AND(N44=1,E44="SIM"),VLOOKUP(C44,'AUX5-CUSTOS'!$B$3:$O$14,3,FALSE))</f>
        <v>0</v>
      </c>
      <c r="Q44" s="522" t="b">
        <f>IF(AND(N44=1,F44="1 MANUAL"),VLOOKUP(C44,'AUX5-CUSTOS'!$B$3:$O$14,4,FALSE))</f>
        <v>0</v>
      </c>
      <c r="R44" s="522" t="b">
        <f>IF(AND(N44=1,F44="2 MANUAIS"),VLOOKUP(C44,'AUX5-CUSTOS'!$B$3:$O$14,5,FALSE))</f>
        <v>0</v>
      </c>
      <c r="S44" s="522" t="b">
        <f>IF(AND(N44=1,F44="1 COM ATUADOR ON/OFF"),VLOOKUP(C44,'AUX5-CUSTOS'!$B$3:$O$14,6,FALSE))</f>
        <v>0</v>
      </c>
      <c r="T44" s="522" t="b">
        <f>IF(AND(N44=1,F44="2 COM ATUADORES ON/OFF"),VLOOKUP(C44,'AUX5-CUSTOS'!$B$3:$O$14,7,FALSE))</f>
        <v>0</v>
      </c>
      <c r="U44" s="522" t="b">
        <f>IF(AND(N44=1,G44="Eletrônico"),VLOOKUP(C44,'AUX5-CUSTOS'!$B$3:$O$14,8,FALSE))</f>
        <v>0</v>
      </c>
      <c r="V44" s="522" t="b">
        <f>IF(AND(N44=1,H44="Proporcional"),VLOOKUP(C44,'AUX5-CUSTOS'!$B$3:$O$14,9,FALSE))</f>
        <v>0</v>
      </c>
      <c r="W44" s="522" t="b">
        <f>IF(AND(N44=1,I44="SIM"),VLOOKUP(C44,'AUX5-CUSTOS'!$B$3:$O$14,10,FALSE))</f>
        <v>0</v>
      </c>
      <c r="X44" s="521" t="b">
        <f>IF(AND(N44=1,J44="SIM"),VLOOKUP(C44,'AUX5-CUSTOS'!$B$3:$O$14,11,FALSE))</f>
        <v>0</v>
      </c>
      <c r="Y44" s="521" t="b">
        <f>IF(AND(N44=1,K44="SIM"),VLOOKUP(C44,'AUX5-CUSTOS'!$B$3:$O$14,12,FALSE))</f>
        <v>0</v>
      </c>
      <c r="Z44" s="521" t="b">
        <f>IF(AND(N44=1,L44="SIM"),VLOOKUP(C44,'AUX5-CUSTOS'!$B$3:$O$14,13,FALSE))</f>
        <v>0</v>
      </c>
      <c r="AB44" s="521">
        <f t="shared" si="2"/>
        <v>0</v>
      </c>
      <c r="AC44" s="49" t="b">
        <f>IF(N44=1,VLOOKUP(C44,'AUX5-CUSTOS'!$B$3:$U$14,15,FALSE))</f>
        <v>0</v>
      </c>
      <c r="AD44" s="49" t="b">
        <f>IF(N44=1,VLOOKUP(C44,'AUX5-CUSTOS'!$B$3:$U$14,16,FALSE))</f>
        <v>0</v>
      </c>
      <c r="AE44" s="49" t="b">
        <f>IF(N44=1,VLOOKUP(C44,'AUX5-CUSTOS'!$B$3:$U$14,17,FALSE))</f>
        <v>0</v>
      </c>
      <c r="AF44" s="49" t="b">
        <f>IF(N44=1,VLOOKUP(C44,'AUX5-CUSTOS'!$B$3:$U$14,18,FALSE))</f>
        <v>0</v>
      </c>
      <c r="AG44" t="b">
        <f>IF(N44=1,VLOOKUP(C44,'AUX5-CUSTOS'!$B$3:$V$14,19,FALSE))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2" t="b">
        <f>IF(N45=1,VLOOKUP(C45,'AUX5-CUSTOS'!$B$3:$O$14,2,),IF(N45=2,VLOOKUP(C45,'AUX5-CUSTOS'!$B$17:$O$34,2,),IF(N45=3,VLOOKUP(C45,'AUX5-CUSTOS'!$B$36:$O$53,2,))))</f>
        <v>0</v>
      </c>
      <c r="P45" s="522" t="b">
        <f>IF(AND(N45=1,E45="SIM"),VLOOKUP(C45,'AUX5-CUSTOS'!$B$3:$O$14,3,FALSE))</f>
        <v>0</v>
      </c>
      <c r="Q45" s="522" t="b">
        <f>IF(AND(N45=1,F45="1 MANUAL"),VLOOKUP(C45,'AUX5-CUSTOS'!$B$3:$O$14,4,FALSE))</f>
        <v>0</v>
      </c>
      <c r="R45" s="522" t="b">
        <f>IF(AND(N45=1,F45="2 MANUAIS"),VLOOKUP(C45,'AUX5-CUSTOS'!$B$3:$O$14,5,FALSE))</f>
        <v>0</v>
      </c>
      <c r="S45" s="522" t="b">
        <f>IF(AND(N45=1,F45="1 COM ATUADOR ON/OFF"),VLOOKUP(C45,'AUX5-CUSTOS'!$B$3:$O$14,6,FALSE))</f>
        <v>0</v>
      </c>
      <c r="T45" s="522" t="b">
        <f>IF(AND(N45=1,F45="2 COM ATUADORES ON/OFF"),VLOOKUP(C45,'AUX5-CUSTOS'!$B$3:$O$14,7,FALSE))</f>
        <v>0</v>
      </c>
      <c r="U45" s="522" t="b">
        <f>IF(AND(N45=1,G45="Eletrônico"),VLOOKUP(C45,'AUX5-CUSTOS'!$B$3:$O$14,8,FALSE))</f>
        <v>0</v>
      </c>
      <c r="V45" s="522" t="b">
        <f>IF(AND(N45=1,H45="Proporcional"),VLOOKUP(C45,'AUX5-CUSTOS'!$B$3:$O$14,9,FALSE))</f>
        <v>0</v>
      </c>
      <c r="W45" s="522" t="b">
        <f>IF(AND(N45=1,I45="SIM"),VLOOKUP(C45,'AUX5-CUSTOS'!$B$3:$O$14,10,FALSE))</f>
        <v>0</v>
      </c>
      <c r="X45" s="521" t="b">
        <f>IF(AND(N45=1,J45="SIM"),VLOOKUP(C45,'AUX5-CUSTOS'!$B$3:$O$14,11,FALSE))</f>
        <v>0</v>
      </c>
      <c r="Y45" s="521" t="b">
        <f>IF(AND(N45=1,K45="SIM"),VLOOKUP(C45,'AUX5-CUSTOS'!$B$3:$O$14,12,FALSE))</f>
        <v>0</v>
      </c>
      <c r="Z45" s="521" t="b">
        <f>IF(AND(N45=1,L45="SIM"),VLOOKUP(C45,'AUX5-CUSTOS'!$B$3:$O$14,13,FALSE))</f>
        <v>0</v>
      </c>
      <c r="AB45" s="521">
        <f t="shared" si="2"/>
        <v>0</v>
      </c>
      <c r="AC45" s="49" t="b">
        <f>IF(N45=1,VLOOKUP(C45,'AUX5-CUSTOS'!$B$3:$U$14,15,FALSE))</f>
        <v>0</v>
      </c>
      <c r="AD45" s="49" t="b">
        <f>IF(N45=1,VLOOKUP(C45,'AUX5-CUSTOS'!$B$3:$U$14,16,FALSE))</f>
        <v>0</v>
      </c>
      <c r="AE45" s="49" t="b">
        <f>IF(N45=1,VLOOKUP(C45,'AUX5-CUSTOS'!$B$3:$U$14,17,FALSE))</f>
        <v>0</v>
      </c>
      <c r="AF45" s="49" t="b">
        <f>IF(N45=1,VLOOKUP(C45,'AUX5-CUSTOS'!$B$3:$U$14,18,FALSE))</f>
        <v>0</v>
      </c>
      <c r="AG45" t="b">
        <f>IF(N45=1,VLOOKUP(C45,'AUX5-CUSTOS'!$B$3:$V$14,19,FALSE))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2" t="b">
        <f>IF(N46=1,VLOOKUP(C46,'AUX5-CUSTOS'!$B$3:$O$14,2,),IF(N46=2,VLOOKUP(C46,'AUX5-CUSTOS'!$B$17:$O$34,2,),IF(N46=3,VLOOKUP(C46,'AUX5-CUSTOS'!$B$36:$O$53,2,))))</f>
        <v>0</v>
      </c>
      <c r="P46" s="522" t="b">
        <f>IF(AND(N46=1,E46="SIM"),VLOOKUP(C46,'AUX5-CUSTOS'!$B$3:$O$14,3,FALSE))</f>
        <v>0</v>
      </c>
      <c r="Q46" s="522" t="b">
        <f>IF(AND(N46=1,F46="1 MANUAL"),VLOOKUP(C46,'AUX5-CUSTOS'!$B$3:$O$14,4,FALSE))</f>
        <v>0</v>
      </c>
      <c r="R46" s="522" t="b">
        <f>IF(AND(N46=1,F46="2 MANUAIS"),VLOOKUP(C46,'AUX5-CUSTOS'!$B$3:$O$14,5,FALSE))</f>
        <v>0</v>
      </c>
      <c r="S46" s="522" t="b">
        <f>IF(AND(N46=1,F46="1 COM ATUADOR ON/OFF"),VLOOKUP(C46,'AUX5-CUSTOS'!$B$3:$O$14,6,FALSE))</f>
        <v>0</v>
      </c>
      <c r="T46" s="522" t="b">
        <f>IF(AND(N46=1,F46="2 COM ATUADORES ON/OFF"),VLOOKUP(C46,'AUX5-CUSTOS'!$B$3:$O$14,7,FALSE))</f>
        <v>0</v>
      </c>
      <c r="U46" s="522" t="b">
        <f>IF(AND(N46=1,G46="Eletrônico"),VLOOKUP(C46,'AUX5-CUSTOS'!$B$3:$O$14,8,FALSE))</f>
        <v>0</v>
      </c>
      <c r="V46" s="522" t="b">
        <f>IF(AND(N46=1,H46="Proporcional"),VLOOKUP(C46,'AUX5-CUSTOS'!$B$3:$O$14,9,FALSE))</f>
        <v>0</v>
      </c>
      <c r="W46" s="522" t="b">
        <f>IF(AND(N46=1,I46="SIM"),VLOOKUP(C46,'AUX5-CUSTOS'!$B$3:$O$14,10,FALSE))</f>
        <v>0</v>
      </c>
      <c r="X46" s="521" t="b">
        <f>IF(AND(N46=1,J46="SIM"),VLOOKUP(C46,'AUX5-CUSTOS'!$B$3:$O$14,11,FALSE))</f>
        <v>0</v>
      </c>
      <c r="Y46" s="521" t="b">
        <f>IF(AND(N46=1,K46="SIM"),VLOOKUP(C46,'AUX5-CUSTOS'!$B$3:$O$14,12,FALSE))</f>
        <v>0</v>
      </c>
      <c r="Z46" s="521" t="b">
        <f>IF(AND(N46=1,L46="SIM"),VLOOKUP(C46,'AUX5-CUSTOS'!$B$3:$O$14,13,FALSE))</f>
        <v>0</v>
      </c>
      <c r="AB46" s="521">
        <f t="shared" si="2"/>
        <v>0</v>
      </c>
      <c r="AC46" s="49" t="b">
        <f>IF(N46=1,VLOOKUP(C46,'AUX5-CUSTOS'!$B$3:$U$14,15,FALSE))</f>
        <v>0</v>
      </c>
      <c r="AD46" s="49" t="b">
        <f>IF(N46=1,VLOOKUP(C46,'AUX5-CUSTOS'!$B$3:$U$14,16,FALSE))</f>
        <v>0</v>
      </c>
      <c r="AE46" s="49" t="b">
        <f>IF(N46=1,VLOOKUP(C46,'AUX5-CUSTOS'!$B$3:$U$14,17,FALSE))</f>
        <v>0</v>
      </c>
      <c r="AF46" s="49" t="b">
        <f>IF(N46=1,VLOOKUP(C46,'AUX5-CUSTOS'!$B$3:$U$14,18,FALSE))</f>
        <v>0</v>
      </c>
      <c r="AG46" t="b">
        <f>IF(N46=1,VLOOKUP(C46,'AUX5-CUSTOS'!$B$3:$V$14,19,FALSE))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2" t="b">
        <f>IF(N47=1,VLOOKUP(C47,'AUX5-CUSTOS'!$B$3:$O$14,2,),IF(N47=2,VLOOKUP(C47,'AUX5-CUSTOS'!$B$17:$O$34,2,),IF(N47=3,VLOOKUP(C47,'AUX5-CUSTOS'!$B$36:$O$53,2,))))</f>
        <v>0</v>
      </c>
      <c r="P47" s="522" t="b">
        <f>IF(AND(N47=1,E47="SIM"),VLOOKUP(C47,'AUX5-CUSTOS'!$B$3:$O$14,3,FALSE))</f>
        <v>0</v>
      </c>
      <c r="Q47" s="522" t="b">
        <f>IF(AND(N47=1,F47="1 MANUAL"),VLOOKUP(C47,'AUX5-CUSTOS'!$B$3:$O$14,4,FALSE))</f>
        <v>0</v>
      </c>
      <c r="R47" s="522" t="b">
        <f>IF(AND(N47=1,F47="2 MANUAIS"),VLOOKUP(C47,'AUX5-CUSTOS'!$B$3:$O$14,5,FALSE))</f>
        <v>0</v>
      </c>
      <c r="S47" s="522" t="b">
        <f>IF(AND(N47=1,F47="1 COM ATUADOR ON/OFF"),VLOOKUP(C47,'AUX5-CUSTOS'!$B$3:$O$14,6,FALSE))</f>
        <v>0</v>
      </c>
      <c r="T47" s="522" t="b">
        <f>IF(AND(N47=1,F47="2 COM ATUADORES ON/OFF"),VLOOKUP(C47,'AUX5-CUSTOS'!$B$3:$O$14,7,FALSE))</f>
        <v>0</v>
      </c>
      <c r="U47" s="522" t="b">
        <f>IF(AND(N47=1,G47="Eletrônico"),VLOOKUP(C47,'AUX5-CUSTOS'!$B$3:$O$14,8,FALSE))</f>
        <v>0</v>
      </c>
      <c r="V47" s="522" t="b">
        <f>IF(AND(N47=1,H47="Proporcional"),VLOOKUP(C47,'AUX5-CUSTOS'!$B$3:$O$14,9,FALSE))</f>
        <v>0</v>
      </c>
      <c r="W47" s="522" t="b">
        <f>IF(AND(N47=1,I47="SIM"),VLOOKUP(C47,'AUX5-CUSTOS'!$B$3:$O$14,10,FALSE))</f>
        <v>0</v>
      </c>
      <c r="X47" s="521" t="b">
        <f>IF(AND(N47=1,J47="SIM"),VLOOKUP(C47,'AUX5-CUSTOS'!$B$3:$O$14,11,FALSE))</f>
        <v>0</v>
      </c>
      <c r="Y47" s="521" t="b">
        <f>IF(AND(N47=1,K47="SIM"),VLOOKUP(C47,'AUX5-CUSTOS'!$B$3:$O$14,12,FALSE))</f>
        <v>0</v>
      </c>
      <c r="Z47" s="521" t="b">
        <f>IF(AND(N47=1,L47="SIM"),VLOOKUP(C47,'AUX5-CUSTOS'!$B$3:$O$14,13,FALSE))</f>
        <v>0</v>
      </c>
      <c r="AB47" s="521">
        <f t="shared" si="2"/>
        <v>0</v>
      </c>
      <c r="AC47" s="49" t="b">
        <f>IF(N47=1,VLOOKUP(C47,'AUX5-CUSTOS'!$B$3:$U$14,15,FALSE))</f>
        <v>0</v>
      </c>
      <c r="AD47" s="49" t="b">
        <f>IF(N47=1,VLOOKUP(C47,'AUX5-CUSTOS'!$B$3:$U$14,16,FALSE))</f>
        <v>0</v>
      </c>
      <c r="AE47" s="49" t="b">
        <f>IF(N47=1,VLOOKUP(C47,'AUX5-CUSTOS'!$B$3:$U$14,17,FALSE))</f>
        <v>0</v>
      </c>
      <c r="AF47" s="49" t="b">
        <f>IF(N47=1,VLOOKUP(C47,'AUX5-CUSTOS'!$B$3:$U$14,18,FALSE))</f>
        <v>0</v>
      </c>
      <c r="AG47" t="b">
        <f>IF(N47=1,VLOOKUP(C47,'AUX5-CUSTOS'!$B$3:$V$14,19,FALSE))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abSelected="1"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65" t="s">
        <v>1379</v>
      </c>
      <c r="B1" s="766"/>
      <c r="C1" s="766"/>
      <c r="D1" s="766"/>
      <c r="E1" s="766"/>
      <c r="F1" s="766"/>
      <c r="G1" s="766"/>
      <c r="H1" s="766"/>
      <c r="I1" s="766"/>
      <c r="J1" s="767"/>
    </row>
    <row r="2" spans="1:10" ht="15.75" customHeight="1" x14ac:dyDescent="0.3">
      <c r="A2" s="751" t="e" vm="1">
        <v>#VALUE!</v>
      </c>
      <c r="B2" s="752"/>
      <c r="C2" s="776"/>
      <c r="D2" s="1079"/>
      <c r="E2" s="1080"/>
      <c r="F2" s="1080"/>
      <c r="G2" s="1080"/>
      <c r="H2" s="1080"/>
      <c r="I2" s="1080"/>
      <c r="J2" s="1081"/>
    </row>
    <row r="3" spans="1:10" ht="15" customHeight="1" x14ac:dyDescent="0.3">
      <c r="A3" s="751"/>
      <c r="B3" s="752"/>
      <c r="C3" s="776"/>
      <c r="D3" s="1082"/>
      <c r="E3" s="1083"/>
      <c r="F3" s="1083"/>
      <c r="G3" s="1083"/>
      <c r="H3" s="1083"/>
      <c r="I3" s="1083"/>
      <c r="J3" s="1084"/>
    </row>
    <row r="4" spans="1:10" ht="15.75" customHeight="1" x14ac:dyDescent="0.3">
      <c r="A4" s="751"/>
      <c r="B4" s="752"/>
      <c r="C4" s="776"/>
      <c r="D4" s="1082"/>
      <c r="E4" s="1083"/>
      <c r="F4" s="1083"/>
      <c r="G4" s="1083"/>
      <c r="H4" s="1083"/>
      <c r="I4" s="1083"/>
      <c r="J4" s="1084"/>
    </row>
    <row r="5" spans="1:10" ht="15.75" customHeight="1" x14ac:dyDescent="0.3">
      <c r="A5" s="751"/>
      <c r="B5" s="752"/>
      <c r="C5" s="776"/>
      <c r="D5" s="1082"/>
      <c r="E5" s="1083"/>
      <c r="F5" s="1083"/>
      <c r="G5" s="1083"/>
      <c r="H5" s="1083"/>
      <c r="I5" s="1083"/>
      <c r="J5" s="1084"/>
    </row>
    <row r="6" spans="1:10" ht="15.75" customHeight="1" x14ac:dyDescent="0.3">
      <c r="A6" s="777"/>
      <c r="B6" s="1078"/>
      <c r="C6" s="778"/>
      <c r="D6" s="1085"/>
      <c r="E6" s="1086"/>
      <c r="F6" s="1086"/>
      <c r="G6" s="1086"/>
      <c r="H6" s="1086"/>
      <c r="I6" s="1086"/>
      <c r="J6" s="1087"/>
    </row>
    <row r="7" spans="1:10" x14ac:dyDescent="0.3">
      <c r="A7" s="632" t="s">
        <v>1327</v>
      </c>
      <c r="B7" s="667" t="s">
        <v>1380</v>
      </c>
      <c r="C7" s="779" t="s">
        <v>1381</v>
      </c>
      <c r="D7" s="779"/>
      <c r="E7" s="779"/>
      <c r="F7" s="631" t="s">
        <v>1382</v>
      </c>
      <c r="G7" s="637" t="s">
        <v>1383</v>
      </c>
      <c r="H7" s="779" t="s">
        <v>779</v>
      </c>
      <c r="I7" s="779"/>
      <c r="J7" s="780"/>
    </row>
    <row r="8" spans="1:10" x14ac:dyDescent="0.3">
      <c r="A8" s="629" t="s">
        <v>1324</v>
      </c>
      <c r="B8" s="668"/>
      <c r="C8" s="772" t="s">
        <v>1384</v>
      </c>
      <c r="D8" s="772"/>
      <c r="E8" s="772"/>
      <c r="F8" s="628"/>
      <c r="G8" s="627"/>
      <c r="H8" s="781"/>
      <c r="I8" s="781"/>
      <c r="J8" s="782"/>
    </row>
    <row r="9" spans="1:10" x14ac:dyDescent="0.3">
      <c r="A9" s="626" t="s">
        <v>89</v>
      </c>
      <c r="B9" s="669" t="s">
        <v>836</v>
      </c>
      <c r="C9" s="783" t="s">
        <v>177</v>
      </c>
      <c r="D9" s="784"/>
      <c r="E9" s="785"/>
      <c r="F9" s="630" t="s">
        <v>1385</v>
      </c>
      <c r="G9" s="633" t="s">
        <v>1386</v>
      </c>
      <c r="H9" s="756"/>
      <c r="I9" s="757"/>
      <c r="J9" s="758"/>
    </row>
    <row r="10" spans="1:10" x14ac:dyDescent="0.3">
      <c r="A10" s="626" t="s">
        <v>93</v>
      </c>
      <c r="B10" s="669" t="s">
        <v>856</v>
      </c>
      <c r="C10" s="783" t="s">
        <v>177</v>
      </c>
      <c r="D10" s="784"/>
      <c r="E10" s="785"/>
      <c r="F10" s="630" t="s">
        <v>1385</v>
      </c>
      <c r="G10" s="633" t="s">
        <v>1386</v>
      </c>
      <c r="H10" s="756"/>
      <c r="I10" s="757"/>
      <c r="J10" s="758"/>
    </row>
    <row r="11" spans="1:10" x14ac:dyDescent="0.3">
      <c r="A11" s="626" t="s">
        <v>94</v>
      </c>
      <c r="B11" s="669" t="s">
        <v>1387</v>
      </c>
      <c r="C11" s="783" t="s">
        <v>1388</v>
      </c>
      <c r="D11" s="784"/>
      <c r="E11" s="785"/>
      <c r="F11" s="630" t="s">
        <v>1389</v>
      </c>
      <c r="G11" s="633" t="s">
        <v>904</v>
      </c>
      <c r="H11" s="756"/>
      <c r="I11" s="757"/>
      <c r="J11" s="758"/>
    </row>
    <row r="12" spans="1:10" x14ac:dyDescent="0.3">
      <c r="A12" s="626" t="s">
        <v>95</v>
      </c>
      <c r="B12" s="669" t="s">
        <v>1390</v>
      </c>
      <c r="C12" s="753" t="s">
        <v>1391</v>
      </c>
      <c r="D12" s="754"/>
      <c r="E12" s="755"/>
      <c r="F12" s="630" t="s">
        <v>1389</v>
      </c>
      <c r="G12" s="633" t="s">
        <v>904</v>
      </c>
      <c r="H12" s="756"/>
      <c r="I12" s="757"/>
      <c r="J12" s="758"/>
    </row>
    <row r="13" spans="1:10" ht="15" customHeight="1" x14ac:dyDescent="0.3">
      <c r="A13" s="626" t="s">
        <v>163</v>
      </c>
      <c r="B13" s="669" t="s">
        <v>1392</v>
      </c>
      <c r="C13" s="753" t="s">
        <v>1393</v>
      </c>
      <c r="D13" s="754"/>
      <c r="E13" s="755"/>
      <c r="F13" s="630" t="s">
        <v>1389</v>
      </c>
      <c r="G13" s="633" t="s">
        <v>904</v>
      </c>
      <c r="H13" s="756"/>
      <c r="I13" s="757"/>
      <c r="J13" s="758"/>
    </row>
    <row r="14" spans="1:10" x14ac:dyDescent="0.3">
      <c r="A14" s="629" t="s">
        <v>1317</v>
      </c>
      <c r="B14" s="670"/>
      <c r="C14" s="759" t="s">
        <v>1394</v>
      </c>
      <c r="D14" s="760"/>
      <c r="E14" s="761"/>
      <c r="F14" s="628"/>
      <c r="G14" s="627"/>
      <c r="H14" s="773"/>
      <c r="I14" s="774"/>
      <c r="J14" s="775"/>
    </row>
    <row r="15" spans="1:10" ht="15" customHeight="1" x14ac:dyDescent="0.3">
      <c r="A15" s="626" t="s">
        <v>97</v>
      </c>
      <c r="B15" s="669" t="s">
        <v>836</v>
      </c>
      <c r="C15" s="783" t="s">
        <v>177</v>
      </c>
      <c r="D15" s="784"/>
      <c r="E15" s="785"/>
      <c r="F15" s="630" t="s">
        <v>1385</v>
      </c>
      <c r="G15" s="633" t="s">
        <v>1386</v>
      </c>
      <c r="H15" s="756"/>
      <c r="I15" s="757"/>
      <c r="J15" s="758"/>
    </row>
    <row r="16" spans="1:10" ht="15" customHeight="1" x14ac:dyDescent="0.3">
      <c r="A16" s="626" t="s">
        <v>98</v>
      </c>
      <c r="B16" s="669" t="s">
        <v>856</v>
      </c>
      <c r="C16" s="783" t="s">
        <v>177</v>
      </c>
      <c r="D16" s="784"/>
      <c r="E16" s="785"/>
      <c r="F16" s="630" t="s">
        <v>1385</v>
      </c>
      <c r="G16" s="633" t="s">
        <v>1386</v>
      </c>
      <c r="H16" s="756"/>
      <c r="I16" s="757"/>
      <c r="J16" s="758"/>
    </row>
    <row r="17" spans="1:10" ht="15" customHeight="1" x14ac:dyDescent="0.3">
      <c r="A17" s="626" t="s">
        <v>99</v>
      </c>
      <c r="B17" s="669" t="s">
        <v>1387</v>
      </c>
      <c r="C17" s="783" t="s">
        <v>1388</v>
      </c>
      <c r="D17" s="784"/>
      <c r="E17" s="785"/>
      <c r="F17" s="630" t="s">
        <v>1389</v>
      </c>
      <c r="G17" s="633" t="s">
        <v>904</v>
      </c>
      <c r="H17" s="756"/>
      <c r="I17" s="757"/>
      <c r="J17" s="758"/>
    </row>
    <row r="18" spans="1:10" ht="15" customHeight="1" x14ac:dyDescent="0.3">
      <c r="A18" s="626" t="s">
        <v>100</v>
      </c>
      <c r="B18" s="669" t="s">
        <v>1390</v>
      </c>
      <c r="C18" s="753" t="s">
        <v>1391</v>
      </c>
      <c r="D18" s="754"/>
      <c r="E18" s="755"/>
      <c r="F18" s="630" t="s">
        <v>1389</v>
      </c>
      <c r="G18" s="633" t="s">
        <v>904</v>
      </c>
      <c r="H18" s="756"/>
      <c r="I18" s="757"/>
      <c r="J18" s="758"/>
    </row>
    <row r="19" spans="1:10" ht="15" customHeight="1" x14ac:dyDescent="0.3">
      <c r="A19" s="626" t="s">
        <v>101</v>
      </c>
      <c r="B19" s="669" t="s">
        <v>1392</v>
      </c>
      <c r="C19" s="753" t="s">
        <v>1393</v>
      </c>
      <c r="D19" s="754"/>
      <c r="E19" s="755"/>
      <c r="F19" s="630" t="s">
        <v>1389</v>
      </c>
      <c r="G19" s="633" t="s">
        <v>904</v>
      </c>
      <c r="H19" s="756"/>
      <c r="I19" s="757"/>
      <c r="J19" s="758"/>
    </row>
    <row r="20" spans="1:10" ht="15" customHeight="1" x14ac:dyDescent="0.3">
      <c r="A20" s="629" t="s">
        <v>1309</v>
      </c>
      <c r="B20" s="670"/>
      <c r="C20" s="759" t="s">
        <v>1395</v>
      </c>
      <c r="D20" s="760"/>
      <c r="E20" s="761"/>
      <c r="F20" s="628"/>
      <c r="G20" s="627"/>
      <c r="H20" s="773"/>
      <c r="I20" s="774"/>
      <c r="J20" s="775"/>
    </row>
    <row r="21" spans="1:10" x14ac:dyDescent="0.3">
      <c r="A21" s="626" t="s">
        <v>102</v>
      </c>
      <c r="B21" s="669" t="s">
        <v>1396</v>
      </c>
      <c r="C21" s="783" t="s">
        <v>1397</v>
      </c>
      <c r="D21" s="784"/>
      <c r="E21" s="785"/>
      <c r="F21" s="671" t="s">
        <v>1385</v>
      </c>
      <c r="G21" s="633" t="s">
        <v>1386</v>
      </c>
      <c r="H21" s="756"/>
      <c r="I21" s="757"/>
      <c r="J21" s="758"/>
    </row>
    <row r="22" spans="1:10" x14ac:dyDescent="0.3">
      <c r="A22" s="626" t="s">
        <v>103</v>
      </c>
      <c r="B22" s="669" t="s">
        <v>1396</v>
      </c>
      <c r="C22" s="783" t="s">
        <v>1397</v>
      </c>
      <c r="D22" s="784"/>
      <c r="E22" s="785"/>
      <c r="F22" s="671" t="s">
        <v>1385</v>
      </c>
      <c r="G22" s="633" t="s">
        <v>1386</v>
      </c>
      <c r="H22" s="756"/>
      <c r="I22" s="757"/>
      <c r="J22" s="758"/>
    </row>
    <row r="23" spans="1:10" x14ac:dyDescent="0.3">
      <c r="A23" s="626" t="s">
        <v>104</v>
      </c>
      <c r="B23" s="669" t="s">
        <v>1387</v>
      </c>
      <c r="C23" s="783" t="s">
        <v>1398</v>
      </c>
      <c r="D23" s="784"/>
      <c r="E23" s="785"/>
      <c r="F23" s="630" t="s">
        <v>1389</v>
      </c>
      <c r="G23" s="633" t="s">
        <v>904</v>
      </c>
      <c r="H23" s="756"/>
      <c r="I23" s="757"/>
      <c r="J23" s="758"/>
    </row>
  </sheetData>
  <mergeCells count="37">
    <mergeCell ref="C21:E21"/>
    <mergeCell ref="H21:J21"/>
    <mergeCell ref="C22:E22"/>
    <mergeCell ref="H22:J22"/>
    <mergeCell ref="C23:E23"/>
    <mergeCell ref="H23:J23"/>
    <mergeCell ref="C18:E18"/>
    <mergeCell ref="H18:J18"/>
    <mergeCell ref="C19:E19"/>
    <mergeCell ref="H19:J19"/>
    <mergeCell ref="C20:E20"/>
    <mergeCell ref="H20:J20"/>
    <mergeCell ref="C15:E15"/>
    <mergeCell ref="H15:J15"/>
    <mergeCell ref="C16:E16"/>
    <mergeCell ref="H16:J16"/>
    <mergeCell ref="C17:E17"/>
    <mergeCell ref="H17:J17"/>
    <mergeCell ref="C12:E12"/>
    <mergeCell ref="H12:J12"/>
    <mergeCell ref="C13:E13"/>
    <mergeCell ref="H13:J13"/>
    <mergeCell ref="C14:E14"/>
    <mergeCell ref="H14:J14"/>
    <mergeCell ref="C9:E9"/>
    <mergeCell ref="H9:J9"/>
    <mergeCell ref="C10:E10"/>
    <mergeCell ref="H10:J10"/>
    <mergeCell ref="C11:E11"/>
    <mergeCell ref="H11:J11"/>
    <mergeCell ref="C8:E8"/>
    <mergeCell ref="H8:J8"/>
    <mergeCell ref="A1:J1"/>
    <mergeCell ref="A2:C6"/>
    <mergeCell ref="D2:J6"/>
    <mergeCell ref="C7:E7"/>
    <mergeCell ref="H7:J7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J146"/>
  <sheetViews>
    <sheetView zoomScale="90" zoomScaleNormal="90" workbookViewId="0">
      <pane xSplit="2" ySplit="2" topLeftCell="O45" activePane="bottomRight" state="frozen"/>
      <selection pane="topRight" activeCell="C1" sqref="C1"/>
      <selection pane="bottomLeft" activeCell="A3" sqref="A3"/>
      <selection pane="bottomRight" activeCell="B53" sqref="A35:B53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1" customWidth="1"/>
    <col min="4" max="4" width="15.88671875" style="521" customWidth="1"/>
    <col min="5" max="5" width="19.5546875" style="521" customWidth="1"/>
    <col min="6" max="6" width="24.109375" style="521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24.21875" style="3" customWidth="1"/>
    <col min="17" max="17" width="53" style="3" bestFit="1" customWidth="1"/>
    <col min="18" max="18" width="14.5546875" style="49" customWidth="1"/>
    <col min="19" max="20" width="9.109375" style="49"/>
    <col min="21" max="21" width="12.33203125" style="49" customWidth="1"/>
    <col min="22" max="22" width="18.77734375" customWidth="1"/>
    <col min="24" max="24" width="13.5546875" customWidth="1"/>
    <col min="25" max="25" width="19.33203125" bestFit="1" customWidth="1"/>
    <col min="26" max="26" width="16.6640625" bestFit="1" customWidth="1"/>
    <col min="27" max="27" width="18.5546875" bestFit="1" customWidth="1"/>
    <col min="28" max="28" width="27.6640625" bestFit="1" customWidth="1"/>
    <col min="29" max="29" width="28.5546875" bestFit="1" customWidth="1"/>
    <col min="30" max="30" width="20.33203125" bestFit="1" customWidth="1"/>
    <col min="31" max="31" width="36.33203125" bestFit="1" customWidth="1"/>
    <col min="32" max="32" width="11.44140625" bestFit="1" customWidth="1"/>
    <col min="33" max="33" width="19.5546875" bestFit="1" customWidth="1"/>
    <col min="34" max="34" width="26.88671875" bestFit="1" customWidth="1"/>
    <col min="35" max="35" width="15.33203125" bestFit="1" customWidth="1"/>
    <col min="36" max="36" width="16.5546875" bestFit="1" customWidth="1"/>
  </cols>
  <sheetData>
    <row r="1" spans="1:36" x14ac:dyDescent="0.3">
      <c r="B1" s="1088" t="s">
        <v>157</v>
      </c>
      <c r="C1" s="1088"/>
      <c r="D1" s="1088"/>
      <c r="E1" s="1088"/>
      <c r="F1" s="1088"/>
      <c r="G1" s="1088"/>
      <c r="H1" s="1088"/>
      <c r="I1" s="1088"/>
      <c r="J1" s="1088"/>
      <c r="K1" s="1088"/>
      <c r="L1" s="1088"/>
      <c r="M1" s="1088"/>
      <c r="N1" s="1088"/>
      <c r="O1" s="1088"/>
      <c r="P1" s="49"/>
      <c r="Q1" s="49"/>
    </row>
    <row r="2" spans="1:36" x14ac:dyDescent="0.3">
      <c r="A2" t="s">
        <v>1376</v>
      </c>
      <c r="B2" s="49">
        <v>1.08</v>
      </c>
      <c r="C2" s="528" t="s">
        <v>935</v>
      </c>
      <c r="D2" s="528" t="s">
        <v>885</v>
      </c>
      <c r="E2" s="528" t="s">
        <v>936</v>
      </c>
      <c r="F2" s="528" t="s">
        <v>1284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291" t="s">
        <v>1401</v>
      </c>
      <c r="Q2" s="291" t="s">
        <v>1399</v>
      </c>
      <c r="R2" s="533" t="s">
        <v>956</v>
      </c>
      <c r="S2" s="533" t="s">
        <v>697</v>
      </c>
      <c r="T2" s="533" t="s">
        <v>696</v>
      </c>
      <c r="U2" s="533" t="s">
        <v>701</v>
      </c>
      <c r="V2" s="533" t="s">
        <v>986</v>
      </c>
      <c r="X2" s="533" t="s">
        <v>1340</v>
      </c>
      <c r="Y2" s="528" t="s">
        <v>885</v>
      </c>
      <c r="Z2" s="528" t="s">
        <v>936</v>
      </c>
      <c r="AA2" s="528" t="s">
        <v>1284</v>
      </c>
      <c r="AB2" s="291" t="s">
        <v>938</v>
      </c>
      <c r="AC2" s="291" t="s">
        <v>939</v>
      </c>
      <c r="AD2" s="291" t="s">
        <v>940</v>
      </c>
      <c r="AE2" s="291" t="s">
        <v>941</v>
      </c>
      <c r="AF2" s="291" t="s">
        <v>889</v>
      </c>
      <c r="AG2" s="291" t="s">
        <v>890</v>
      </c>
      <c r="AH2" s="291" t="s">
        <v>942</v>
      </c>
      <c r="AI2" s="291" t="s">
        <v>891</v>
      </c>
      <c r="AJ2" s="291" t="s">
        <v>943</v>
      </c>
    </row>
    <row r="3" spans="1:36" x14ac:dyDescent="0.3">
      <c r="A3" t="s">
        <v>157</v>
      </c>
      <c r="B3" s="6" t="s">
        <v>907</v>
      </c>
      <c r="C3" s="521">
        <v>26890</v>
      </c>
      <c r="D3" s="522">
        <f>5300*$B$2</f>
        <v>5724</v>
      </c>
      <c r="E3" s="521">
        <f>600*$B$2</f>
        <v>648</v>
      </c>
      <c r="F3" s="521">
        <f>9200*$B$2</f>
        <v>9936</v>
      </c>
      <c r="G3" s="521">
        <f>2070*$B$2</f>
        <v>2235.6000000000004</v>
      </c>
      <c r="H3" s="521">
        <f>G3*2</f>
        <v>4471.2000000000007</v>
      </c>
      <c r="I3" s="521">
        <f>6000*$B$2</f>
        <v>6480</v>
      </c>
      <c r="J3" s="521">
        <f>6000*$B$2</f>
        <v>6480</v>
      </c>
      <c r="K3" s="521">
        <f>1400*$B$2</f>
        <v>1512</v>
      </c>
      <c r="L3" s="521">
        <f>1450*$B$2</f>
        <v>1566</v>
      </c>
      <c r="M3" s="521">
        <f>2100*$B$2</f>
        <v>2268</v>
      </c>
      <c r="N3" s="521">
        <f>6500*$B$2</f>
        <v>7020.0000000000009</v>
      </c>
      <c r="O3" s="522">
        <f>(C3*1.5)-C3</f>
        <v>13445</v>
      </c>
      <c r="P3" s="522">
        <v>5070</v>
      </c>
      <c r="Q3" s="522" t="s">
        <v>1400</v>
      </c>
      <c r="R3" s="534" t="s">
        <v>704</v>
      </c>
      <c r="S3" s="534" t="s">
        <v>985</v>
      </c>
      <c r="T3" s="534" t="s">
        <v>984</v>
      </c>
      <c r="U3" s="49" t="s">
        <v>1403</v>
      </c>
      <c r="V3" s="534" t="s">
        <v>976</v>
      </c>
      <c r="X3" s="521">
        <f>SUM(C3,Y3:AJ3)</f>
        <v>42895.6</v>
      </c>
      <c r="Y3" s="521">
        <f>IF('FD EQUIP 1'!$F$17="Embarcada",'AUX5-CUSTOS'!D3,IF('FD EQUIP 1'!$F$17="Não",0))</f>
        <v>5724</v>
      </c>
      <c r="Z3" s="521"/>
      <c r="AA3" s="532"/>
      <c r="AB3" s="521">
        <f>IF('FD EQUIP 1'!$F$32="Com Atuador",'AUX5-CUSTOS'!G3,0)</f>
        <v>2235.6000000000004</v>
      </c>
      <c r="AC3" s="521"/>
      <c r="AD3" s="521" cm="1">
        <f t="array" ref="AD3">IF('FD EQUIP 1'!$F$30:$F$30="Eletrônico",'AUX5-CUSTOS'!I3,0)</f>
        <v>0</v>
      </c>
      <c r="AE3" s="521">
        <f>IF('FD EQUIP 1'!$F$31="Proporcional",'AUX5-CUSTOS'!J3,0)</f>
        <v>6480</v>
      </c>
      <c r="AF3" s="521">
        <f>IF('FD EQUIP 1'!$F$38="Sim",'AUX5-CUSTOS'!K3,0)</f>
        <v>0</v>
      </c>
      <c r="AG3" s="521">
        <f>IF('FD EQUIP 1'!$F$35="Sim",'AUX5-CUSTOS'!L3,0)</f>
        <v>1566</v>
      </c>
      <c r="AH3" s="521">
        <f>IF('FD EQUIP 1'!$F$33="Sim",'AUX5-CUSTOS'!M3,0)</f>
        <v>0</v>
      </c>
      <c r="AI3" s="521">
        <f>IF('FD EQUIP 1'!$F$39="Sim",'AUX5-CUSTOS'!N3,0)</f>
        <v>0</v>
      </c>
      <c r="AJ3" s="521">
        <f>IF('FD EQUIP 1'!$F$41="Sim",'AUX5-CUSTOS'!O3,0)</f>
        <v>0</v>
      </c>
    </row>
    <row r="4" spans="1:36" x14ac:dyDescent="0.3">
      <c r="A4" t="s">
        <v>157</v>
      </c>
      <c r="B4" s="6" t="s">
        <v>911</v>
      </c>
      <c r="C4" s="521">
        <f>26890*B2</f>
        <v>29041.200000000001</v>
      </c>
      <c r="D4" s="522">
        <f t="shared" ref="D4:D10" si="0">5300*$B$2</f>
        <v>5724</v>
      </c>
      <c r="E4" s="521">
        <f t="shared" ref="E4:E14" si="1">600*$B$2</f>
        <v>648</v>
      </c>
      <c r="F4" s="521">
        <f t="shared" ref="F4:F14" si="2">9200*$B$2</f>
        <v>9936</v>
      </c>
      <c r="G4" s="521">
        <f t="shared" ref="G4:G14" si="3">2070*$B$2</f>
        <v>2235.6000000000004</v>
      </c>
      <c r="H4" s="521">
        <f t="shared" ref="H4:H14" si="4">G4*2</f>
        <v>4471.2000000000007</v>
      </c>
      <c r="I4" s="521">
        <f t="shared" ref="I4:J5" si="5">6000*$B$2</f>
        <v>6480</v>
      </c>
      <c r="J4" s="521">
        <f t="shared" si="5"/>
        <v>6480</v>
      </c>
      <c r="K4" s="521">
        <f t="shared" ref="K4:K5" si="6">1400*$B$2</f>
        <v>1512</v>
      </c>
      <c r="L4" s="521">
        <f t="shared" ref="L4:L14" si="7">1450*$B$2</f>
        <v>1566</v>
      </c>
      <c r="M4" s="521">
        <f t="shared" ref="M4:M8" si="8">2100*$B$2</f>
        <v>2268</v>
      </c>
      <c r="N4" s="521">
        <f t="shared" ref="N4:N8" si="9">6500*$B$2</f>
        <v>7020.0000000000009</v>
      </c>
      <c r="O4" s="522">
        <f t="shared" ref="O4:O14" si="10">(C4*1.5)-C4</f>
        <v>14520.600000000002</v>
      </c>
      <c r="P4" s="522">
        <v>5070</v>
      </c>
      <c r="Q4" s="522" t="s">
        <v>1400</v>
      </c>
      <c r="R4" s="534" t="s">
        <v>704</v>
      </c>
      <c r="S4" s="534" t="s">
        <v>985</v>
      </c>
      <c r="T4" s="534" t="s">
        <v>984</v>
      </c>
      <c r="U4" s="49" t="s">
        <v>1403</v>
      </c>
      <c r="V4" s="534" t="s">
        <v>976</v>
      </c>
      <c r="X4" s="521">
        <f t="shared" ref="X4:X14" si="11">SUM(C4,Y4:AJ4)</f>
        <v>45046.799999999996</v>
      </c>
      <c r="Y4" s="521">
        <f>IF('FD EQUIP 1'!$F$17="Embarcada",'AUX5-CUSTOS'!D4,IF('FD EQUIP 1'!$F$17="Não",0))</f>
        <v>5724</v>
      </c>
      <c r="Z4" s="521"/>
      <c r="AA4" s="532"/>
      <c r="AB4" s="521">
        <f>IF('FD EQUIP 1'!$F$32="Com Atuador",'AUX5-CUSTOS'!G4,0)</f>
        <v>2235.6000000000004</v>
      </c>
      <c r="AC4" s="521"/>
      <c r="AD4" s="521" cm="1">
        <f t="array" ref="AD4">IF('FD EQUIP 1'!$F$30:$F$30="Eletrônico",'AUX5-CUSTOS'!I4,0)</f>
        <v>0</v>
      </c>
      <c r="AE4" s="521">
        <f>IF('FD EQUIP 1'!$F$31="Proporcional",'AUX5-CUSTOS'!J4,0)</f>
        <v>6480</v>
      </c>
      <c r="AF4" s="521">
        <f>IF('FD EQUIP 1'!$F$38="Sim",'AUX5-CUSTOS'!K4,0)</f>
        <v>0</v>
      </c>
      <c r="AG4" s="521">
        <f>IF('FD EQUIP 1'!$F$35="Sim",'AUX5-CUSTOS'!L4,0)</f>
        <v>1566</v>
      </c>
      <c r="AH4" s="521">
        <f>IF('FD EQUIP 1'!$F$33="Sim",'AUX5-CUSTOS'!M4,0)</f>
        <v>0</v>
      </c>
      <c r="AI4" s="521">
        <f>IF('FD EQUIP 1'!$F$39="Sim",'AUX5-CUSTOS'!N4,0)</f>
        <v>0</v>
      </c>
      <c r="AJ4" s="521">
        <f>IF('FD EQUIP 1'!$F$41="Sim",'AUX5-CUSTOS'!O4,0)</f>
        <v>0</v>
      </c>
    </row>
    <row r="5" spans="1:36" x14ac:dyDescent="0.3">
      <c r="A5" t="s">
        <v>157</v>
      </c>
      <c r="B5" s="6" t="s">
        <v>913</v>
      </c>
      <c r="C5" s="521">
        <f>32880*B2</f>
        <v>35510.400000000001</v>
      </c>
      <c r="D5" s="522">
        <f t="shared" si="0"/>
        <v>5724</v>
      </c>
      <c r="E5" s="521">
        <f t="shared" si="1"/>
        <v>648</v>
      </c>
      <c r="F5" s="521">
        <f t="shared" si="2"/>
        <v>9936</v>
      </c>
      <c r="G5" s="521">
        <f t="shared" si="3"/>
        <v>2235.6000000000004</v>
      </c>
      <c r="H5" s="521">
        <f t="shared" si="4"/>
        <v>4471.2000000000007</v>
      </c>
      <c r="I5" s="521">
        <f t="shared" si="5"/>
        <v>6480</v>
      </c>
      <c r="J5" s="521">
        <f t="shared" si="5"/>
        <v>6480</v>
      </c>
      <c r="K5" s="521">
        <f t="shared" si="6"/>
        <v>1512</v>
      </c>
      <c r="L5" s="521">
        <f t="shared" si="7"/>
        <v>1566</v>
      </c>
      <c r="M5" s="521">
        <f t="shared" si="8"/>
        <v>2268</v>
      </c>
      <c r="N5" s="521">
        <f t="shared" si="9"/>
        <v>7020.0000000000009</v>
      </c>
      <c r="O5" s="522">
        <f t="shared" si="10"/>
        <v>17755.200000000004</v>
      </c>
      <c r="P5" s="522">
        <v>5070</v>
      </c>
      <c r="Q5" s="522" t="s">
        <v>1400</v>
      </c>
      <c r="R5" s="534" t="s">
        <v>704</v>
      </c>
      <c r="S5" s="534" t="s">
        <v>985</v>
      </c>
      <c r="T5" s="534" t="s">
        <v>984</v>
      </c>
      <c r="U5" s="49" t="s">
        <v>1403</v>
      </c>
      <c r="V5" s="534" t="s">
        <v>976</v>
      </c>
      <c r="X5" s="521">
        <f t="shared" si="11"/>
        <v>51516</v>
      </c>
      <c r="Y5" s="521">
        <f>IF('FD EQUIP 1'!$F$17="Embarcada",'AUX5-CUSTOS'!D5,IF('FD EQUIP 1'!$F$17="Não",0))</f>
        <v>5724</v>
      </c>
      <c r="Z5" s="521"/>
      <c r="AA5" s="532"/>
      <c r="AB5" s="521">
        <f>IF('FD EQUIP 1'!$F$32="Com Atuador",'AUX5-CUSTOS'!G5,0)</f>
        <v>2235.6000000000004</v>
      </c>
      <c r="AC5" s="521"/>
      <c r="AD5" s="521" cm="1">
        <f t="array" ref="AD5">IF('FD EQUIP 1'!$F$30:$F$30="Eletrônico",'AUX5-CUSTOS'!I5,0)</f>
        <v>0</v>
      </c>
      <c r="AE5" s="521">
        <f>IF('FD EQUIP 1'!$F$31="Proporcional",'AUX5-CUSTOS'!J5,0)</f>
        <v>6480</v>
      </c>
      <c r="AF5" s="521">
        <f>IF('FD EQUIP 1'!$F$38="Sim",'AUX5-CUSTOS'!K5,0)</f>
        <v>0</v>
      </c>
      <c r="AG5" s="521">
        <f>IF('FD EQUIP 1'!$F$35="Sim",'AUX5-CUSTOS'!L5,0)</f>
        <v>1566</v>
      </c>
      <c r="AH5" s="521">
        <f>IF('FD EQUIP 1'!$F$33="Sim",'AUX5-CUSTOS'!M5,0)</f>
        <v>0</v>
      </c>
      <c r="AI5" s="521">
        <f>IF('FD EQUIP 1'!$F$39="Sim",'AUX5-CUSTOS'!N5,0)</f>
        <v>0</v>
      </c>
      <c r="AJ5" s="521">
        <f>IF('FD EQUIP 1'!$F$41="Sim",'AUX5-CUSTOS'!O5,0)</f>
        <v>0</v>
      </c>
    </row>
    <row r="6" spans="1:36" x14ac:dyDescent="0.3">
      <c r="A6" t="s">
        <v>157</v>
      </c>
      <c r="B6" s="6" t="s">
        <v>914</v>
      </c>
      <c r="C6" s="521">
        <f>40520*B2</f>
        <v>43761.600000000006</v>
      </c>
      <c r="D6" s="522">
        <f t="shared" si="0"/>
        <v>5724</v>
      </c>
      <c r="E6" s="521">
        <f t="shared" si="1"/>
        <v>648</v>
      </c>
      <c r="F6" s="521">
        <f t="shared" si="2"/>
        <v>9936</v>
      </c>
      <c r="G6" s="521">
        <f t="shared" si="3"/>
        <v>2235.6000000000004</v>
      </c>
      <c r="H6" s="521">
        <f t="shared" si="4"/>
        <v>4471.2000000000007</v>
      </c>
      <c r="I6" s="521">
        <f>8000*$B$2</f>
        <v>8640</v>
      </c>
      <c r="J6" s="521">
        <f>8000*$B$2</f>
        <v>8640</v>
      </c>
      <c r="K6" s="521">
        <f>1900*$B$2</f>
        <v>2052</v>
      </c>
      <c r="L6" s="521">
        <f t="shared" si="7"/>
        <v>1566</v>
      </c>
      <c r="M6" s="521">
        <f t="shared" si="8"/>
        <v>2268</v>
      </c>
      <c r="N6" s="521">
        <f t="shared" si="9"/>
        <v>7020.0000000000009</v>
      </c>
      <c r="O6" s="522">
        <f t="shared" si="10"/>
        <v>21880.800000000003</v>
      </c>
      <c r="P6" s="522">
        <v>5070</v>
      </c>
      <c r="Q6" s="522" t="s">
        <v>1400</v>
      </c>
      <c r="R6" s="534" t="s">
        <v>704</v>
      </c>
      <c r="S6" s="534" t="s">
        <v>985</v>
      </c>
      <c r="T6" s="534" t="s">
        <v>984</v>
      </c>
      <c r="U6" s="49" t="s">
        <v>1403</v>
      </c>
      <c r="V6" s="534" t="s">
        <v>976</v>
      </c>
      <c r="X6" s="521">
        <f t="shared" si="11"/>
        <v>61927.200000000004</v>
      </c>
      <c r="Y6" s="521">
        <f>IF('FD EQUIP 1'!$F$17="Embarcada",'AUX5-CUSTOS'!D6,IF('FD EQUIP 1'!$F$17="Não",0))</f>
        <v>5724</v>
      </c>
      <c r="Z6" s="521"/>
      <c r="AA6" s="532"/>
      <c r="AB6" s="521">
        <f>IF('FD EQUIP 1'!$F$32="Com Atuador",'AUX5-CUSTOS'!G6,0)</f>
        <v>2235.6000000000004</v>
      </c>
      <c r="AC6" s="521"/>
      <c r="AD6" s="521" cm="1">
        <f t="array" ref="AD6">IF('FD EQUIP 1'!$F$30:$F$30="Eletrônico",'AUX5-CUSTOS'!I6,0)</f>
        <v>0</v>
      </c>
      <c r="AE6" s="521">
        <f>IF('FD EQUIP 1'!$F$31="Proporcional",'AUX5-CUSTOS'!J6,0)</f>
        <v>8640</v>
      </c>
      <c r="AF6" s="521">
        <f>IF('FD EQUIP 1'!$F$38="Sim",'AUX5-CUSTOS'!K6,0)</f>
        <v>0</v>
      </c>
      <c r="AG6" s="521">
        <f>IF('FD EQUIP 1'!$F$35="Sim",'AUX5-CUSTOS'!L6,0)</f>
        <v>1566</v>
      </c>
      <c r="AH6" s="521">
        <f>IF('FD EQUIP 1'!$F$33="Sim",'AUX5-CUSTOS'!M6,0)</f>
        <v>0</v>
      </c>
      <c r="AI6" s="521">
        <f>IF('FD EQUIP 1'!$F$39="Sim",'AUX5-CUSTOS'!N6,0)</f>
        <v>0</v>
      </c>
      <c r="AJ6" s="521">
        <f>IF('FD EQUIP 1'!$F$41="Sim",'AUX5-CUSTOS'!O6,0)</f>
        <v>0</v>
      </c>
    </row>
    <row r="7" spans="1:36" x14ac:dyDescent="0.3">
      <c r="A7" t="s">
        <v>157</v>
      </c>
      <c r="B7" s="6" t="s">
        <v>915</v>
      </c>
      <c r="C7" s="521">
        <f>41550*B2</f>
        <v>44874</v>
      </c>
      <c r="D7" s="522">
        <f t="shared" si="0"/>
        <v>5724</v>
      </c>
      <c r="E7" s="521">
        <f t="shared" si="1"/>
        <v>648</v>
      </c>
      <c r="F7" s="521">
        <f t="shared" si="2"/>
        <v>9936</v>
      </c>
      <c r="G7" s="521">
        <f t="shared" si="3"/>
        <v>2235.6000000000004</v>
      </c>
      <c r="H7" s="521">
        <f t="shared" si="4"/>
        <v>4471.2000000000007</v>
      </c>
      <c r="I7" s="521">
        <f t="shared" ref="I7:J8" si="12">8000*$B$2</f>
        <v>8640</v>
      </c>
      <c r="J7" s="521">
        <f t="shared" si="12"/>
        <v>8640</v>
      </c>
      <c r="K7" s="521">
        <f>1900*$B$2</f>
        <v>2052</v>
      </c>
      <c r="L7" s="521">
        <f t="shared" si="7"/>
        <v>1566</v>
      </c>
      <c r="M7" s="521">
        <f t="shared" si="8"/>
        <v>2268</v>
      </c>
      <c r="N7" s="521">
        <f t="shared" si="9"/>
        <v>7020.0000000000009</v>
      </c>
      <c r="O7" s="522">
        <f t="shared" si="10"/>
        <v>22437</v>
      </c>
      <c r="P7" s="522">
        <v>5170</v>
      </c>
      <c r="Q7" s="522" t="s">
        <v>1400</v>
      </c>
      <c r="R7" s="534" t="s">
        <v>704</v>
      </c>
      <c r="S7" s="534" t="s">
        <v>985</v>
      </c>
      <c r="T7" s="534" t="s">
        <v>984</v>
      </c>
      <c r="U7" s="49" t="s">
        <v>1403</v>
      </c>
      <c r="V7" s="534" t="s">
        <v>976</v>
      </c>
      <c r="X7" s="521">
        <f t="shared" si="11"/>
        <v>63039.6</v>
      </c>
      <c r="Y7" s="521">
        <f>IF('FD EQUIP 1'!$F$17="Embarcada",'AUX5-CUSTOS'!D7,IF('FD EQUIP 1'!$F$17="Não",0))</f>
        <v>5724</v>
      </c>
      <c r="Z7" s="521"/>
      <c r="AA7" s="532"/>
      <c r="AB7" s="521">
        <f>IF('FD EQUIP 1'!$F$32="Com Atuador",'AUX5-CUSTOS'!G7,0)</f>
        <v>2235.6000000000004</v>
      </c>
      <c r="AC7" s="521"/>
      <c r="AD7" s="521" cm="1">
        <f t="array" ref="AD7">IF('FD EQUIP 1'!$F$30:$F$30="Eletrônico",'AUX5-CUSTOS'!I7,0)</f>
        <v>0</v>
      </c>
      <c r="AE7" s="521">
        <f>IF('FD EQUIP 1'!$F$31="Proporcional",'AUX5-CUSTOS'!J7,0)</f>
        <v>8640</v>
      </c>
      <c r="AF7" s="521">
        <f>IF('FD EQUIP 1'!$F$38="Sim",'AUX5-CUSTOS'!K7,0)</f>
        <v>0</v>
      </c>
      <c r="AG7" s="521">
        <f>IF('FD EQUIP 1'!$F$35="Sim",'AUX5-CUSTOS'!L7,0)</f>
        <v>1566</v>
      </c>
      <c r="AH7" s="521">
        <f>IF('FD EQUIP 1'!$F$33="Sim",'AUX5-CUSTOS'!M7,0)</f>
        <v>0</v>
      </c>
      <c r="AI7" s="521">
        <f>IF('FD EQUIP 1'!$F$39="Sim",'AUX5-CUSTOS'!N7,0)</f>
        <v>0</v>
      </c>
      <c r="AJ7" s="521">
        <f>IF('FD EQUIP 1'!$F$41="Sim",'AUX5-CUSTOS'!O7,0)</f>
        <v>0</v>
      </c>
    </row>
    <row r="8" spans="1:36" x14ac:dyDescent="0.3">
      <c r="A8" t="s">
        <v>157</v>
      </c>
      <c r="B8" s="3" t="s">
        <v>916</v>
      </c>
      <c r="C8" s="521">
        <f>45550*B2</f>
        <v>49194</v>
      </c>
      <c r="D8" s="522">
        <f t="shared" si="0"/>
        <v>5724</v>
      </c>
      <c r="E8" s="521">
        <f t="shared" si="1"/>
        <v>648</v>
      </c>
      <c r="F8" s="521">
        <f t="shared" si="2"/>
        <v>9936</v>
      </c>
      <c r="G8" s="521">
        <f t="shared" si="3"/>
        <v>2235.6000000000004</v>
      </c>
      <c r="H8" s="521">
        <f t="shared" si="4"/>
        <v>4471.2000000000007</v>
      </c>
      <c r="I8" s="521">
        <f t="shared" si="12"/>
        <v>8640</v>
      </c>
      <c r="J8" s="521">
        <f t="shared" si="12"/>
        <v>8640</v>
      </c>
      <c r="K8" s="521">
        <f>2100*$B$2</f>
        <v>2268</v>
      </c>
      <c r="L8" s="521">
        <f t="shared" si="7"/>
        <v>1566</v>
      </c>
      <c r="M8" s="521">
        <f t="shared" si="8"/>
        <v>2268</v>
      </c>
      <c r="N8" s="521">
        <f t="shared" si="9"/>
        <v>7020.0000000000009</v>
      </c>
      <c r="O8" s="522">
        <f t="shared" si="10"/>
        <v>24597</v>
      </c>
      <c r="P8" s="522">
        <v>6700</v>
      </c>
      <c r="Q8" s="522" t="s">
        <v>1400</v>
      </c>
      <c r="R8" s="534" t="s">
        <v>704</v>
      </c>
      <c r="S8" s="534" t="s">
        <v>985</v>
      </c>
      <c r="T8" s="534" t="s">
        <v>984</v>
      </c>
      <c r="U8" s="49" t="s">
        <v>1403</v>
      </c>
      <c r="V8" s="534" t="s">
        <v>976</v>
      </c>
      <c r="X8" s="521">
        <f t="shared" si="11"/>
        <v>67359.600000000006</v>
      </c>
      <c r="Y8" s="521">
        <f>IF('FD EQUIP 1'!$F$17="Embarcada",'AUX5-CUSTOS'!D8,IF('FD EQUIP 1'!$F$17="Não",0))</f>
        <v>5724</v>
      </c>
      <c r="Z8" s="521"/>
      <c r="AA8" s="532"/>
      <c r="AB8" s="521">
        <f>IF('FD EQUIP 1'!$F$32="Com Atuador",'AUX5-CUSTOS'!G8,0)</f>
        <v>2235.6000000000004</v>
      </c>
      <c r="AC8" s="521"/>
      <c r="AD8" s="521" cm="1">
        <f t="array" ref="AD8">IF('FD EQUIP 1'!$F$30:$F$30="Eletrônico",'AUX5-CUSTOS'!I8,0)</f>
        <v>0</v>
      </c>
      <c r="AE8" s="521">
        <f>IF('FD EQUIP 1'!$F$31="Proporcional",'AUX5-CUSTOS'!J8,0)</f>
        <v>8640</v>
      </c>
      <c r="AF8" s="521">
        <f>IF('FD EQUIP 1'!$F$38="Sim",'AUX5-CUSTOS'!K8,0)</f>
        <v>0</v>
      </c>
      <c r="AG8" s="521">
        <f>IF('FD EQUIP 1'!$F$35="Sim",'AUX5-CUSTOS'!L8,0)</f>
        <v>1566</v>
      </c>
      <c r="AH8" s="521">
        <f>IF('FD EQUIP 1'!$F$33="Sim",'AUX5-CUSTOS'!M8,0)</f>
        <v>0</v>
      </c>
      <c r="AI8" s="521">
        <f>IF('FD EQUIP 1'!$F$39="Sim",'AUX5-CUSTOS'!N8,0)</f>
        <v>0</v>
      </c>
      <c r="AJ8" s="521">
        <f>IF('FD EQUIP 1'!$F$41="Sim",'AUX5-CUSTOS'!O8,0)</f>
        <v>0</v>
      </c>
    </row>
    <row r="9" spans="1:36" x14ac:dyDescent="0.3">
      <c r="A9" t="s">
        <v>157</v>
      </c>
      <c r="B9" s="3" t="s">
        <v>917</v>
      </c>
      <c r="C9" s="521">
        <f>60178*B2</f>
        <v>64992.240000000005</v>
      </c>
      <c r="D9" s="522">
        <f t="shared" si="0"/>
        <v>5724</v>
      </c>
      <c r="E9" s="521">
        <f t="shared" si="1"/>
        <v>648</v>
      </c>
      <c r="F9" s="521">
        <f t="shared" si="2"/>
        <v>9936</v>
      </c>
      <c r="G9" s="521">
        <f t="shared" si="3"/>
        <v>2235.6000000000004</v>
      </c>
      <c r="H9" s="521">
        <f t="shared" si="4"/>
        <v>4471.2000000000007</v>
      </c>
      <c r="I9" s="521">
        <f>13000*$B$2</f>
        <v>14040.000000000002</v>
      </c>
      <c r="J9" s="521">
        <f>13000*$B$2</f>
        <v>14040.000000000002</v>
      </c>
      <c r="K9" s="521">
        <f>2100*$B$2</f>
        <v>2268</v>
      </c>
      <c r="L9" s="521">
        <f t="shared" si="7"/>
        <v>1566</v>
      </c>
      <c r="M9" s="521">
        <f>3300*$B$2</f>
        <v>3564.0000000000005</v>
      </c>
      <c r="N9" s="521">
        <f>7500*$B$2</f>
        <v>8100.0000000000009</v>
      </c>
      <c r="O9" s="522">
        <f t="shared" si="10"/>
        <v>32496.12000000001</v>
      </c>
      <c r="P9" s="522">
        <v>7700</v>
      </c>
      <c r="Q9" s="522" t="s">
        <v>1400</v>
      </c>
      <c r="R9" s="534" t="s">
        <v>704</v>
      </c>
      <c r="S9" s="534" t="s">
        <v>985</v>
      </c>
      <c r="T9" s="534" t="s">
        <v>984</v>
      </c>
      <c r="U9" s="49" t="s">
        <v>1403</v>
      </c>
      <c r="V9" s="534" t="s">
        <v>976</v>
      </c>
      <c r="X9" s="521">
        <f t="shared" si="11"/>
        <v>88557.840000000011</v>
      </c>
      <c r="Y9" s="521">
        <f>IF('FD EQUIP 1'!$F$17="Embarcada",'AUX5-CUSTOS'!D9,IF('FD EQUIP 1'!$F$17="Não",0))</f>
        <v>5724</v>
      </c>
      <c r="Z9" s="521"/>
      <c r="AA9" s="532"/>
      <c r="AB9" s="521">
        <f>IF('FD EQUIP 1'!$F$32="Com Atuador",'AUX5-CUSTOS'!G9,0)</f>
        <v>2235.6000000000004</v>
      </c>
      <c r="AC9" s="521"/>
      <c r="AD9" s="521" cm="1">
        <f t="array" ref="AD9">IF('FD EQUIP 1'!$F$30:$F$30="Eletrônico",'AUX5-CUSTOS'!I9,0)</f>
        <v>0</v>
      </c>
      <c r="AE9" s="521">
        <f>IF('FD EQUIP 1'!$F$31="Proporcional",'AUX5-CUSTOS'!J9,0)</f>
        <v>14040.000000000002</v>
      </c>
      <c r="AF9" s="521">
        <f>IF('FD EQUIP 1'!$F$38="Sim",'AUX5-CUSTOS'!K9,0)</f>
        <v>0</v>
      </c>
      <c r="AG9" s="521">
        <f>IF('FD EQUIP 1'!$F$35="Sim",'AUX5-CUSTOS'!L9,0)</f>
        <v>1566</v>
      </c>
      <c r="AH9" s="521">
        <f>IF('FD EQUIP 1'!$F$33="Sim",'AUX5-CUSTOS'!M9,0)</f>
        <v>0</v>
      </c>
      <c r="AI9" s="521">
        <f>IF('FD EQUIP 1'!$F$39="Sim",'AUX5-CUSTOS'!N9,0)</f>
        <v>0</v>
      </c>
      <c r="AJ9" s="521">
        <f>IF('FD EQUIP 1'!$F$41="Sim",'AUX5-CUSTOS'!O9,0)</f>
        <v>0</v>
      </c>
    </row>
    <row r="10" spans="1:36" x14ac:dyDescent="0.3">
      <c r="A10" t="s">
        <v>157</v>
      </c>
      <c r="B10" s="3" t="s">
        <v>918</v>
      </c>
      <c r="C10" s="521">
        <f>73520*B2</f>
        <v>79401.600000000006</v>
      </c>
      <c r="D10" s="522">
        <f t="shared" si="0"/>
        <v>5724</v>
      </c>
      <c r="E10" s="521">
        <f t="shared" si="1"/>
        <v>648</v>
      </c>
      <c r="F10" s="521">
        <f t="shared" si="2"/>
        <v>9936</v>
      </c>
      <c r="G10" s="521">
        <f t="shared" si="3"/>
        <v>2235.6000000000004</v>
      </c>
      <c r="H10" s="521">
        <f t="shared" si="4"/>
        <v>4471.2000000000007</v>
      </c>
      <c r="I10" s="521">
        <f t="shared" ref="I10:J11" si="13">13000*$B$2</f>
        <v>14040.000000000002</v>
      </c>
      <c r="J10" s="521">
        <f t="shared" si="13"/>
        <v>14040.000000000002</v>
      </c>
      <c r="K10" s="521">
        <f>2300*$B$2</f>
        <v>2484</v>
      </c>
      <c r="L10" s="521">
        <f t="shared" si="7"/>
        <v>1566</v>
      </c>
      <c r="M10" s="521">
        <f t="shared" ref="M10:M11" si="14">3300*$B$2</f>
        <v>3564.0000000000005</v>
      </c>
      <c r="N10" s="521">
        <f t="shared" ref="N10:N11" si="15">7500*$B$2</f>
        <v>8100.0000000000009</v>
      </c>
      <c r="O10" s="522">
        <f t="shared" si="10"/>
        <v>39700.800000000003</v>
      </c>
      <c r="P10" s="522">
        <v>9500</v>
      </c>
      <c r="Q10" s="522" t="s">
        <v>1400</v>
      </c>
      <c r="R10" s="534" t="s">
        <v>704</v>
      </c>
      <c r="S10" s="534" t="s">
        <v>985</v>
      </c>
      <c r="T10" s="534" t="s">
        <v>984</v>
      </c>
      <c r="U10" s="49" t="s">
        <v>1403</v>
      </c>
      <c r="V10" s="534" t="s">
        <v>976</v>
      </c>
      <c r="X10" s="521">
        <f t="shared" si="11"/>
        <v>102967.20000000001</v>
      </c>
      <c r="Y10" s="521">
        <f>IF('FD EQUIP 1'!$F$17="Embarcada",'AUX5-CUSTOS'!D10,IF('FD EQUIP 1'!$F$17="Não",0))</f>
        <v>5724</v>
      </c>
      <c r="Z10" s="521"/>
      <c r="AA10" s="532"/>
      <c r="AB10" s="521">
        <f>IF('FD EQUIP 1'!$F$32="Com Atuador",'AUX5-CUSTOS'!G10,0)</f>
        <v>2235.6000000000004</v>
      </c>
      <c r="AC10" s="521"/>
      <c r="AD10" s="521" cm="1">
        <f t="array" ref="AD10">IF('FD EQUIP 1'!$F$30:$F$30="Eletrônico",'AUX5-CUSTOS'!I10,0)</f>
        <v>0</v>
      </c>
      <c r="AE10" s="521">
        <f>IF('FD EQUIP 1'!$F$31="Proporcional",'AUX5-CUSTOS'!J10,0)</f>
        <v>14040.000000000002</v>
      </c>
      <c r="AF10" s="521">
        <f>IF('FD EQUIP 1'!$F$38="Sim",'AUX5-CUSTOS'!K10,0)</f>
        <v>0</v>
      </c>
      <c r="AG10" s="521">
        <f>IF('FD EQUIP 1'!$F$35="Sim",'AUX5-CUSTOS'!L10,0)</f>
        <v>1566</v>
      </c>
      <c r="AH10" s="521">
        <f>IF('FD EQUIP 1'!$F$33="Sim",'AUX5-CUSTOS'!M10,0)</f>
        <v>0</v>
      </c>
      <c r="AI10" s="521">
        <f>IF('FD EQUIP 1'!$F$39="Sim",'AUX5-CUSTOS'!N10,0)</f>
        <v>0</v>
      </c>
      <c r="AJ10" s="521">
        <f>IF('FD EQUIP 1'!$F$41="Sim",'AUX5-CUSTOS'!O10,0)</f>
        <v>0</v>
      </c>
    </row>
    <row r="11" spans="1:36" x14ac:dyDescent="0.3">
      <c r="A11" t="s">
        <v>157</v>
      </c>
      <c r="B11" s="3" t="s">
        <v>919</v>
      </c>
      <c r="C11" s="521">
        <f>80877*B2</f>
        <v>87347.16</v>
      </c>
      <c r="D11" s="522">
        <v>0</v>
      </c>
      <c r="E11" s="521">
        <f t="shared" si="1"/>
        <v>648</v>
      </c>
      <c r="F11" s="521">
        <f t="shared" si="2"/>
        <v>9936</v>
      </c>
      <c r="G11" s="521">
        <f t="shared" si="3"/>
        <v>2235.6000000000004</v>
      </c>
      <c r="H11" s="521">
        <f t="shared" si="4"/>
        <v>4471.2000000000007</v>
      </c>
      <c r="I11" s="521">
        <f t="shared" si="13"/>
        <v>14040.000000000002</v>
      </c>
      <c r="J11" s="521">
        <f t="shared" si="13"/>
        <v>14040.000000000002</v>
      </c>
      <c r="K11" s="521">
        <f>2300*$B$2</f>
        <v>2484</v>
      </c>
      <c r="L11" s="521">
        <f t="shared" si="7"/>
        <v>1566</v>
      </c>
      <c r="M11" s="521">
        <f t="shared" si="14"/>
        <v>3564.0000000000005</v>
      </c>
      <c r="N11" s="521">
        <f t="shared" si="15"/>
        <v>8100.0000000000009</v>
      </c>
      <c r="O11" s="522">
        <f t="shared" si="10"/>
        <v>43673.58</v>
      </c>
      <c r="P11" s="522">
        <v>11000</v>
      </c>
      <c r="Q11" s="522" t="s">
        <v>1400</v>
      </c>
      <c r="R11" s="534" t="s">
        <v>704</v>
      </c>
      <c r="S11" s="534" t="s">
        <v>985</v>
      </c>
      <c r="T11" s="534" t="s">
        <v>984</v>
      </c>
      <c r="U11" s="49" t="s">
        <v>1403</v>
      </c>
      <c r="V11" s="534" t="s">
        <v>976</v>
      </c>
      <c r="X11" s="521">
        <f t="shared" si="11"/>
        <v>105188.76000000001</v>
      </c>
      <c r="Y11" s="521">
        <f>IF('FD EQUIP 1'!$F$17="Embarcada",'AUX5-CUSTOS'!D11,IF('FD EQUIP 1'!$F$17="Não",0))</f>
        <v>0</v>
      </c>
      <c r="Z11" s="521"/>
      <c r="AA11" s="532"/>
      <c r="AB11" s="521">
        <f>IF('FD EQUIP 1'!$F$32="Com Atuador",'AUX5-CUSTOS'!G11,0)</f>
        <v>2235.6000000000004</v>
      </c>
      <c r="AC11" s="521"/>
      <c r="AD11" s="521" cm="1">
        <f t="array" ref="AD11">IF('FD EQUIP 1'!$F$30:$F$30="Eletrônico",'AUX5-CUSTOS'!I11,0)</f>
        <v>0</v>
      </c>
      <c r="AE11" s="521">
        <f>IF('FD EQUIP 1'!$F$31="Proporcional",'AUX5-CUSTOS'!J11,0)</f>
        <v>14040.000000000002</v>
      </c>
      <c r="AF11" s="521">
        <f>IF('FD EQUIP 1'!$F$38="Sim",'AUX5-CUSTOS'!K11,0)</f>
        <v>0</v>
      </c>
      <c r="AG11" s="521">
        <f>IF('FD EQUIP 1'!$F$35="Sim",'AUX5-CUSTOS'!L11,0)</f>
        <v>1566</v>
      </c>
      <c r="AH11" s="521">
        <f>IF('FD EQUIP 1'!$F$33="Sim",'AUX5-CUSTOS'!M11,0)</f>
        <v>0</v>
      </c>
      <c r="AI11" s="521">
        <f>IF('FD EQUIP 1'!$F$39="Sim",'AUX5-CUSTOS'!N11,0)</f>
        <v>0</v>
      </c>
      <c r="AJ11" s="521">
        <f>IF('FD EQUIP 1'!$F$41="Sim",'AUX5-CUSTOS'!O11,0)</f>
        <v>0</v>
      </c>
    </row>
    <row r="12" spans="1:36" x14ac:dyDescent="0.3">
      <c r="A12" t="s">
        <v>157</v>
      </c>
      <c r="B12" s="3" t="s">
        <v>920</v>
      </c>
      <c r="C12" s="521">
        <f>102630*B2</f>
        <v>110840.40000000001</v>
      </c>
      <c r="D12" s="522">
        <v>0</v>
      </c>
      <c r="E12" s="521">
        <f t="shared" si="1"/>
        <v>648</v>
      </c>
      <c r="F12" s="521">
        <f t="shared" si="2"/>
        <v>9936</v>
      </c>
      <c r="G12" s="521">
        <f t="shared" si="3"/>
        <v>2235.6000000000004</v>
      </c>
      <c r="H12" s="521">
        <f t="shared" si="4"/>
        <v>4471.2000000000007</v>
      </c>
      <c r="I12" s="521">
        <f>16000*$B$2</f>
        <v>17280</v>
      </c>
      <c r="J12" s="521">
        <f>16000*$B$2</f>
        <v>17280</v>
      </c>
      <c r="K12" s="521">
        <f>2800*$B$2</f>
        <v>3024</v>
      </c>
      <c r="L12" s="521">
        <f t="shared" si="7"/>
        <v>1566</v>
      </c>
      <c r="M12" s="521">
        <f>4500*$B$2</f>
        <v>4860</v>
      </c>
      <c r="N12" s="521">
        <f>8500*$B$2</f>
        <v>9180</v>
      </c>
      <c r="O12" s="522">
        <f t="shared" si="10"/>
        <v>55420.2</v>
      </c>
      <c r="P12" s="522">
        <v>11500</v>
      </c>
      <c r="Q12" s="522" t="s">
        <v>1400</v>
      </c>
      <c r="R12" s="534" t="s">
        <v>704</v>
      </c>
      <c r="S12" s="534" t="s">
        <v>985</v>
      </c>
      <c r="T12" s="534" t="s">
        <v>984</v>
      </c>
      <c r="U12" s="49" t="s">
        <v>1403</v>
      </c>
      <c r="V12" s="534" t="s">
        <v>976</v>
      </c>
      <c r="X12" s="521">
        <f t="shared" si="11"/>
        <v>131922</v>
      </c>
      <c r="Y12" s="521">
        <f>IF('FD EQUIP 1'!$F$17="Embarcada",'AUX5-CUSTOS'!D12,IF('FD EQUIP 1'!$F$17="Não",0))</f>
        <v>0</v>
      </c>
      <c r="Z12" s="521"/>
      <c r="AA12" s="532"/>
      <c r="AB12" s="521">
        <f>IF('FD EQUIP 1'!$F$32="Com Atuador",'AUX5-CUSTOS'!G12,0)</f>
        <v>2235.6000000000004</v>
      </c>
      <c r="AC12" s="521"/>
      <c r="AD12" s="521" cm="1">
        <f t="array" ref="AD12">IF('FD EQUIP 1'!$F$30:$F$30="Eletrônico",'AUX5-CUSTOS'!I12,0)</f>
        <v>0</v>
      </c>
      <c r="AE12" s="521">
        <f>IF('FD EQUIP 1'!$F$31="Proporcional",'AUX5-CUSTOS'!J12,0)</f>
        <v>17280</v>
      </c>
      <c r="AF12" s="521">
        <f>IF('FD EQUIP 1'!$F$38="Sim",'AUX5-CUSTOS'!K12,0)</f>
        <v>0</v>
      </c>
      <c r="AG12" s="521">
        <f>IF('FD EQUIP 1'!$F$35="Sim",'AUX5-CUSTOS'!L12,0)</f>
        <v>1566</v>
      </c>
      <c r="AH12" s="521">
        <f>IF('FD EQUIP 1'!$F$33="Sim",'AUX5-CUSTOS'!M12,0)</f>
        <v>0</v>
      </c>
      <c r="AI12" s="521">
        <f>IF('FD EQUIP 1'!$F$39="Sim",'AUX5-CUSTOS'!N12,0)</f>
        <v>0</v>
      </c>
      <c r="AJ12" s="521">
        <f>IF('FD EQUIP 1'!$F$41="Sim",'AUX5-CUSTOS'!O12,0)</f>
        <v>0</v>
      </c>
    </row>
    <row r="13" spans="1:36" x14ac:dyDescent="0.3">
      <c r="A13" t="s">
        <v>157</v>
      </c>
      <c r="B13" s="3" t="s">
        <v>921</v>
      </c>
      <c r="C13" s="521">
        <f>118350*B2</f>
        <v>127818.00000000001</v>
      </c>
      <c r="D13" s="522">
        <v>0</v>
      </c>
      <c r="E13" s="521">
        <f t="shared" si="1"/>
        <v>648</v>
      </c>
      <c r="F13" s="521">
        <f t="shared" si="2"/>
        <v>9936</v>
      </c>
      <c r="G13" s="521">
        <f t="shared" si="3"/>
        <v>2235.6000000000004</v>
      </c>
      <c r="H13" s="521">
        <f t="shared" si="4"/>
        <v>4471.2000000000007</v>
      </c>
      <c r="I13" s="521">
        <f t="shared" ref="I13:J14" si="16">16000*$B$2</f>
        <v>17280</v>
      </c>
      <c r="J13" s="521">
        <f t="shared" si="16"/>
        <v>17280</v>
      </c>
      <c r="K13" s="521">
        <f t="shared" ref="K13:K14" si="17">2800*$B$2</f>
        <v>3024</v>
      </c>
      <c r="L13" s="521">
        <f t="shared" si="7"/>
        <v>1566</v>
      </c>
      <c r="M13" s="521">
        <f t="shared" ref="M13:M14" si="18">4500*$B$2</f>
        <v>4860</v>
      </c>
      <c r="N13" s="521">
        <f t="shared" ref="N13:N14" si="19">8500*$B$2</f>
        <v>9180</v>
      </c>
      <c r="O13" s="522">
        <f t="shared" si="10"/>
        <v>63909.000000000015</v>
      </c>
      <c r="P13" s="522" t="s">
        <v>1402</v>
      </c>
      <c r="Q13" s="522" t="s">
        <v>1400</v>
      </c>
      <c r="R13" s="534" t="s">
        <v>704</v>
      </c>
      <c r="S13" s="534" t="s">
        <v>985</v>
      </c>
      <c r="T13" s="534" t="s">
        <v>984</v>
      </c>
      <c r="U13" s="49" t="s">
        <v>1403</v>
      </c>
      <c r="V13" s="534" t="s">
        <v>976</v>
      </c>
      <c r="X13" s="521">
        <f t="shared" si="11"/>
        <v>148899.60000000003</v>
      </c>
      <c r="Y13" s="521">
        <f>IF('FD EQUIP 1'!$F$17="Embarcada",'AUX5-CUSTOS'!D13,IF('FD EQUIP 1'!$F$17="Não",0))</f>
        <v>0</v>
      </c>
      <c r="Z13" s="521"/>
      <c r="AA13" s="532"/>
      <c r="AB13" s="521">
        <f>IF('FD EQUIP 1'!$F$32="Com Atuador",'AUX5-CUSTOS'!G13,0)</f>
        <v>2235.6000000000004</v>
      </c>
      <c r="AC13" s="521"/>
      <c r="AD13" s="521" cm="1">
        <f t="array" ref="AD13">IF('FD EQUIP 1'!$F$30:$F$30="Eletrônico",'AUX5-CUSTOS'!I13,0)</f>
        <v>0</v>
      </c>
      <c r="AE13" s="521">
        <f>IF('FD EQUIP 1'!$F$31="Proporcional",'AUX5-CUSTOS'!J13,0)</f>
        <v>17280</v>
      </c>
      <c r="AF13" s="521">
        <f>IF('FD EQUIP 1'!$F$38="Sim",'AUX5-CUSTOS'!K13,0)</f>
        <v>0</v>
      </c>
      <c r="AG13" s="521">
        <f>IF('FD EQUIP 1'!$F$35="Sim",'AUX5-CUSTOS'!L13,0)</f>
        <v>1566</v>
      </c>
      <c r="AH13" s="521">
        <f>IF('FD EQUIP 1'!$F$33="Sim",'AUX5-CUSTOS'!M13,0)</f>
        <v>0</v>
      </c>
      <c r="AI13" s="521">
        <f>IF('FD EQUIP 1'!$F$39="Sim",'AUX5-CUSTOS'!N13,0)</f>
        <v>0</v>
      </c>
      <c r="AJ13" s="521">
        <f>IF('FD EQUIP 1'!$F$41="Sim",'AUX5-CUSTOS'!O13,0)</f>
        <v>0</v>
      </c>
    </row>
    <row r="14" spans="1:36" x14ac:dyDescent="0.3">
      <c r="A14" t="s">
        <v>157</v>
      </c>
      <c r="B14" s="3" t="s">
        <v>922</v>
      </c>
      <c r="C14" s="521">
        <f>160800</f>
        <v>160800</v>
      </c>
      <c r="D14" s="522">
        <v>0</v>
      </c>
      <c r="E14" s="521">
        <f t="shared" si="1"/>
        <v>648</v>
      </c>
      <c r="F14" s="521">
        <f t="shared" si="2"/>
        <v>9936</v>
      </c>
      <c r="G14" s="521">
        <f t="shared" si="3"/>
        <v>2235.6000000000004</v>
      </c>
      <c r="H14" s="521">
        <f t="shared" si="4"/>
        <v>4471.2000000000007</v>
      </c>
      <c r="I14" s="521">
        <f t="shared" si="16"/>
        <v>17280</v>
      </c>
      <c r="J14" s="521">
        <f t="shared" si="16"/>
        <v>17280</v>
      </c>
      <c r="K14" s="521">
        <f t="shared" si="17"/>
        <v>3024</v>
      </c>
      <c r="L14" s="521">
        <f t="shared" si="7"/>
        <v>1566</v>
      </c>
      <c r="M14" s="521">
        <f t="shared" si="18"/>
        <v>4860</v>
      </c>
      <c r="N14" s="521">
        <f t="shared" si="19"/>
        <v>9180</v>
      </c>
      <c r="O14" s="522">
        <f t="shared" si="10"/>
        <v>80400</v>
      </c>
      <c r="P14" s="522" t="s">
        <v>1402</v>
      </c>
      <c r="Q14" s="522" t="s">
        <v>1400</v>
      </c>
      <c r="R14" s="534" t="s">
        <v>704</v>
      </c>
      <c r="S14" s="534" t="s">
        <v>985</v>
      </c>
      <c r="T14" s="534" t="s">
        <v>984</v>
      </c>
      <c r="U14" s="49" t="s">
        <v>1403</v>
      </c>
      <c r="V14" s="534" t="s">
        <v>976</v>
      </c>
      <c r="X14" s="521">
        <f t="shared" si="11"/>
        <v>181881.60000000001</v>
      </c>
      <c r="Y14" s="521">
        <f>IF('FD EQUIP 1'!$F$17="Embarcada",'AUX5-CUSTOS'!D14,IF('FD EQUIP 1'!$F$17="Não",0))</f>
        <v>0</v>
      </c>
      <c r="Z14" s="521"/>
      <c r="AA14" s="532"/>
      <c r="AB14" s="521">
        <f>IF('FD EQUIP 1'!$F$32="Com Atuador",'AUX5-CUSTOS'!G14,0)</f>
        <v>2235.6000000000004</v>
      </c>
      <c r="AC14" s="521"/>
      <c r="AD14" s="521" cm="1">
        <f t="array" ref="AD14">IF('FD EQUIP 1'!$F$30:$F$30="Eletrônico",'AUX5-CUSTOS'!I14,0)</f>
        <v>0</v>
      </c>
      <c r="AE14" s="521">
        <f>IF('FD EQUIP 1'!$F$31="Proporcional",'AUX5-CUSTOS'!J14,0)</f>
        <v>17280</v>
      </c>
      <c r="AF14" s="521">
        <f>IF('FD EQUIP 1'!$F$38="Sim",'AUX5-CUSTOS'!K14,0)</f>
        <v>0</v>
      </c>
      <c r="AG14" s="521">
        <f>IF('FD EQUIP 1'!$F$35="Sim",'AUX5-CUSTOS'!L14,0)</f>
        <v>1566</v>
      </c>
      <c r="AH14" s="521">
        <f>IF('FD EQUIP 1'!$F$33="Sim",'AUX5-CUSTOS'!M14,0)</f>
        <v>0</v>
      </c>
      <c r="AI14" s="521">
        <f>IF('FD EQUIP 1'!$F$39="Sim",'AUX5-CUSTOS'!N14,0)</f>
        <v>0</v>
      </c>
      <c r="AJ14" s="521">
        <f>IF('FD EQUIP 1'!$F$41="Sim",'AUX5-CUSTOS'!O14,0)</f>
        <v>0</v>
      </c>
    </row>
    <row r="15" spans="1:36" x14ac:dyDescent="0.3">
      <c r="R15" s="534"/>
      <c r="S15" s="534"/>
      <c r="T15" s="534"/>
      <c r="X15" s="529"/>
    </row>
    <row r="16" spans="1:36" x14ac:dyDescent="0.3">
      <c r="C16" s="528" t="s">
        <v>935</v>
      </c>
      <c r="D16" s="528" t="s">
        <v>885</v>
      </c>
      <c r="E16" s="528" t="s">
        <v>936</v>
      </c>
      <c r="F16" s="528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291"/>
      <c r="Q16" s="291"/>
      <c r="R16" s="533" t="s">
        <v>956</v>
      </c>
      <c r="S16" s="533" t="s">
        <v>697</v>
      </c>
      <c r="T16" s="533" t="s">
        <v>696</v>
      </c>
      <c r="U16" s="533" t="s">
        <v>701</v>
      </c>
      <c r="V16" s="533" t="s">
        <v>986</v>
      </c>
    </row>
    <row r="17" spans="1:20" x14ac:dyDescent="0.3">
      <c r="A17" t="s">
        <v>177</v>
      </c>
      <c r="B17" s="6" t="s">
        <v>907</v>
      </c>
      <c r="C17" s="137"/>
      <c r="R17" s="534"/>
      <c r="S17" s="534"/>
      <c r="T17" s="534"/>
    </row>
    <row r="18" spans="1:20" x14ac:dyDescent="0.3">
      <c r="A18" t="s">
        <v>177</v>
      </c>
      <c r="B18" s="6" t="s">
        <v>911</v>
      </c>
      <c r="C18" s="530">
        <v>7900</v>
      </c>
      <c r="R18" s="534"/>
      <c r="S18" s="534"/>
      <c r="T18" s="534"/>
    </row>
    <row r="19" spans="1:20" x14ac:dyDescent="0.3">
      <c r="A19" t="s">
        <v>177</v>
      </c>
      <c r="B19" s="6" t="s">
        <v>913</v>
      </c>
      <c r="C19" s="530">
        <v>8945</v>
      </c>
      <c r="R19" s="534"/>
      <c r="S19" s="534"/>
      <c r="T19" s="534"/>
    </row>
    <row r="20" spans="1:20" x14ac:dyDescent="0.3">
      <c r="A20" t="s">
        <v>177</v>
      </c>
      <c r="B20" s="6" t="s">
        <v>914</v>
      </c>
      <c r="C20" s="137" t="s">
        <v>7</v>
      </c>
      <c r="R20" s="534"/>
      <c r="S20" s="534"/>
      <c r="T20" s="534"/>
    </row>
    <row r="21" spans="1:20" x14ac:dyDescent="0.3">
      <c r="A21" t="s">
        <v>177</v>
      </c>
      <c r="B21" s="6" t="s">
        <v>915</v>
      </c>
      <c r="C21" s="530">
        <v>11480</v>
      </c>
      <c r="R21" s="534"/>
      <c r="S21" s="534"/>
      <c r="T21" s="534"/>
    </row>
    <row r="22" spans="1:20" x14ac:dyDescent="0.3">
      <c r="A22" t="s">
        <v>177</v>
      </c>
      <c r="B22" s="3" t="s">
        <v>916</v>
      </c>
      <c r="C22" s="530">
        <v>14200</v>
      </c>
      <c r="R22" s="534"/>
      <c r="S22" s="534"/>
      <c r="T22" s="534"/>
    </row>
    <row r="23" spans="1:20" x14ac:dyDescent="0.3">
      <c r="A23" t="s">
        <v>177</v>
      </c>
      <c r="B23" s="3" t="s">
        <v>917</v>
      </c>
      <c r="C23" s="530">
        <v>20100</v>
      </c>
      <c r="R23" s="534"/>
      <c r="S23" s="534"/>
      <c r="T23" s="534"/>
    </row>
    <row r="24" spans="1:20" x14ac:dyDescent="0.3">
      <c r="A24" t="s">
        <v>177</v>
      </c>
      <c r="B24" s="3" t="s">
        <v>918</v>
      </c>
      <c r="C24" s="530">
        <v>22700</v>
      </c>
      <c r="R24" s="534"/>
      <c r="S24" s="534"/>
      <c r="T24" s="534"/>
    </row>
    <row r="25" spans="1:20" x14ac:dyDescent="0.3">
      <c r="A25" t="s">
        <v>177</v>
      </c>
      <c r="B25" s="3" t="s">
        <v>919</v>
      </c>
      <c r="C25" s="530">
        <v>25200</v>
      </c>
      <c r="R25" s="534"/>
      <c r="S25" s="534"/>
      <c r="T25" s="534"/>
    </row>
    <row r="26" spans="1:20" x14ac:dyDescent="0.3">
      <c r="A26" t="s">
        <v>177</v>
      </c>
      <c r="B26" s="3" t="s">
        <v>920</v>
      </c>
      <c r="C26" s="530">
        <v>38900</v>
      </c>
      <c r="R26" s="534"/>
      <c r="S26" s="534"/>
      <c r="T26" s="534"/>
    </row>
    <row r="27" spans="1:20" x14ac:dyDescent="0.3">
      <c r="A27" t="s">
        <v>177</v>
      </c>
      <c r="B27" s="3" t="s">
        <v>921</v>
      </c>
      <c r="C27" s="530">
        <v>45900</v>
      </c>
      <c r="R27" s="534"/>
      <c r="S27" s="534"/>
      <c r="T27" s="534"/>
    </row>
    <row r="28" spans="1:20" x14ac:dyDescent="0.3">
      <c r="A28" t="s">
        <v>177</v>
      </c>
      <c r="B28" s="3" t="s">
        <v>922</v>
      </c>
      <c r="C28" s="530">
        <v>52990</v>
      </c>
      <c r="R28" s="534"/>
      <c r="S28" s="534"/>
      <c r="T28" s="534"/>
    </row>
    <row r="29" spans="1:20" x14ac:dyDescent="0.3">
      <c r="A29" t="s">
        <v>177</v>
      </c>
      <c r="B29" s="49" t="s">
        <v>923</v>
      </c>
      <c r="C29" s="530">
        <v>62500</v>
      </c>
    </row>
    <row r="30" spans="1:20" x14ac:dyDescent="0.3">
      <c r="A30" t="s">
        <v>177</v>
      </c>
      <c r="B30" s="3" t="s">
        <v>924</v>
      </c>
      <c r="C30" s="530">
        <v>73200</v>
      </c>
    </row>
    <row r="31" spans="1:20" x14ac:dyDescent="0.3">
      <c r="A31" t="s">
        <v>177</v>
      </c>
      <c r="B31" s="49" t="s">
        <v>925</v>
      </c>
    </row>
    <row r="32" spans="1:20" x14ac:dyDescent="0.3">
      <c r="A32" t="s">
        <v>177</v>
      </c>
      <c r="B32" s="3" t="s">
        <v>926</v>
      </c>
    </row>
    <row r="33" spans="1:22" x14ac:dyDescent="0.3">
      <c r="A33" t="s">
        <v>177</v>
      </c>
      <c r="B33" s="49" t="s">
        <v>927</v>
      </c>
    </row>
    <row r="34" spans="1:22" x14ac:dyDescent="0.3">
      <c r="A34" t="s">
        <v>177</v>
      </c>
      <c r="B34" s="3" t="s">
        <v>928</v>
      </c>
    </row>
    <row r="35" spans="1:22" x14ac:dyDescent="0.3">
      <c r="C35" s="528" t="s">
        <v>935</v>
      </c>
      <c r="D35" s="528" t="s">
        <v>885</v>
      </c>
      <c r="E35" s="528" t="s">
        <v>936</v>
      </c>
      <c r="F35" s="528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291"/>
      <c r="Q35" s="291"/>
      <c r="R35" s="533" t="s">
        <v>956</v>
      </c>
      <c r="S35" s="533" t="s">
        <v>697</v>
      </c>
      <c r="T35" s="533" t="s">
        <v>696</v>
      </c>
      <c r="U35" s="533" t="s">
        <v>701</v>
      </c>
      <c r="V35" s="533" t="s">
        <v>986</v>
      </c>
    </row>
    <row r="36" spans="1:22" x14ac:dyDescent="0.3">
      <c r="A36" t="s">
        <v>954</v>
      </c>
      <c r="B36" s="6" t="s">
        <v>907</v>
      </c>
      <c r="C36" s="137"/>
    </row>
    <row r="37" spans="1:22" x14ac:dyDescent="0.3">
      <c r="A37" t="s">
        <v>954</v>
      </c>
      <c r="B37" s="6" t="s">
        <v>911</v>
      </c>
      <c r="C37" s="530">
        <f>7900*1.5</f>
        <v>11850</v>
      </c>
    </row>
    <row r="38" spans="1:22" x14ac:dyDescent="0.3">
      <c r="A38" t="s">
        <v>954</v>
      </c>
      <c r="B38" s="6" t="s">
        <v>913</v>
      </c>
      <c r="C38" s="530">
        <f>8945*1.5</f>
        <v>13417.5</v>
      </c>
    </row>
    <row r="39" spans="1:22" x14ac:dyDescent="0.3">
      <c r="A39" t="s">
        <v>954</v>
      </c>
      <c r="B39" s="6" t="s">
        <v>914</v>
      </c>
      <c r="C39" s="137" t="s">
        <v>7</v>
      </c>
    </row>
    <row r="40" spans="1:22" x14ac:dyDescent="0.3">
      <c r="A40" t="s">
        <v>954</v>
      </c>
      <c r="B40" s="6" t="s">
        <v>915</v>
      </c>
      <c r="C40" s="530">
        <f>11480*1.5</f>
        <v>17220</v>
      </c>
    </row>
    <row r="41" spans="1:22" x14ac:dyDescent="0.3">
      <c r="A41" t="s">
        <v>954</v>
      </c>
      <c r="B41" s="3" t="s">
        <v>916</v>
      </c>
      <c r="C41" s="530">
        <f>14200*1.5</f>
        <v>21300</v>
      </c>
    </row>
    <row r="42" spans="1:22" x14ac:dyDescent="0.3">
      <c r="A42" t="s">
        <v>954</v>
      </c>
      <c r="B42" s="3" t="s">
        <v>917</v>
      </c>
      <c r="C42" s="530">
        <f>20100*1.5</f>
        <v>30150</v>
      </c>
    </row>
    <row r="43" spans="1:22" x14ac:dyDescent="0.3">
      <c r="A43" t="s">
        <v>954</v>
      </c>
      <c r="B43" s="3" t="s">
        <v>918</v>
      </c>
      <c r="C43" s="530">
        <f>22700*1.5</f>
        <v>34050</v>
      </c>
    </row>
    <row r="44" spans="1:22" x14ac:dyDescent="0.3">
      <c r="A44" t="s">
        <v>954</v>
      </c>
      <c r="B44" s="3" t="s">
        <v>919</v>
      </c>
      <c r="C44" s="530">
        <f>25200*1.5</f>
        <v>37800</v>
      </c>
    </row>
    <row r="45" spans="1:22" x14ac:dyDescent="0.3">
      <c r="A45" t="s">
        <v>954</v>
      </c>
      <c r="B45" s="3" t="s">
        <v>920</v>
      </c>
      <c r="C45" s="530">
        <f>38900*1.5</f>
        <v>58350</v>
      </c>
    </row>
    <row r="46" spans="1:22" x14ac:dyDescent="0.3">
      <c r="A46" t="s">
        <v>954</v>
      </c>
      <c r="B46" s="3" t="s">
        <v>921</v>
      </c>
      <c r="C46" s="530">
        <f>45900*1.5</f>
        <v>68850</v>
      </c>
    </row>
    <row r="47" spans="1:22" x14ac:dyDescent="0.3">
      <c r="A47" t="s">
        <v>954</v>
      </c>
      <c r="B47" s="3" t="s">
        <v>922</v>
      </c>
      <c r="C47" s="530">
        <f>52990*1.5</f>
        <v>79485</v>
      </c>
    </row>
    <row r="48" spans="1:22" x14ac:dyDescent="0.3">
      <c r="A48" t="s">
        <v>954</v>
      </c>
      <c r="B48" s="49" t="s">
        <v>923</v>
      </c>
      <c r="C48" s="530">
        <f>62500*1.5</f>
        <v>93750</v>
      </c>
    </row>
    <row r="49" spans="1:22" x14ac:dyDescent="0.3">
      <c r="A49" t="s">
        <v>954</v>
      </c>
      <c r="B49" s="3" t="s">
        <v>924</v>
      </c>
      <c r="C49" s="530">
        <f>73200*1.5</f>
        <v>109800</v>
      </c>
    </row>
    <row r="50" spans="1:22" x14ac:dyDescent="0.3">
      <c r="A50" t="s">
        <v>954</v>
      </c>
      <c r="B50" s="49" t="s">
        <v>925</v>
      </c>
    </row>
    <row r="51" spans="1:22" x14ac:dyDescent="0.3">
      <c r="A51" t="s">
        <v>954</v>
      </c>
      <c r="B51" s="3" t="s">
        <v>926</v>
      </c>
    </row>
    <row r="52" spans="1:22" x14ac:dyDescent="0.3">
      <c r="A52" t="s">
        <v>954</v>
      </c>
      <c r="B52" s="49" t="s">
        <v>927</v>
      </c>
    </row>
    <row r="53" spans="1:22" x14ac:dyDescent="0.3">
      <c r="A53" t="s">
        <v>954</v>
      </c>
      <c r="B53" s="3" t="s">
        <v>928</v>
      </c>
    </row>
    <row r="54" spans="1:22" x14ac:dyDescent="0.3">
      <c r="C54" s="528" t="s">
        <v>935</v>
      </c>
      <c r="D54" s="528" t="s">
        <v>901</v>
      </c>
      <c r="E54" s="528" t="s">
        <v>980</v>
      </c>
      <c r="F54" s="528" t="s">
        <v>981</v>
      </c>
      <c r="G54" s="291" t="s">
        <v>989</v>
      </c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533" t="s">
        <v>956</v>
      </c>
      <c r="S54" s="533" t="s">
        <v>697</v>
      </c>
      <c r="T54" s="533" t="s">
        <v>696</v>
      </c>
      <c r="U54" s="533" t="s">
        <v>701</v>
      </c>
      <c r="V54" s="533" t="s">
        <v>986</v>
      </c>
    </row>
    <row r="55" spans="1:22" x14ac:dyDescent="0.3">
      <c r="A55" t="s">
        <v>978</v>
      </c>
      <c r="B55" s="6" t="s">
        <v>870</v>
      </c>
      <c r="G55" s="521">
        <v>1200</v>
      </c>
    </row>
    <row r="56" spans="1:22" x14ac:dyDescent="0.3">
      <c r="A56" t="s">
        <v>978</v>
      </c>
      <c r="B56" s="3" t="s">
        <v>987</v>
      </c>
      <c r="G56" s="521">
        <v>1200</v>
      </c>
    </row>
    <row r="57" spans="1:22" x14ac:dyDescent="0.3">
      <c r="A57" t="s">
        <v>978</v>
      </c>
      <c r="B57" s="3" t="s">
        <v>871</v>
      </c>
      <c r="C57" s="521">
        <f>4600</f>
        <v>4600</v>
      </c>
      <c r="D57" s="521">
        <f>C57*1.42</f>
        <v>6532</v>
      </c>
      <c r="G57" s="521">
        <v>1300</v>
      </c>
    </row>
    <row r="58" spans="1:22" x14ac:dyDescent="0.3">
      <c r="A58" t="s">
        <v>978</v>
      </c>
      <c r="B58" s="3" t="s">
        <v>979</v>
      </c>
      <c r="C58" s="521">
        <f>5850</f>
        <v>5850</v>
      </c>
      <c r="D58" s="521">
        <f>C58*1.42</f>
        <v>8307</v>
      </c>
      <c r="G58" s="521">
        <v>1400</v>
      </c>
    </row>
    <row r="59" spans="1:22" x14ac:dyDescent="0.3">
      <c r="A59" t="s">
        <v>978</v>
      </c>
      <c r="B59" s="3" t="s">
        <v>872</v>
      </c>
      <c r="C59" s="521">
        <f>6700</f>
        <v>6700</v>
      </c>
      <c r="D59" s="521">
        <v>8950</v>
      </c>
      <c r="E59" s="521">
        <v>8200</v>
      </c>
      <c r="G59" s="521">
        <v>1500</v>
      </c>
    </row>
    <row r="60" spans="1:22" x14ac:dyDescent="0.3">
      <c r="A60" t="s">
        <v>978</v>
      </c>
      <c r="B60" s="3" t="s">
        <v>982</v>
      </c>
      <c r="C60" s="521">
        <f>7900</f>
        <v>7900</v>
      </c>
      <c r="D60" s="521">
        <v>11350</v>
      </c>
      <c r="E60" s="521">
        <v>9470</v>
      </c>
      <c r="G60" s="521">
        <v>1600</v>
      </c>
    </row>
    <row r="61" spans="1:22" x14ac:dyDescent="0.3">
      <c r="A61" t="s">
        <v>978</v>
      </c>
      <c r="B61" s="3" t="s">
        <v>874</v>
      </c>
      <c r="C61" s="521">
        <f>8600</f>
        <v>8600</v>
      </c>
      <c r="D61" s="521">
        <f>C61*1.35</f>
        <v>11610</v>
      </c>
      <c r="E61" s="521">
        <v>10250</v>
      </c>
      <c r="G61" s="521">
        <v>1700</v>
      </c>
    </row>
    <row r="62" spans="1:22" x14ac:dyDescent="0.3">
      <c r="A62" t="s">
        <v>978</v>
      </c>
      <c r="B62" s="3" t="s">
        <v>1086</v>
      </c>
      <c r="C62" s="521">
        <f>10550</f>
        <v>10550</v>
      </c>
      <c r="G62" s="521"/>
    </row>
    <row r="63" spans="1:22" x14ac:dyDescent="0.3">
      <c r="A63" t="s">
        <v>978</v>
      </c>
      <c r="B63" s="6" t="s">
        <v>905</v>
      </c>
      <c r="C63" s="532">
        <f>10200</f>
        <v>10200</v>
      </c>
      <c r="D63" s="521">
        <f>C63*1.35</f>
        <v>13770</v>
      </c>
      <c r="G63" s="521">
        <v>1800</v>
      </c>
    </row>
    <row r="64" spans="1:22" x14ac:dyDescent="0.3">
      <c r="C64" s="528" t="s">
        <v>935</v>
      </c>
      <c r="D64" s="528" t="s">
        <v>901</v>
      </c>
      <c r="E64" s="528" t="s">
        <v>980</v>
      </c>
      <c r="F64" s="528" t="s">
        <v>981</v>
      </c>
      <c r="G64" s="291" t="s">
        <v>989</v>
      </c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533" t="s">
        <v>956</v>
      </c>
      <c r="S64" s="533" t="s">
        <v>697</v>
      </c>
      <c r="T64" s="533" t="s">
        <v>696</v>
      </c>
      <c r="U64" s="533" t="s">
        <v>701</v>
      </c>
      <c r="V64" s="533" t="s">
        <v>986</v>
      </c>
    </row>
    <row r="65" spans="1:22" x14ac:dyDescent="0.3">
      <c r="A65" t="s">
        <v>949</v>
      </c>
      <c r="B65" s="6" t="s">
        <v>881</v>
      </c>
      <c r="G65" s="521">
        <v>800</v>
      </c>
    </row>
    <row r="66" spans="1:22" x14ac:dyDescent="0.3">
      <c r="A66" t="s">
        <v>949</v>
      </c>
      <c r="B66" s="6" t="s">
        <v>868</v>
      </c>
      <c r="C66" s="521">
        <v>1550</v>
      </c>
      <c r="D66" s="521">
        <v>1900</v>
      </c>
      <c r="E66" s="521">
        <v>1750</v>
      </c>
      <c r="F66" s="521">
        <v>2100</v>
      </c>
      <c r="G66" s="521">
        <v>850</v>
      </c>
    </row>
    <row r="67" spans="1:22" x14ac:dyDescent="0.3">
      <c r="A67" t="s">
        <v>949</v>
      </c>
      <c r="B67" s="6" t="s">
        <v>869</v>
      </c>
      <c r="C67" s="521">
        <v>1950</v>
      </c>
      <c r="D67" s="521">
        <v>2100</v>
      </c>
      <c r="E67" s="521">
        <v>2100</v>
      </c>
      <c r="F67" s="521">
        <v>2300</v>
      </c>
      <c r="G67" s="521">
        <v>900</v>
      </c>
    </row>
    <row r="68" spans="1:22" x14ac:dyDescent="0.3">
      <c r="A68" t="s">
        <v>949</v>
      </c>
      <c r="B68" s="6" t="s">
        <v>870</v>
      </c>
      <c r="C68" s="521">
        <v>2700</v>
      </c>
      <c r="D68" s="521">
        <v>3200</v>
      </c>
      <c r="E68" s="521">
        <v>2880</v>
      </c>
      <c r="F68" s="521">
        <v>3500</v>
      </c>
      <c r="G68" s="521">
        <v>950</v>
      </c>
    </row>
    <row r="69" spans="1:22" x14ac:dyDescent="0.3">
      <c r="A69" t="s">
        <v>949</v>
      </c>
      <c r="B69" s="3" t="s">
        <v>987</v>
      </c>
      <c r="C69" s="521">
        <v>2700</v>
      </c>
      <c r="D69" s="521">
        <v>3400</v>
      </c>
      <c r="E69" s="521">
        <v>3100</v>
      </c>
      <c r="F69" s="521">
        <v>3650</v>
      </c>
      <c r="G69" s="521">
        <v>1000</v>
      </c>
    </row>
    <row r="70" spans="1:22" x14ac:dyDescent="0.3">
      <c r="A70" t="s">
        <v>949</v>
      </c>
      <c r="B70" s="3" t="s">
        <v>871</v>
      </c>
      <c r="C70" s="521">
        <v>3450</v>
      </c>
      <c r="D70" s="521">
        <v>3400</v>
      </c>
      <c r="E70" s="521">
        <v>3550</v>
      </c>
      <c r="F70" s="521">
        <f>(3650+4285)/2</f>
        <v>3967.5</v>
      </c>
      <c r="G70" s="521">
        <v>1200</v>
      </c>
    </row>
    <row r="71" spans="1:22" x14ac:dyDescent="0.3">
      <c r="A71" t="s">
        <v>949</v>
      </c>
      <c r="B71" s="3" t="s">
        <v>979</v>
      </c>
      <c r="C71" s="521">
        <v>6000</v>
      </c>
      <c r="D71" s="521">
        <v>6350</v>
      </c>
      <c r="E71" s="521">
        <v>5500</v>
      </c>
      <c r="F71" s="521">
        <f>(7650+6700)/2</f>
        <v>7175</v>
      </c>
      <c r="G71" s="521">
        <v>1300</v>
      </c>
    </row>
    <row r="72" spans="1:22" x14ac:dyDescent="0.3">
      <c r="C72" s="528" t="s">
        <v>935</v>
      </c>
      <c r="D72" s="528" t="s">
        <v>901</v>
      </c>
      <c r="E72" s="528" t="s">
        <v>980</v>
      </c>
      <c r="F72" s="528" t="s">
        <v>981</v>
      </c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533" t="s">
        <v>956</v>
      </c>
      <c r="S72" s="533" t="s">
        <v>697</v>
      </c>
      <c r="T72" s="533" t="s">
        <v>696</v>
      </c>
      <c r="U72" s="533" t="s">
        <v>701</v>
      </c>
      <c r="V72" s="533" t="s">
        <v>986</v>
      </c>
    </row>
    <row r="73" spans="1:22" x14ac:dyDescent="0.3">
      <c r="A73" t="s">
        <v>955</v>
      </c>
      <c r="B73" s="6" t="s">
        <v>881</v>
      </c>
      <c r="C73" s="521">
        <v>1800</v>
      </c>
      <c r="E73" s="521">
        <v>1550</v>
      </c>
      <c r="G73" s="521"/>
    </row>
    <row r="74" spans="1:22" x14ac:dyDescent="0.3">
      <c r="A74" t="s">
        <v>955</v>
      </c>
      <c r="B74" s="6" t="s">
        <v>868</v>
      </c>
      <c r="C74" s="521">
        <v>1800</v>
      </c>
      <c r="E74" s="521">
        <v>2000</v>
      </c>
      <c r="G74" s="521"/>
    </row>
    <row r="75" spans="1:22" x14ac:dyDescent="0.3">
      <c r="A75" t="s">
        <v>955</v>
      </c>
      <c r="B75" s="6" t="s">
        <v>869</v>
      </c>
      <c r="C75" s="521">
        <v>2100</v>
      </c>
      <c r="E75" s="521">
        <v>2250</v>
      </c>
      <c r="G75" s="521"/>
    </row>
    <row r="76" spans="1:22" x14ac:dyDescent="0.3">
      <c r="A76" t="s">
        <v>955</v>
      </c>
      <c r="B76" s="6" t="s">
        <v>870</v>
      </c>
      <c r="C76" s="521">
        <f>C77</f>
        <v>3850</v>
      </c>
      <c r="E76" s="521">
        <f>E77</f>
        <v>4150</v>
      </c>
      <c r="G76" s="521"/>
    </row>
    <row r="77" spans="1:22" x14ac:dyDescent="0.3">
      <c r="A77" t="s">
        <v>955</v>
      </c>
      <c r="B77" s="3" t="s">
        <v>987</v>
      </c>
      <c r="C77" s="521">
        <v>3850</v>
      </c>
      <c r="E77" s="521">
        <v>4150</v>
      </c>
      <c r="G77" s="521"/>
    </row>
    <row r="78" spans="1:22" x14ac:dyDescent="0.3">
      <c r="A78" t="s">
        <v>955</v>
      </c>
      <c r="B78" s="3" t="s">
        <v>988</v>
      </c>
      <c r="C78" s="521">
        <v>4700</v>
      </c>
      <c r="E78" s="521">
        <v>5100</v>
      </c>
      <c r="G78" s="521"/>
    </row>
    <row r="79" spans="1:22" x14ac:dyDescent="0.3">
      <c r="C79" s="528" t="s">
        <v>935</v>
      </c>
      <c r="D79" s="528" t="s">
        <v>1005</v>
      </c>
      <c r="E79" s="528" t="s">
        <v>1006</v>
      </c>
      <c r="F79" s="528" t="s">
        <v>1007</v>
      </c>
      <c r="G79" s="528" t="s">
        <v>1008</v>
      </c>
      <c r="H79" s="528" t="s">
        <v>1009</v>
      </c>
      <c r="I79" s="528" t="s">
        <v>1010</v>
      </c>
      <c r="J79" s="528" t="s">
        <v>1011</v>
      </c>
      <c r="K79" s="528" t="s">
        <v>1014</v>
      </c>
      <c r="R79" s="533" t="s">
        <v>956</v>
      </c>
      <c r="S79" s="533" t="s">
        <v>697</v>
      </c>
      <c r="T79" s="533" t="s">
        <v>696</v>
      </c>
      <c r="U79" s="533" t="s">
        <v>701</v>
      </c>
      <c r="V79" s="533" t="s">
        <v>986</v>
      </c>
    </row>
    <row r="80" spans="1:22" x14ac:dyDescent="0.3">
      <c r="A80" t="s">
        <v>990</v>
      </c>
      <c r="B80" s="49" t="s">
        <v>1083</v>
      </c>
      <c r="C80" s="522">
        <v>2400</v>
      </c>
      <c r="D80" s="522">
        <v>0</v>
      </c>
      <c r="E80" s="522">
        <v>0</v>
      </c>
      <c r="F80" s="522"/>
      <c r="G80" s="522">
        <v>130</v>
      </c>
      <c r="H80" s="522">
        <v>250</v>
      </c>
      <c r="I80" s="522"/>
      <c r="J80" s="522" t="s">
        <v>1013</v>
      </c>
      <c r="K80" s="522" t="s">
        <v>1016</v>
      </c>
    </row>
    <row r="81" spans="1:11" x14ac:dyDescent="0.3">
      <c r="A81" t="s">
        <v>990</v>
      </c>
      <c r="B81" s="49" t="s">
        <v>1040</v>
      </c>
      <c r="C81" s="521">
        <v>2300</v>
      </c>
      <c r="D81" s="521">
        <v>0</v>
      </c>
      <c r="E81" s="521">
        <v>0</v>
      </c>
      <c r="G81" s="521">
        <v>130</v>
      </c>
      <c r="H81" s="521">
        <v>250</v>
      </c>
      <c r="J81" s="49" t="s">
        <v>1012</v>
      </c>
      <c r="K81" s="49" t="s">
        <v>1015</v>
      </c>
    </row>
    <row r="82" spans="1:11" x14ac:dyDescent="0.3">
      <c r="A82" t="s">
        <v>990</v>
      </c>
      <c r="B82" s="49" t="s">
        <v>1041</v>
      </c>
      <c r="G82" s="521"/>
      <c r="J82" s="49" t="s">
        <v>1013</v>
      </c>
      <c r="K82" s="49" t="s">
        <v>1015</v>
      </c>
    </row>
    <row r="83" spans="1:11" x14ac:dyDescent="0.3">
      <c r="A83" t="s">
        <v>990</v>
      </c>
      <c r="B83" s="49" t="s">
        <v>1042</v>
      </c>
      <c r="G83" s="521"/>
      <c r="J83" s="49" t="s">
        <v>1012</v>
      </c>
      <c r="K83" s="49" t="s">
        <v>1016</v>
      </c>
    </row>
    <row r="84" spans="1:11" x14ac:dyDescent="0.3">
      <c r="A84" t="s">
        <v>990</v>
      </c>
      <c r="B84" s="49" t="s">
        <v>1043</v>
      </c>
      <c r="G84" s="521"/>
      <c r="J84" s="49" t="s">
        <v>1017</v>
      </c>
      <c r="K84" s="49" t="s">
        <v>1018</v>
      </c>
    </row>
    <row r="85" spans="1:11" x14ac:dyDescent="0.3">
      <c r="A85" t="s">
        <v>990</v>
      </c>
      <c r="B85" s="49" t="s">
        <v>1044</v>
      </c>
      <c r="G85" s="521"/>
      <c r="J85" s="49" t="s">
        <v>1019</v>
      </c>
      <c r="K85" s="49" t="s">
        <v>1018</v>
      </c>
    </row>
    <row r="86" spans="1:11" x14ac:dyDescent="0.3">
      <c r="A86" t="s">
        <v>990</v>
      </c>
      <c r="B86" s="49" t="s">
        <v>1045</v>
      </c>
      <c r="G86" s="521"/>
      <c r="J86" s="49" t="s">
        <v>1013</v>
      </c>
      <c r="K86" s="49" t="s">
        <v>1016</v>
      </c>
    </row>
    <row r="87" spans="1:11" x14ac:dyDescent="0.3">
      <c r="A87" t="s">
        <v>990</v>
      </c>
      <c r="B87" s="49" t="s">
        <v>1046</v>
      </c>
      <c r="G87" s="521"/>
      <c r="J87" s="49" t="s">
        <v>1017</v>
      </c>
      <c r="K87" s="49" t="s">
        <v>1020</v>
      </c>
    </row>
    <row r="88" spans="1:11" x14ac:dyDescent="0.3">
      <c r="A88" t="s">
        <v>990</v>
      </c>
      <c r="B88" s="49" t="s">
        <v>1047</v>
      </c>
      <c r="C88" s="521">
        <v>5100</v>
      </c>
      <c r="G88" s="521"/>
      <c r="J88" s="49" t="s">
        <v>1019</v>
      </c>
      <c r="K88" s="49" t="s">
        <v>1021</v>
      </c>
    </row>
    <row r="89" spans="1:11" x14ac:dyDescent="0.3">
      <c r="A89" t="s">
        <v>990</v>
      </c>
      <c r="B89" s="49" t="s">
        <v>1048</v>
      </c>
      <c r="G89" s="521"/>
      <c r="J89" s="49" t="s">
        <v>1013</v>
      </c>
      <c r="K89" s="49" t="s">
        <v>1022</v>
      </c>
    </row>
    <row r="90" spans="1:11" x14ac:dyDescent="0.3">
      <c r="A90" t="s">
        <v>990</v>
      </c>
      <c r="B90" s="49" t="s">
        <v>1049</v>
      </c>
      <c r="C90" s="521">
        <v>5750</v>
      </c>
      <c r="G90" s="521"/>
      <c r="J90" s="49" t="s">
        <v>1023</v>
      </c>
      <c r="K90" s="49" t="s">
        <v>1021</v>
      </c>
    </row>
    <row r="91" spans="1:11" x14ac:dyDescent="0.3">
      <c r="A91" t="s">
        <v>990</v>
      </c>
      <c r="B91" s="49" t="s">
        <v>1050</v>
      </c>
      <c r="G91" s="521"/>
      <c r="J91" s="49" t="s">
        <v>1024</v>
      </c>
      <c r="K91" s="49" t="s">
        <v>1020</v>
      </c>
    </row>
    <row r="92" spans="1:11" x14ac:dyDescent="0.3">
      <c r="A92" t="s">
        <v>990</v>
      </c>
      <c r="B92" s="49" t="s">
        <v>1051</v>
      </c>
      <c r="G92" s="521"/>
      <c r="J92" s="49" t="s">
        <v>1028</v>
      </c>
      <c r="K92" s="49" t="s">
        <v>1020</v>
      </c>
    </row>
    <row r="93" spans="1:11" x14ac:dyDescent="0.3">
      <c r="A93" t="s">
        <v>990</v>
      </c>
      <c r="B93" s="49" t="s">
        <v>1052</v>
      </c>
      <c r="C93" s="521">
        <v>7100</v>
      </c>
      <c r="G93" s="521"/>
      <c r="J93" s="49" t="s">
        <v>1029</v>
      </c>
      <c r="K93" s="49" t="s">
        <v>1020</v>
      </c>
    </row>
    <row r="94" spans="1:11" x14ac:dyDescent="0.3">
      <c r="A94" t="s">
        <v>990</v>
      </c>
      <c r="B94" s="49" t="s">
        <v>1053</v>
      </c>
      <c r="G94" s="521"/>
      <c r="J94" s="49" t="s">
        <v>1023</v>
      </c>
      <c r="K94" s="49" t="s">
        <v>1022</v>
      </c>
    </row>
    <row r="95" spans="1:11" x14ac:dyDescent="0.3">
      <c r="A95" t="s">
        <v>990</v>
      </c>
      <c r="B95" s="49" t="s">
        <v>1054</v>
      </c>
      <c r="G95" s="521"/>
      <c r="J95" s="49" t="s">
        <v>1019</v>
      </c>
      <c r="K95" s="49" t="s">
        <v>1027</v>
      </c>
    </row>
    <row r="96" spans="1:11" x14ac:dyDescent="0.3">
      <c r="A96" t="s">
        <v>990</v>
      </c>
      <c r="B96" s="49" t="s">
        <v>1055</v>
      </c>
      <c r="G96" s="521"/>
      <c r="J96" s="49" t="s">
        <v>1030</v>
      </c>
      <c r="K96" s="49" t="s">
        <v>1031</v>
      </c>
    </row>
    <row r="97" spans="1:22" x14ac:dyDescent="0.3">
      <c r="A97" t="s">
        <v>990</v>
      </c>
      <c r="B97" s="49" t="s">
        <v>1056</v>
      </c>
      <c r="G97" s="521"/>
      <c r="J97" s="49" t="s">
        <v>1028</v>
      </c>
      <c r="K97" s="49" t="s">
        <v>1025</v>
      </c>
    </row>
    <row r="98" spans="1:22" x14ac:dyDescent="0.3">
      <c r="A98" t="s">
        <v>990</v>
      </c>
      <c r="B98" s="49" t="s">
        <v>1057</v>
      </c>
      <c r="G98" s="521"/>
      <c r="J98" s="49" t="s">
        <v>1029</v>
      </c>
      <c r="K98" s="49" t="s">
        <v>1026</v>
      </c>
    </row>
    <row r="99" spans="1:22" x14ac:dyDescent="0.3">
      <c r="A99" t="s">
        <v>990</v>
      </c>
      <c r="B99" s="49" t="s">
        <v>1058</v>
      </c>
      <c r="C99" s="521">
        <v>9800</v>
      </c>
      <c r="G99" s="521"/>
      <c r="J99" s="49" t="s">
        <v>1032</v>
      </c>
      <c r="K99" s="49" t="s">
        <v>1022</v>
      </c>
    </row>
    <row r="100" spans="1:22" x14ac:dyDescent="0.3">
      <c r="A100" t="s">
        <v>990</v>
      </c>
      <c r="B100" s="49" t="s">
        <v>1059</v>
      </c>
      <c r="G100" s="521"/>
      <c r="J100" s="49" t="s">
        <v>1030</v>
      </c>
      <c r="K100" s="49" t="s">
        <v>1027</v>
      </c>
    </row>
    <row r="101" spans="1:22" x14ac:dyDescent="0.3">
      <c r="A101" t="s">
        <v>990</v>
      </c>
      <c r="B101" s="49" t="s">
        <v>1060</v>
      </c>
      <c r="C101" s="521">
        <v>11200</v>
      </c>
      <c r="G101" s="521"/>
      <c r="J101" s="49" t="s">
        <v>1033</v>
      </c>
      <c r="K101" s="49" t="s">
        <v>1025</v>
      </c>
    </row>
    <row r="102" spans="1:22" x14ac:dyDescent="0.3">
      <c r="A102" t="s">
        <v>990</v>
      </c>
      <c r="B102" s="49" t="s">
        <v>1061</v>
      </c>
      <c r="C102" s="521">
        <v>13900</v>
      </c>
      <c r="G102" s="521"/>
      <c r="J102" s="49" t="s">
        <v>1034</v>
      </c>
      <c r="K102" s="49" t="s">
        <v>1026</v>
      </c>
    </row>
    <row r="103" spans="1:22" x14ac:dyDescent="0.3">
      <c r="A103" t="s">
        <v>990</v>
      </c>
      <c r="B103" s="49" t="s">
        <v>1062</v>
      </c>
      <c r="G103" s="521"/>
      <c r="J103" s="49" t="s">
        <v>1032</v>
      </c>
      <c r="K103" s="49" t="s">
        <v>1035</v>
      </c>
    </row>
    <row r="104" spans="1:22" x14ac:dyDescent="0.3">
      <c r="A104" t="s">
        <v>990</v>
      </c>
      <c r="B104" s="49" t="s">
        <v>1063</v>
      </c>
      <c r="G104" s="521"/>
      <c r="J104" s="49" t="s">
        <v>1036</v>
      </c>
      <c r="K104" s="49" t="s">
        <v>1027</v>
      </c>
    </row>
    <row r="105" spans="1:22" x14ac:dyDescent="0.3">
      <c r="A105" t="s">
        <v>990</v>
      </c>
      <c r="B105" s="49" t="s">
        <v>1064</v>
      </c>
      <c r="G105" s="521"/>
      <c r="J105" s="49" t="s">
        <v>1033</v>
      </c>
      <c r="K105" s="49" t="s">
        <v>1037</v>
      </c>
    </row>
    <row r="106" spans="1:22" x14ac:dyDescent="0.3">
      <c r="A106" t="s">
        <v>990</v>
      </c>
      <c r="B106" s="49" t="s">
        <v>1065</v>
      </c>
      <c r="G106" s="521"/>
      <c r="J106" s="49" t="s">
        <v>1038</v>
      </c>
      <c r="K106" s="49" t="s">
        <v>1035</v>
      </c>
    </row>
    <row r="107" spans="1:22" x14ac:dyDescent="0.3">
      <c r="A107" t="s">
        <v>990</v>
      </c>
      <c r="B107" s="49" t="s">
        <v>1066</v>
      </c>
      <c r="G107" s="521"/>
      <c r="J107" s="49" t="s">
        <v>1034</v>
      </c>
      <c r="K107" s="49" t="s">
        <v>1039</v>
      </c>
    </row>
    <row r="108" spans="1:22" x14ac:dyDescent="0.3">
      <c r="C108" s="528" t="s">
        <v>935</v>
      </c>
      <c r="D108" s="528" t="s">
        <v>1005</v>
      </c>
      <c r="E108" s="528" t="s">
        <v>1006</v>
      </c>
      <c r="F108" s="528" t="s">
        <v>1007</v>
      </c>
      <c r="R108" s="533" t="s">
        <v>956</v>
      </c>
      <c r="S108" s="533" t="s">
        <v>697</v>
      </c>
      <c r="T108" s="533" t="s">
        <v>696</v>
      </c>
      <c r="U108" s="533" t="s">
        <v>701</v>
      </c>
      <c r="V108" s="533" t="s">
        <v>986</v>
      </c>
    </row>
    <row r="109" spans="1:22" x14ac:dyDescent="0.3">
      <c r="A109" t="s">
        <v>953</v>
      </c>
      <c r="B109" s="49" t="s">
        <v>991</v>
      </c>
      <c r="C109" s="521">
        <v>2500</v>
      </c>
    </row>
    <row r="110" spans="1:22" x14ac:dyDescent="0.3">
      <c r="A110" t="s">
        <v>953</v>
      </c>
      <c r="B110" s="49" t="s">
        <v>992</v>
      </c>
      <c r="C110" s="521">
        <v>2800</v>
      </c>
    </row>
    <row r="111" spans="1:22" x14ac:dyDescent="0.3">
      <c r="A111" t="s">
        <v>953</v>
      </c>
      <c r="B111" s="49" t="s">
        <v>993</v>
      </c>
      <c r="C111" s="521">
        <v>2900</v>
      </c>
    </row>
    <row r="112" spans="1:22" x14ac:dyDescent="0.3">
      <c r="A112" t="s">
        <v>953</v>
      </c>
      <c r="B112" s="49" t="s">
        <v>994</v>
      </c>
      <c r="C112" s="521">
        <v>2900</v>
      </c>
    </row>
    <row r="113" spans="1:22" x14ac:dyDescent="0.3">
      <c r="A113" t="s">
        <v>953</v>
      </c>
      <c r="B113" s="49" t="s">
        <v>995</v>
      </c>
      <c r="C113" s="521">
        <v>3000</v>
      </c>
    </row>
    <row r="114" spans="1:22" x14ac:dyDescent="0.3">
      <c r="A114" t="s">
        <v>953</v>
      </c>
      <c r="B114" s="49" t="s">
        <v>996</v>
      </c>
      <c r="C114" s="521">
        <v>3100</v>
      </c>
    </row>
    <row r="115" spans="1:22" x14ac:dyDescent="0.3">
      <c r="A115" t="s">
        <v>953</v>
      </c>
      <c r="B115" s="49" t="s">
        <v>997</v>
      </c>
      <c r="C115" s="521">
        <v>3200</v>
      </c>
    </row>
    <row r="116" spans="1:22" x14ac:dyDescent="0.3">
      <c r="A116" t="s">
        <v>953</v>
      </c>
      <c r="B116" s="49" t="s">
        <v>998</v>
      </c>
    </row>
    <row r="117" spans="1:22" x14ac:dyDescent="0.3">
      <c r="A117" t="s">
        <v>953</v>
      </c>
      <c r="B117" s="49" t="s">
        <v>999</v>
      </c>
    </row>
    <row r="118" spans="1:22" x14ac:dyDescent="0.3">
      <c r="A118" t="s">
        <v>953</v>
      </c>
      <c r="B118" s="49" t="s">
        <v>1000</v>
      </c>
    </row>
    <row r="119" spans="1:22" x14ac:dyDescent="0.3">
      <c r="A119" t="s">
        <v>953</v>
      </c>
      <c r="B119" s="49" t="s">
        <v>1001</v>
      </c>
    </row>
    <row r="120" spans="1:22" x14ac:dyDescent="0.3">
      <c r="A120" t="s">
        <v>953</v>
      </c>
      <c r="B120" s="49" t="s">
        <v>1002</v>
      </c>
    </row>
    <row r="121" spans="1:22" x14ac:dyDescent="0.3">
      <c r="A121" t="s">
        <v>953</v>
      </c>
      <c r="B121" s="49" t="s">
        <v>1003</v>
      </c>
    </row>
    <row r="122" spans="1:22" x14ac:dyDescent="0.3">
      <c r="A122" t="s">
        <v>953</v>
      </c>
      <c r="B122" s="49" t="s">
        <v>1004</v>
      </c>
    </row>
    <row r="123" spans="1:22" x14ac:dyDescent="0.3">
      <c r="C123" s="528" t="s">
        <v>935</v>
      </c>
      <c r="D123" s="528" t="s">
        <v>1005</v>
      </c>
      <c r="E123" s="528" t="s">
        <v>1006</v>
      </c>
      <c r="F123" s="528" t="s">
        <v>1007</v>
      </c>
      <c r="R123" s="533" t="s">
        <v>956</v>
      </c>
      <c r="S123" s="533" t="s">
        <v>697</v>
      </c>
      <c r="T123" s="533" t="s">
        <v>696</v>
      </c>
      <c r="U123" s="533" t="s">
        <v>701</v>
      </c>
      <c r="V123" s="533" t="s">
        <v>986</v>
      </c>
    </row>
    <row r="124" spans="1:22" x14ac:dyDescent="0.3">
      <c r="A124" t="s">
        <v>1081</v>
      </c>
      <c r="B124" s="49" t="s">
        <v>996</v>
      </c>
      <c r="C124" s="521">
        <v>17200</v>
      </c>
    </row>
    <row r="125" spans="1:22" x14ac:dyDescent="0.3">
      <c r="A125" t="s">
        <v>1081</v>
      </c>
      <c r="B125" s="49" t="s">
        <v>1082</v>
      </c>
      <c r="C125" s="521">
        <v>28400</v>
      </c>
    </row>
    <row r="126" spans="1:22" x14ac:dyDescent="0.3">
      <c r="C126" s="528" t="s">
        <v>935</v>
      </c>
      <c r="D126" s="528" t="s">
        <v>1005</v>
      </c>
      <c r="E126" s="528" t="s">
        <v>1006</v>
      </c>
      <c r="F126" s="528" t="s">
        <v>1007</v>
      </c>
      <c r="R126" s="533" t="s">
        <v>956</v>
      </c>
      <c r="S126" s="533" t="s">
        <v>697</v>
      </c>
      <c r="T126" s="533" t="s">
        <v>696</v>
      </c>
      <c r="U126" s="533" t="s">
        <v>701</v>
      </c>
      <c r="V126" s="533" t="s">
        <v>986</v>
      </c>
    </row>
    <row r="127" spans="1:22" x14ac:dyDescent="0.3">
      <c r="A127" t="s">
        <v>289</v>
      </c>
      <c r="B127" s="49" t="s">
        <v>995</v>
      </c>
      <c r="C127" s="521">
        <v>3900</v>
      </c>
      <c r="D127" s="521">
        <v>0</v>
      </c>
      <c r="E127" s="521">
        <v>0</v>
      </c>
      <c r="F127" s="521">
        <v>0</v>
      </c>
    </row>
    <row r="128" spans="1:22" x14ac:dyDescent="0.3">
      <c r="A128" t="s">
        <v>289</v>
      </c>
      <c r="B128" s="49" t="s">
        <v>1084</v>
      </c>
      <c r="C128" s="521">
        <v>28700</v>
      </c>
      <c r="D128" s="521">
        <v>0</v>
      </c>
      <c r="E128" s="521">
        <v>0</v>
      </c>
      <c r="F128" s="521">
        <v>0</v>
      </c>
    </row>
    <row r="129" spans="1:22" x14ac:dyDescent="0.3">
      <c r="C129" s="528" t="s">
        <v>935</v>
      </c>
      <c r="D129" s="528" t="s">
        <v>1005</v>
      </c>
      <c r="E129" s="528" t="s">
        <v>1006</v>
      </c>
      <c r="F129" s="528" t="s">
        <v>1007</v>
      </c>
      <c r="R129" s="533" t="s">
        <v>956</v>
      </c>
      <c r="S129" s="533" t="s">
        <v>697</v>
      </c>
      <c r="T129" s="533" t="s">
        <v>696</v>
      </c>
      <c r="U129" s="533" t="s">
        <v>701</v>
      </c>
      <c r="V129" s="533" t="s">
        <v>986</v>
      </c>
    </row>
    <row r="130" spans="1:22" x14ac:dyDescent="0.3">
      <c r="A130" t="s">
        <v>1085</v>
      </c>
      <c r="B130" s="49" t="s">
        <v>993</v>
      </c>
      <c r="C130" s="521">
        <v>2300</v>
      </c>
      <c r="D130" s="521">
        <v>0</v>
      </c>
      <c r="E130" s="521">
        <v>0</v>
      </c>
      <c r="F130" s="521">
        <v>0</v>
      </c>
    </row>
    <row r="132" spans="1:22" x14ac:dyDescent="0.3">
      <c r="A132" t="s">
        <v>1095</v>
      </c>
      <c r="B132" s="49" t="s">
        <v>1096</v>
      </c>
      <c r="C132" s="521">
        <v>1500</v>
      </c>
    </row>
    <row r="133" spans="1:22" x14ac:dyDescent="0.3">
      <c r="A133" t="s">
        <v>1087</v>
      </c>
      <c r="B133" s="49" t="s">
        <v>1094</v>
      </c>
    </row>
    <row r="134" spans="1:22" x14ac:dyDescent="0.3">
      <c r="A134" t="s">
        <v>1088</v>
      </c>
      <c r="B134" s="49" t="s">
        <v>1093</v>
      </c>
      <c r="C134" s="521">
        <v>2350</v>
      </c>
    </row>
    <row r="135" spans="1:22" x14ac:dyDescent="0.3">
      <c r="A135" t="s">
        <v>1089</v>
      </c>
      <c r="B135" s="49" t="s">
        <v>994</v>
      </c>
      <c r="C135" s="521">
        <v>2500</v>
      </c>
    </row>
    <row r="136" spans="1:22" x14ac:dyDescent="0.3">
      <c r="A136" t="s">
        <v>1090</v>
      </c>
      <c r="B136" s="49" t="s">
        <v>994</v>
      </c>
      <c r="C136" s="521">
        <v>3000</v>
      </c>
    </row>
    <row r="137" spans="1:22" x14ac:dyDescent="0.3">
      <c r="A137" t="s">
        <v>1091</v>
      </c>
      <c r="B137" s="49" t="s">
        <v>1092</v>
      </c>
      <c r="C137" s="521">
        <v>3900</v>
      </c>
    </row>
    <row r="139" spans="1:22" x14ac:dyDescent="0.3">
      <c r="A139" t="s">
        <v>1101</v>
      </c>
      <c r="C139" s="521">
        <v>99</v>
      </c>
    </row>
    <row r="140" spans="1:22" x14ac:dyDescent="0.3">
      <c r="A140" t="s">
        <v>1100</v>
      </c>
      <c r="C140" s="521">
        <v>41.73</v>
      </c>
    </row>
    <row r="141" spans="1:22" x14ac:dyDescent="0.3">
      <c r="A141" t="s">
        <v>1102</v>
      </c>
      <c r="C141" s="521">
        <v>29.1</v>
      </c>
    </row>
    <row r="142" spans="1:22" x14ac:dyDescent="0.3">
      <c r="A142" t="s">
        <v>1103</v>
      </c>
      <c r="C142" s="521">
        <v>43.877400000000002</v>
      </c>
    </row>
    <row r="143" spans="1:22" x14ac:dyDescent="0.3">
      <c r="A143" t="s">
        <v>1104</v>
      </c>
      <c r="C143" s="521">
        <v>15.16</v>
      </c>
    </row>
    <row r="144" spans="1:22" x14ac:dyDescent="0.3">
      <c r="A144" t="s">
        <v>1105</v>
      </c>
      <c r="C144" s="521">
        <f>16*1.2</f>
        <v>19.2</v>
      </c>
    </row>
    <row r="145" spans="1:3" x14ac:dyDescent="0.3">
      <c r="A145" t="s">
        <v>1107</v>
      </c>
      <c r="C145" s="521">
        <f>21.5*1.1</f>
        <v>23.650000000000002</v>
      </c>
    </row>
    <row r="146" spans="1:3" x14ac:dyDescent="0.3">
      <c r="A146" t="s">
        <v>1108</v>
      </c>
      <c r="C146" s="521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A15" zoomScale="80" zoomScaleNormal="80" zoomScaleSheetLayoutView="100" workbookViewId="0">
      <selection activeCell="C17" sqref="C17:F17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925"/>
      <c r="B1" s="960"/>
      <c r="C1" s="960"/>
      <c r="D1" s="926" t="s">
        <v>317</v>
      </c>
      <c r="E1" s="926"/>
      <c r="F1" s="926"/>
      <c r="G1" s="926"/>
      <c r="H1" s="926"/>
      <c r="I1" s="926"/>
      <c r="J1" s="926"/>
      <c r="K1" s="926"/>
      <c r="L1" s="926"/>
      <c r="M1" s="926"/>
      <c r="N1" s="1093"/>
      <c r="O1" s="1093"/>
      <c r="P1" s="1093"/>
      <c r="Q1" s="965"/>
    </row>
    <row r="2" spans="1:17" ht="15" customHeight="1" x14ac:dyDescent="0.3">
      <c r="A2" s="818"/>
      <c r="B2" s="716"/>
      <c r="C2" s="716"/>
      <c r="D2" s="47" t="s">
        <v>46</v>
      </c>
      <c r="E2" s="116" t="e">
        <f>#REF!</f>
        <v>#REF!</v>
      </c>
      <c r="F2" s="967" t="s">
        <v>318</v>
      </c>
      <c r="G2" s="967"/>
      <c r="H2" s="967"/>
      <c r="I2" s="967"/>
      <c r="J2" s="967"/>
      <c r="K2" s="967"/>
      <c r="L2" s="967"/>
      <c r="M2" s="967"/>
      <c r="N2" s="927"/>
      <c r="O2" s="927"/>
      <c r="P2" s="927"/>
      <c r="Q2" s="968"/>
    </row>
    <row r="3" spans="1:17" ht="15" customHeight="1" x14ac:dyDescent="0.3">
      <c r="A3" s="818"/>
      <c r="B3" s="716"/>
      <c r="C3" s="716"/>
      <c r="D3" s="47" t="s">
        <v>47</v>
      </c>
      <c r="E3" s="116" t="e">
        <f>#REF!</f>
        <v>#REF!</v>
      </c>
      <c r="F3" s="1094" t="e">
        <f>#REF!</f>
        <v>#REF!</v>
      </c>
      <c r="G3" s="1095"/>
      <c r="H3" s="1095"/>
      <c r="I3" s="1095"/>
      <c r="J3" s="1095"/>
      <c r="K3" s="1095"/>
      <c r="L3" s="1095"/>
      <c r="M3" s="1095"/>
      <c r="N3" s="1095"/>
      <c r="O3" s="1095"/>
      <c r="P3" s="1095"/>
      <c r="Q3" s="1096"/>
    </row>
    <row r="4" spans="1:17" ht="15" customHeight="1" x14ac:dyDescent="0.3">
      <c r="A4" s="818"/>
      <c r="B4" s="716"/>
      <c r="C4" s="716"/>
      <c r="D4" s="47" t="s">
        <v>48</v>
      </c>
      <c r="E4" s="116" t="e">
        <f>#REF!</f>
        <v>#REF!</v>
      </c>
      <c r="F4" s="1097"/>
      <c r="G4" s="1098"/>
      <c r="H4" s="1098"/>
      <c r="I4" s="1098"/>
      <c r="J4" s="1098"/>
      <c r="K4" s="1098"/>
      <c r="L4" s="1098"/>
      <c r="M4" s="1098"/>
      <c r="N4" s="1098"/>
      <c r="O4" s="1098"/>
      <c r="P4" s="1098"/>
      <c r="Q4" s="1099"/>
    </row>
    <row r="5" spans="1:17" ht="15" customHeight="1" x14ac:dyDescent="0.3">
      <c r="A5" s="818"/>
      <c r="B5" s="716"/>
      <c r="C5" s="716"/>
      <c r="D5" s="47" t="s">
        <v>110</v>
      </c>
      <c r="E5" s="152">
        <f ca="1">NOW()</f>
        <v>46064.807083449072</v>
      </c>
      <c r="F5" s="1097"/>
      <c r="G5" s="1098"/>
      <c r="H5" s="1098"/>
      <c r="I5" s="1098"/>
      <c r="J5" s="1098"/>
      <c r="K5" s="1098"/>
      <c r="L5" s="1098"/>
      <c r="M5" s="1098"/>
      <c r="N5" s="1098"/>
      <c r="O5" s="1098"/>
      <c r="P5" s="1098"/>
      <c r="Q5" s="1099"/>
    </row>
    <row r="6" spans="1:17" ht="15" customHeight="1" x14ac:dyDescent="0.3">
      <c r="A6" s="818"/>
      <c r="B6" s="716"/>
      <c r="C6" s="716"/>
      <c r="D6" s="81" t="s">
        <v>364</v>
      </c>
      <c r="E6" s="46" t="e">
        <f>#REF!</f>
        <v>#REF!</v>
      </c>
      <c r="F6" s="937"/>
      <c r="G6" s="938"/>
      <c r="H6" s="938"/>
      <c r="I6" s="938"/>
      <c r="J6" s="938"/>
      <c r="K6" s="938"/>
      <c r="L6" s="938"/>
      <c r="M6" s="938"/>
      <c r="N6" s="938"/>
      <c r="O6" s="938"/>
      <c r="P6" s="938"/>
      <c r="Q6" s="1100"/>
    </row>
    <row r="7" spans="1:17" ht="15" customHeight="1" x14ac:dyDescent="0.3">
      <c r="A7" s="818"/>
      <c r="B7" s="716"/>
      <c r="C7" s="716"/>
      <c r="D7" s="81" t="s">
        <v>579</v>
      </c>
      <c r="E7" s="46"/>
      <c r="F7" s="1101" t="e">
        <f>#REF!</f>
        <v>#REF!</v>
      </c>
      <c r="G7" s="1102"/>
      <c r="H7" s="1102"/>
      <c r="I7" s="1102"/>
      <c r="J7" s="1102"/>
      <c r="K7" s="1102"/>
      <c r="L7" s="1102"/>
      <c r="M7" s="1102"/>
      <c r="N7" s="1102"/>
      <c r="O7" s="1102"/>
      <c r="P7" s="1102"/>
      <c r="Q7" s="1103"/>
    </row>
    <row r="8" spans="1:17" ht="15" customHeight="1" x14ac:dyDescent="0.3">
      <c r="A8" s="1089"/>
      <c r="B8" s="1090"/>
      <c r="C8" s="1090"/>
      <c r="D8" s="1090"/>
      <c r="E8" s="1090"/>
      <c r="F8" s="1090"/>
      <c r="G8" s="1090"/>
      <c r="H8" s="1090"/>
      <c r="I8" s="1090"/>
      <c r="J8" s="1090"/>
      <c r="K8" s="1090"/>
      <c r="L8" s="1090"/>
      <c r="M8" s="1090"/>
      <c r="N8" s="1091"/>
      <c r="O8" s="1091"/>
      <c r="P8" s="1091"/>
      <c r="Q8" s="1092"/>
    </row>
    <row r="9" spans="1:17" ht="15" customHeight="1" x14ac:dyDescent="0.3">
      <c r="A9" s="972" t="s">
        <v>130</v>
      </c>
      <c r="B9" s="973"/>
      <c r="C9" s="973"/>
      <c r="D9" s="973"/>
      <c r="E9" s="973"/>
      <c r="F9" s="973"/>
      <c r="G9" s="973"/>
      <c r="H9" s="973"/>
      <c r="I9" s="973"/>
      <c r="J9" s="973"/>
      <c r="K9" s="973"/>
      <c r="L9" s="973"/>
      <c r="M9" s="973"/>
      <c r="N9" s="974"/>
      <c r="O9" s="974"/>
      <c r="P9" s="974"/>
      <c r="Q9" s="1104"/>
    </row>
    <row r="10" spans="1:17" ht="15" customHeight="1" x14ac:dyDescent="0.3">
      <c r="A10" s="1105" t="s">
        <v>131</v>
      </c>
      <c r="B10" s="1106"/>
      <c r="C10" s="1107" t="s">
        <v>132</v>
      </c>
      <c r="D10" s="1107"/>
      <c r="E10" s="1107"/>
      <c r="F10" s="1107"/>
      <c r="G10" s="974" t="s">
        <v>133</v>
      </c>
      <c r="H10" s="1108"/>
      <c r="I10" s="981" t="s">
        <v>134</v>
      </c>
      <c r="J10" s="1109"/>
      <c r="K10" s="981" t="s">
        <v>134</v>
      </c>
      <c r="L10" s="1109"/>
      <c r="M10" s="153" t="s">
        <v>135</v>
      </c>
      <c r="N10" s="660"/>
      <c r="O10" s="660"/>
      <c r="P10" s="660"/>
      <c r="Q10" s="1110"/>
    </row>
    <row r="11" spans="1:17" ht="15" customHeight="1" x14ac:dyDescent="0.3">
      <c r="A11" s="1105" t="s">
        <v>136</v>
      </c>
      <c r="B11" s="1106"/>
      <c r="C11" s="1113" t="s">
        <v>319</v>
      </c>
      <c r="D11" s="1113"/>
      <c r="E11" s="1113"/>
      <c r="F11" s="1113"/>
      <c r="G11" s="1114">
        <f ca="1">TODAY()</f>
        <v>46064</v>
      </c>
      <c r="H11" s="1115"/>
      <c r="I11" s="1001" t="s">
        <v>320</v>
      </c>
      <c r="J11" s="1116"/>
      <c r="K11" s="1001" t="s">
        <v>7</v>
      </c>
      <c r="L11" s="1116"/>
      <c r="M11" s="158" t="s">
        <v>7</v>
      </c>
      <c r="N11" s="661"/>
      <c r="O11" s="661"/>
      <c r="P11" s="661"/>
      <c r="Q11" s="1111"/>
    </row>
    <row r="12" spans="1:17" ht="15" customHeight="1" x14ac:dyDescent="0.3">
      <c r="A12" s="1117" t="s">
        <v>138</v>
      </c>
      <c r="B12" s="1118"/>
      <c r="C12" s="1119"/>
      <c r="D12" s="1119"/>
      <c r="E12" s="1119"/>
      <c r="F12" s="1119"/>
      <c r="G12" s="1114"/>
      <c r="H12" s="1115"/>
      <c r="I12" s="1114"/>
      <c r="J12" s="1115"/>
      <c r="K12" s="1003"/>
      <c r="L12" s="1120"/>
      <c r="M12" s="159"/>
      <c r="N12" s="662"/>
      <c r="O12" s="662"/>
      <c r="P12" s="662"/>
      <c r="Q12" s="1112"/>
    </row>
    <row r="13" spans="1:17" ht="15" customHeight="1" x14ac:dyDescent="0.3">
      <c r="A13" s="1121"/>
      <c r="B13" s="847"/>
      <c r="C13" s="847"/>
      <c r="D13" s="847"/>
      <c r="E13" s="847"/>
      <c r="F13" s="847"/>
      <c r="G13" s="847"/>
      <c r="H13" s="847"/>
      <c r="I13" s="847"/>
      <c r="J13" s="847"/>
      <c r="K13" s="847"/>
      <c r="L13" s="847"/>
      <c r="M13" s="847"/>
      <c r="N13" s="1122"/>
      <c r="O13" s="1122"/>
      <c r="P13" s="1122"/>
      <c r="Q13" s="1123"/>
    </row>
    <row r="14" spans="1:17" ht="15" customHeight="1" x14ac:dyDescent="0.3">
      <c r="A14" s="652" t="s">
        <v>321</v>
      </c>
      <c r="B14" s="655" t="s">
        <v>140</v>
      </c>
      <c r="C14" s="1013" t="s">
        <v>141</v>
      </c>
      <c r="D14" s="1013"/>
      <c r="E14" s="1013"/>
      <c r="F14" s="1013"/>
      <c r="G14" s="654" t="s">
        <v>142</v>
      </c>
      <c r="H14" s="365" t="s">
        <v>143</v>
      </c>
      <c r="I14" s="1014" t="s">
        <v>322</v>
      </c>
      <c r="J14" s="1014"/>
      <c r="K14" s="1014" t="s">
        <v>221</v>
      </c>
      <c r="L14" s="1014"/>
      <c r="M14" s="656" t="s">
        <v>222</v>
      </c>
      <c r="N14" s="663" t="s">
        <v>1377</v>
      </c>
      <c r="O14" s="663" t="s">
        <v>1378</v>
      </c>
      <c r="P14" s="663" t="s">
        <v>1110</v>
      </c>
      <c r="Q14" s="657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24" t="s">
        <v>149</v>
      </c>
      <c r="D15" s="1125"/>
      <c r="E15" s="1125"/>
      <c r="F15" s="1125"/>
      <c r="G15" s="1125"/>
      <c r="H15" s="1125"/>
      <c r="I15" s="1125"/>
      <c r="J15" s="1125"/>
      <c r="K15" s="1125"/>
      <c r="L15" s="1125"/>
      <c r="M15" s="1126"/>
      <c r="N15" s="658"/>
      <c r="O15" s="658"/>
      <c r="P15" s="658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27" t="s">
        <v>150</v>
      </c>
      <c r="D16" s="959"/>
      <c r="E16" s="959"/>
      <c r="F16" s="1128"/>
      <c r="G16" s="1129"/>
      <c r="H16" s="1130"/>
      <c r="I16" s="1130"/>
      <c r="J16" s="1130"/>
      <c r="K16" s="1130"/>
      <c r="L16" s="1130"/>
      <c r="M16" s="1131"/>
      <c r="N16" s="367"/>
      <c r="O16" s="367"/>
      <c r="P16" s="367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7" t="s">
        <v>323</v>
      </c>
      <c r="D17" s="957"/>
      <c r="E17" s="957"/>
      <c r="F17" s="957"/>
      <c r="G17" s="154" t="s">
        <v>152</v>
      </c>
      <c r="H17" s="155">
        <v>4</v>
      </c>
      <c r="I17" s="1132" t="s">
        <v>223</v>
      </c>
      <c r="J17" s="1132"/>
      <c r="K17" s="1133" t="s">
        <v>875</v>
      </c>
      <c r="L17" s="1133"/>
      <c r="M17" s="180" t="s">
        <v>876</v>
      </c>
      <c r="N17" s="664"/>
      <c r="O17" s="664"/>
      <c r="P17" s="664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34" t="s">
        <v>324</v>
      </c>
      <c r="D18" s="1135"/>
      <c r="E18" s="1135"/>
      <c r="F18" s="1136"/>
      <c r="G18" s="154" t="s">
        <v>152</v>
      </c>
      <c r="H18" s="155">
        <v>2</v>
      </c>
      <c r="I18" s="1132" t="s">
        <v>325</v>
      </c>
      <c r="J18" s="1132"/>
      <c r="K18" s="1133" t="s">
        <v>326</v>
      </c>
      <c r="L18" s="1133"/>
      <c r="M18" s="180" t="s">
        <v>327</v>
      </c>
      <c r="N18" s="664"/>
      <c r="O18" s="664"/>
      <c r="P18" s="664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7" t="s">
        <v>328</v>
      </c>
      <c r="D19" s="957"/>
      <c r="E19" s="957"/>
      <c r="F19" s="957"/>
      <c r="G19" s="154" t="s">
        <v>152</v>
      </c>
      <c r="H19" s="155">
        <v>1</v>
      </c>
      <c r="I19" s="1132" t="s">
        <v>329</v>
      </c>
      <c r="J19" s="1132"/>
      <c r="K19" s="1133" t="s">
        <v>1345</v>
      </c>
      <c r="L19" s="1133"/>
      <c r="M19" s="180" t="s">
        <v>330</v>
      </c>
      <c r="N19" s="664"/>
      <c r="O19" s="664"/>
      <c r="P19" s="664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7" t="s">
        <v>331</v>
      </c>
      <c r="D20" s="957"/>
      <c r="E20" s="957"/>
      <c r="F20" s="957"/>
      <c r="G20" s="154" t="s">
        <v>152</v>
      </c>
      <c r="H20" s="155">
        <v>4</v>
      </c>
      <c r="I20" s="1132" t="s">
        <v>332</v>
      </c>
      <c r="J20" s="1132"/>
      <c r="K20" s="1133" t="s">
        <v>333</v>
      </c>
      <c r="L20" s="1133"/>
      <c r="M20" s="180" t="s">
        <v>334</v>
      </c>
      <c r="N20" s="664"/>
      <c r="O20" s="664"/>
      <c r="P20" s="664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7" t="s">
        <v>335</v>
      </c>
      <c r="D21" s="957"/>
      <c r="E21" s="957"/>
      <c r="F21" s="957"/>
      <c r="G21" s="154" t="s">
        <v>152</v>
      </c>
      <c r="H21" s="155">
        <v>2</v>
      </c>
      <c r="I21" s="1132" t="s">
        <v>332</v>
      </c>
      <c r="J21" s="1132"/>
      <c r="K21" s="1133" t="s">
        <v>333</v>
      </c>
      <c r="L21" s="1133"/>
      <c r="M21" s="180" t="s">
        <v>334</v>
      </c>
      <c r="N21" s="664"/>
      <c r="O21" s="664"/>
      <c r="P21" s="664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7" t="s">
        <v>337</v>
      </c>
      <c r="D22" s="957"/>
      <c r="E22" s="957"/>
      <c r="F22" s="957"/>
      <c r="G22" s="154" t="s">
        <v>152</v>
      </c>
      <c r="H22" s="155">
        <v>2</v>
      </c>
      <c r="I22" s="1137" t="s">
        <v>338</v>
      </c>
      <c r="J22" s="1138"/>
      <c r="K22" s="1133" t="s">
        <v>339</v>
      </c>
      <c r="L22" s="1133"/>
      <c r="M22" s="180" t="s">
        <v>224</v>
      </c>
      <c r="N22" s="664"/>
      <c r="O22" s="664"/>
      <c r="P22" s="664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7" t="s">
        <v>341</v>
      </c>
      <c r="D23" s="957"/>
      <c r="E23" s="957"/>
      <c r="F23" s="957"/>
      <c r="G23" s="154" t="s">
        <v>300</v>
      </c>
      <c r="H23" s="155" t="s">
        <v>7</v>
      </c>
      <c r="I23" s="1132" t="s">
        <v>7</v>
      </c>
      <c r="J23" s="1132"/>
      <c r="K23" s="1133" t="s">
        <v>7</v>
      </c>
      <c r="L23" s="1133"/>
      <c r="M23" s="180"/>
      <c r="N23" s="664"/>
      <c r="O23" s="664"/>
      <c r="P23" s="664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5" t="s">
        <v>342</v>
      </c>
      <c r="D24" s="1015"/>
      <c r="E24" s="1015"/>
      <c r="F24" s="1015"/>
      <c r="G24" s="1015"/>
      <c r="H24" s="1015"/>
      <c r="I24" s="1015"/>
      <c r="J24" s="1015"/>
      <c r="K24" s="1015"/>
      <c r="L24" s="1015"/>
      <c r="M24" s="1015"/>
      <c r="N24" s="659"/>
      <c r="O24" s="659"/>
      <c r="P24" s="659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7" t="s">
        <v>343</v>
      </c>
      <c r="D25" s="957"/>
      <c r="E25" s="957"/>
      <c r="F25" s="957"/>
      <c r="G25" s="154" t="s">
        <v>152</v>
      </c>
      <c r="H25" s="155">
        <v>1</v>
      </c>
      <c r="I25" s="1132" t="s">
        <v>223</v>
      </c>
      <c r="J25" s="1132"/>
      <c r="K25" s="1133" t="s">
        <v>1346</v>
      </c>
      <c r="L25" s="1133"/>
      <c r="M25" s="180" t="s">
        <v>1347</v>
      </c>
      <c r="N25" s="664"/>
      <c r="O25" s="664"/>
      <c r="P25" s="664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7" t="s">
        <v>344</v>
      </c>
      <c r="D26" s="957"/>
      <c r="E26" s="957"/>
      <c r="F26" s="957"/>
      <c r="G26" s="154" t="s">
        <v>152</v>
      </c>
      <c r="H26" s="155">
        <v>2</v>
      </c>
      <c r="I26" s="1132" t="s">
        <v>223</v>
      </c>
      <c r="J26" s="1132"/>
      <c r="K26" s="1133" t="s">
        <v>1346</v>
      </c>
      <c r="L26" s="1133"/>
      <c r="M26" s="180" t="s">
        <v>1347</v>
      </c>
      <c r="N26" s="664"/>
      <c r="O26" s="664"/>
      <c r="P26" s="664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7" t="s">
        <v>346</v>
      </c>
      <c r="D27" s="957"/>
      <c r="E27" s="957"/>
      <c r="F27" s="957"/>
      <c r="G27" s="154" t="s">
        <v>152</v>
      </c>
      <c r="H27" s="155">
        <v>1</v>
      </c>
      <c r="I27" s="1132" t="s">
        <v>223</v>
      </c>
      <c r="J27" s="1132"/>
      <c r="K27" s="1133" t="s">
        <v>1346</v>
      </c>
      <c r="L27" s="1133"/>
      <c r="M27" s="180" t="s">
        <v>1347</v>
      </c>
      <c r="N27" s="664"/>
      <c r="O27" s="664"/>
      <c r="P27" s="664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7" t="s">
        <v>348</v>
      </c>
      <c r="D28" s="957"/>
      <c r="E28" s="957"/>
      <c r="F28" s="957"/>
      <c r="G28" s="154" t="s">
        <v>152</v>
      </c>
      <c r="H28" s="155">
        <v>1</v>
      </c>
      <c r="I28" s="1132" t="s">
        <v>223</v>
      </c>
      <c r="J28" s="1132"/>
      <c r="K28" s="1133" t="s">
        <v>1346</v>
      </c>
      <c r="L28" s="1133"/>
      <c r="M28" s="180" t="s">
        <v>1347</v>
      </c>
      <c r="N28" s="664"/>
      <c r="O28" s="664"/>
      <c r="P28" s="664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7" t="s">
        <v>350</v>
      </c>
      <c r="D29" s="957"/>
      <c r="E29" s="957"/>
      <c r="F29" s="957"/>
      <c r="G29" s="154" t="s">
        <v>152</v>
      </c>
      <c r="H29" s="155">
        <v>1</v>
      </c>
      <c r="I29" s="1132" t="s">
        <v>223</v>
      </c>
      <c r="J29" s="1132"/>
      <c r="K29" s="1133" t="s">
        <v>1346</v>
      </c>
      <c r="L29" s="1133"/>
      <c r="M29" s="180" t="s">
        <v>1347</v>
      </c>
      <c r="N29" s="664"/>
      <c r="O29" s="664"/>
      <c r="P29" s="664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7" t="s">
        <v>352</v>
      </c>
      <c r="D30" s="957"/>
      <c r="E30" s="957"/>
      <c r="F30" s="957"/>
      <c r="G30" s="154" t="s">
        <v>152</v>
      </c>
      <c r="H30" s="155">
        <v>2</v>
      </c>
      <c r="I30" s="1132" t="s">
        <v>227</v>
      </c>
      <c r="J30" s="1132"/>
      <c r="K30" s="1133" t="s">
        <v>7</v>
      </c>
      <c r="L30" s="1133"/>
      <c r="M30" s="182" t="s">
        <v>7</v>
      </c>
      <c r="N30" s="665"/>
      <c r="O30" s="665"/>
      <c r="P30" s="665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139" t="s">
        <v>354</v>
      </c>
      <c r="D31" s="1140"/>
      <c r="E31" s="1140"/>
      <c r="F31" s="1141"/>
      <c r="G31" s="154" t="s">
        <v>152</v>
      </c>
      <c r="H31" s="155">
        <v>6</v>
      </c>
      <c r="I31" s="1137" t="s">
        <v>227</v>
      </c>
      <c r="J31" s="1138"/>
      <c r="K31" s="1142" t="s">
        <v>7</v>
      </c>
      <c r="L31" s="1143"/>
      <c r="M31" s="182" t="s">
        <v>7</v>
      </c>
      <c r="N31" s="665"/>
      <c r="O31" s="665"/>
      <c r="P31" s="665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139" t="s">
        <v>356</v>
      </c>
      <c r="D32" s="1140"/>
      <c r="E32" s="1140"/>
      <c r="F32" s="1141"/>
      <c r="G32" s="154" t="s">
        <v>152</v>
      </c>
      <c r="H32" s="155">
        <v>2</v>
      </c>
      <c r="I32" s="1137" t="s">
        <v>227</v>
      </c>
      <c r="J32" s="1138"/>
      <c r="K32" s="1142" t="s">
        <v>7</v>
      </c>
      <c r="L32" s="1143"/>
      <c r="M32" s="182" t="s">
        <v>7</v>
      </c>
      <c r="N32" s="665"/>
      <c r="O32" s="665"/>
      <c r="P32" s="665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7" t="s">
        <v>1351</v>
      </c>
      <c r="D33" s="957"/>
      <c r="E33" s="957"/>
      <c r="F33" s="957"/>
      <c r="G33" s="154" t="s">
        <v>152</v>
      </c>
      <c r="H33" s="155">
        <v>1</v>
      </c>
      <c r="I33" s="1132" t="s">
        <v>1348</v>
      </c>
      <c r="J33" s="1132"/>
      <c r="K33" s="1133" t="s">
        <v>1349</v>
      </c>
      <c r="L33" s="1133"/>
      <c r="M33" s="180" t="s">
        <v>1350</v>
      </c>
      <c r="N33" s="664"/>
      <c r="O33" s="664"/>
      <c r="P33" s="664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27" t="s">
        <v>357</v>
      </c>
      <c r="D34" s="959"/>
      <c r="E34" s="959"/>
      <c r="F34" s="959"/>
      <c r="G34" s="959"/>
      <c r="H34" s="959"/>
      <c r="I34" s="959"/>
      <c r="J34" s="959"/>
      <c r="K34" s="959"/>
      <c r="L34" s="959"/>
      <c r="M34" s="1128"/>
      <c r="N34" s="653"/>
      <c r="O34" s="653"/>
      <c r="P34" s="653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139" t="s">
        <v>358</v>
      </c>
      <c r="D35" s="1140"/>
      <c r="E35" s="1140"/>
      <c r="F35" s="1141"/>
      <c r="G35" s="154" t="s">
        <v>152</v>
      </c>
      <c r="H35" s="155">
        <v>2</v>
      </c>
      <c r="I35" s="1137" t="s">
        <v>227</v>
      </c>
      <c r="J35" s="1138"/>
      <c r="K35" s="1142" t="s">
        <v>7</v>
      </c>
      <c r="L35" s="1143"/>
      <c r="M35" s="180"/>
      <c r="N35" s="664"/>
      <c r="O35" s="664"/>
      <c r="P35" s="664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139" t="s">
        <v>359</v>
      </c>
      <c r="D36" s="1140"/>
      <c r="E36" s="1140"/>
      <c r="F36" s="1141"/>
      <c r="G36" s="154" t="s">
        <v>152</v>
      </c>
      <c r="H36" s="155">
        <v>4</v>
      </c>
      <c r="I36" s="1137" t="s">
        <v>227</v>
      </c>
      <c r="J36" s="1138"/>
      <c r="K36" s="1142" t="s">
        <v>7</v>
      </c>
      <c r="L36" s="1143"/>
      <c r="M36" s="180"/>
      <c r="N36" s="664"/>
      <c r="O36" s="664"/>
      <c r="P36" s="664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139" t="s">
        <v>361</v>
      </c>
      <c r="D37" s="1140"/>
      <c r="E37" s="1140"/>
      <c r="F37" s="1141"/>
      <c r="G37" s="154" t="s">
        <v>152</v>
      </c>
      <c r="H37" s="155">
        <v>1</v>
      </c>
      <c r="I37" s="1137" t="s">
        <v>227</v>
      </c>
      <c r="J37" s="1138"/>
      <c r="K37" s="1142" t="s">
        <v>7</v>
      </c>
      <c r="L37" s="1143"/>
      <c r="M37" s="180"/>
      <c r="N37" s="664"/>
      <c r="O37" s="664"/>
      <c r="P37" s="664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34" t="s">
        <v>363</v>
      </c>
      <c r="D38" s="1135"/>
      <c r="E38" s="1135"/>
      <c r="F38" s="1136"/>
      <c r="G38" s="154" t="s">
        <v>152</v>
      </c>
      <c r="H38" s="157">
        <v>4</v>
      </c>
      <c r="I38" s="1150" t="s">
        <v>227</v>
      </c>
      <c r="J38" s="1151"/>
      <c r="K38" s="1152" t="s">
        <v>7</v>
      </c>
      <c r="L38" s="1153"/>
      <c r="M38" s="184"/>
      <c r="N38" s="666"/>
      <c r="O38" s="666"/>
      <c r="P38" s="666"/>
      <c r="Q38" s="185" t="s">
        <v>7</v>
      </c>
    </row>
    <row r="39" spans="1:17" ht="15" customHeight="1" x14ac:dyDescent="0.3">
      <c r="A39" s="1144"/>
      <c r="B39" s="1145"/>
      <c r="C39" s="1145"/>
      <c r="D39" s="1145"/>
      <c r="E39" s="1145"/>
      <c r="F39" s="1145"/>
      <c r="G39" s="1145"/>
      <c r="H39" s="1145"/>
      <c r="I39" s="1145"/>
      <c r="J39" s="1145"/>
      <c r="K39" s="1145"/>
      <c r="L39" s="1145"/>
      <c r="M39" s="1145"/>
      <c r="N39" s="1145"/>
      <c r="O39" s="1145"/>
      <c r="P39" s="1145"/>
      <c r="Q39" s="1146"/>
    </row>
    <row r="40" spans="1:17" ht="15" customHeight="1" thickBot="1" x14ac:dyDescent="0.35">
      <c r="A40" s="1147"/>
      <c r="B40" s="1148"/>
      <c r="C40" s="1148"/>
      <c r="D40" s="1148"/>
      <c r="E40" s="1148"/>
      <c r="F40" s="1148"/>
      <c r="G40" s="1148"/>
      <c r="H40" s="1148"/>
      <c r="I40" s="1148"/>
      <c r="J40" s="1148"/>
      <c r="K40" s="1148"/>
      <c r="L40" s="1148"/>
      <c r="M40" s="1148"/>
      <c r="N40" s="1148"/>
      <c r="O40" s="1148"/>
      <c r="P40" s="1148"/>
      <c r="Q40" s="1149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6" t="s">
        <v>833</v>
      </c>
      <c r="B43" s="716"/>
      <c r="C43" s="716"/>
      <c r="D43" s="716"/>
      <c r="E43" s="716"/>
      <c r="F43" s="716"/>
      <c r="G43" s="716"/>
      <c r="H43" s="716"/>
      <c r="I43" s="716"/>
      <c r="J43" s="716"/>
      <c r="K43" s="716"/>
      <c r="L43" s="716"/>
      <c r="M43" s="716"/>
      <c r="N43" s="716"/>
      <c r="O43" s="716"/>
      <c r="P43" s="716"/>
      <c r="Q43" s="716"/>
    </row>
    <row r="44" spans="1:17" x14ac:dyDescent="0.3">
      <c r="A44" s="814" t="s">
        <v>846</v>
      </c>
      <c r="B44" s="814" t="s">
        <v>847</v>
      </c>
      <c r="C44" s="814" t="s">
        <v>575</v>
      </c>
      <c r="D44" s="814" t="s">
        <v>848</v>
      </c>
      <c r="E44" s="814" t="s">
        <v>834</v>
      </c>
      <c r="F44" s="814" t="s">
        <v>839</v>
      </c>
      <c r="G44" s="814" t="s">
        <v>840</v>
      </c>
      <c r="H44" s="814" t="s">
        <v>841</v>
      </c>
      <c r="I44" s="814" t="s">
        <v>837</v>
      </c>
      <c r="J44" s="814"/>
      <c r="K44" s="814"/>
      <c r="L44" s="814"/>
      <c r="M44" s="814" t="s">
        <v>838</v>
      </c>
      <c r="N44" s="38"/>
      <c r="O44" s="38"/>
      <c r="P44" s="38"/>
      <c r="Q44" s="814" t="s">
        <v>88</v>
      </c>
    </row>
    <row r="45" spans="1:17" x14ac:dyDescent="0.3">
      <c r="A45" s="814"/>
      <c r="B45" s="814"/>
      <c r="C45" s="814"/>
      <c r="D45" s="814"/>
      <c r="E45" s="814"/>
      <c r="F45" s="814"/>
      <c r="G45" s="814"/>
      <c r="H45" s="814"/>
      <c r="I45" s="38" t="s">
        <v>843</v>
      </c>
      <c r="J45" s="38" t="s">
        <v>842</v>
      </c>
      <c r="K45" s="38" t="s">
        <v>844</v>
      </c>
      <c r="L45" s="38" t="s">
        <v>845</v>
      </c>
      <c r="M45" s="814"/>
      <c r="N45" s="38"/>
      <c r="O45" s="38"/>
      <c r="P45" s="38"/>
      <c r="Q45" s="814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1088"/>
      <c r="D47" s="1088"/>
    </row>
    <row r="48" spans="1:17" x14ac:dyDescent="0.3">
      <c r="C48" s="1088"/>
      <c r="D48" s="1088"/>
    </row>
    <row r="49" spans="3:4" x14ac:dyDescent="0.3">
      <c r="C49" s="1088"/>
      <c r="D49" s="1088"/>
    </row>
    <row r="50" spans="3:4" x14ac:dyDescent="0.3">
      <c r="C50" s="1088"/>
      <c r="D50" s="1088"/>
    </row>
    <row r="51" spans="3:4" x14ac:dyDescent="0.3">
      <c r="C51" s="1088"/>
      <c r="D51" s="1088"/>
    </row>
    <row r="52" spans="3:4" x14ac:dyDescent="0.3">
      <c r="C52" s="1088"/>
      <c r="D52" s="1088"/>
    </row>
    <row r="53" spans="3:4" x14ac:dyDescent="0.3">
      <c r="C53" s="1088"/>
      <c r="D53" s="1088"/>
    </row>
  </sheetData>
  <mergeCells count="113"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1" bestFit="1" customWidth="1"/>
    <col min="11" max="11" width="14.44140625" style="49" bestFit="1" customWidth="1"/>
    <col min="12" max="12" width="14.88671875" style="585" bestFit="1" customWidth="1"/>
  </cols>
  <sheetData>
    <row r="1" spans="1:15" x14ac:dyDescent="0.3">
      <c r="A1" s="176" t="s">
        <v>1152</v>
      </c>
      <c r="B1" s="176" t="s">
        <v>4</v>
      </c>
      <c r="C1" s="176" t="s">
        <v>92</v>
      </c>
      <c r="D1" s="176" t="s">
        <v>1153</v>
      </c>
      <c r="E1" s="176" t="s">
        <v>1072</v>
      </c>
      <c r="F1" s="176" t="s">
        <v>1098</v>
      </c>
      <c r="G1" s="176" t="s">
        <v>1099</v>
      </c>
      <c r="H1" s="176" t="s">
        <v>1154</v>
      </c>
      <c r="I1" s="190" t="s">
        <v>1155</v>
      </c>
      <c r="J1" s="590" t="s">
        <v>1156</v>
      </c>
      <c r="K1" s="190" t="s">
        <v>1168</v>
      </c>
      <c r="L1" s="589" t="s">
        <v>1270</v>
      </c>
      <c r="M1" s="59"/>
      <c r="N1" s="59"/>
      <c r="O1" s="59"/>
    </row>
    <row r="2" spans="1:15" x14ac:dyDescent="0.3">
      <c r="A2" s="674"/>
      <c r="B2" s="601"/>
      <c r="C2" s="602"/>
      <c r="D2" s="603"/>
      <c r="E2" s="609"/>
      <c r="F2" s="515"/>
      <c r="G2" s="515"/>
      <c r="H2" s="515"/>
      <c r="I2" s="604"/>
      <c r="J2" s="605"/>
      <c r="K2" s="515"/>
      <c r="L2" s="651"/>
      <c r="M2" s="62"/>
      <c r="N2" s="62"/>
      <c r="O2" s="62"/>
    </row>
    <row r="3" spans="1:15" x14ac:dyDescent="0.3">
      <c r="A3" s="674"/>
      <c r="B3" s="601"/>
      <c r="C3" s="602"/>
      <c r="D3" s="603"/>
      <c r="E3" s="609"/>
      <c r="F3" s="515"/>
      <c r="G3" s="515"/>
      <c r="H3" s="515"/>
      <c r="I3" s="604"/>
      <c r="J3" s="605"/>
      <c r="K3" s="515"/>
      <c r="L3" s="651"/>
    </row>
    <row r="4" spans="1:15" x14ac:dyDescent="0.3">
      <c r="A4" s="600"/>
      <c r="B4" s="601"/>
      <c r="C4" s="602"/>
      <c r="D4" s="603"/>
      <c r="E4" s="609"/>
      <c r="F4" s="515"/>
      <c r="G4" s="515"/>
      <c r="H4" s="515"/>
      <c r="I4" s="604"/>
      <c r="J4" s="605"/>
      <c r="K4" s="515"/>
      <c r="L4" s="651"/>
    </row>
    <row r="5" spans="1:15" x14ac:dyDescent="0.3">
      <c r="A5" s="600"/>
      <c r="B5" s="601"/>
      <c r="C5" s="602"/>
      <c r="D5" s="603"/>
      <c r="E5" s="609"/>
      <c r="F5" s="515"/>
      <c r="G5" s="515"/>
      <c r="H5" s="515"/>
      <c r="I5" s="604"/>
      <c r="J5" s="605"/>
      <c r="K5" s="515"/>
      <c r="L5" s="651"/>
    </row>
    <row r="6" spans="1:15" x14ac:dyDescent="0.3">
      <c r="A6" s="600"/>
      <c r="B6" s="601"/>
      <c r="C6" s="602"/>
      <c r="D6" s="603"/>
      <c r="E6" s="609"/>
      <c r="F6" s="515"/>
      <c r="G6" s="515"/>
      <c r="H6" s="515"/>
      <c r="I6" s="604"/>
      <c r="J6" s="605"/>
      <c r="K6" s="515"/>
      <c r="L6" s="651"/>
    </row>
    <row r="7" spans="1:15" x14ac:dyDescent="0.3">
      <c r="A7" s="600"/>
      <c r="B7" s="601"/>
      <c r="C7" s="602"/>
      <c r="D7" s="603"/>
      <c r="E7" s="609"/>
      <c r="F7" s="515"/>
      <c r="G7" s="515"/>
      <c r="H7" s="515"/>
      <c r="I7" s="604"/>
      <c r="J7" s="605"/>
      <c r="K7" s="515"/>
      <c r="L7" s="651"/>
    </row>
    <row r="8" spans="1:15" x14ac:dyDescent="0.3">
      <c r="A8" s="600"/>
      <c r="B8" s="601"/>
      <c r="C8" s="602"/>
      <c r="D8" s="603"/>
      <c r="E8" s="609"/>
      <c r="F8" s="515"/>
      <c r="G8" s="515"/>
      <c r="H8" s="515"/>
      <c r="I8" s="604"/>
      <c r="J8" s="605"/>
      <c r="K8" s="515"/>
      <c r="L8" s="651"/>
    </row>
    <row r="9" spans="1:15" x14ac:dyDescent="0.3">
      <c r="A9" s="600"/>
      <c r="B9" s="601"/>
      <c r="C9" s="602"/>
      <c r="D9" s="603"/>
      <c r="E9" s="609"/>
      <c r="F9" s="515"/>
      <c r="G9" s="515"/>
      <c r="H9" s="515"/>
      <c r="I9" s="604"/>
      <c r="J9" s="605"/>
      <c r="K9" s="515"/>
      <c r="L9" s="651"/>
    </row>
    <row r="10" spans="1:15" x14ac:dyDescent="0.3">
      <c r="A10" s="600"/>
      <c r="B10" s="601"/>
      <c r="C10" s="602"/>
      <c r="D10" s="603"/>
      <c r="E10" s="609"/>
      <c r="F10" s="515"/>
      <c r="G10" s="515"/>
      <c r="H10" s="515"/>
      <c r="I10" s="604"/>
      <c r="J10" s="605"/>
      <c r="K10" s="515"/>
      <c r="L10" s="651"/>
    </row>
    <row r="11" spans="1:15" x14ac:dyDescent="0.3">
      <c r="A11" s="600"/>
      <c r="B11" s="601"/>
      <c r="C11" s="602"/>
      <c r="D11" s="603"/>
      <c r="E11" s="609"/>
      <c r="F11" s="515"/>
      <c r="G11" s="515"/>
      <c r="H11" s="515"/>
      <c r="I11" s="604"/>
      <c r="J11" s="605"/>
      <c r="K11" s="515"/>
      <c r="L11" s="651"/>
    </row>
    <row r="12" spans="1:15" x14ac:dyDescent="0.3">
      <c r="A12" s="600"/>
      <c r="B12" s="601"/>
      <c r="C12" s="602"/>
      <c r="D12" s="603"/>
      <c r="E12" s="609"/>
      <c r="F12" s="515"/>
      <c r="G12" s="515"/>
      <c r="H12" s="515"/>
      <c r="I12" s="604"/>
      <c r="J12" s="605"/>
      <c r="K12" s="515"/>
      <c r="L12" s="651"/>
    </row>
    <row r="13" spans="1:15" x14ac:dyDescent="0.3">
      <c r="A13" s="600"/>
      <c r="B13" s="601"/>
      <c r="C13" s="602"/>
      <c r="D13" s="603"/>
      <c r="E13" s="609"/>
      <c r="F13" s="515"/>
      <c r="G13" s="515"/>
      <c r="H13" s="515"/>
      <c r="I13" s="604"/>
      <c r="J13" s="605"/>
      <c r="K13" s="515"/>
      <c r="L13" s="651"/>
    </row>
    <row r="14" spans="1:15" x14ac:dyDescent="0.3">
      <c r="A14" s="600"/>
      <c r="B14" s="601"/>
      <c r="C14" s="602"/>
      <c r="D14" s="603"/>
      <c r="E14" s="609"/>
      <c r="F14" s="515"/>
      <c r="G14" s="515"/>
      <c r="H14" s="515"/>
      <c r="I14" s="604"/>
      <c r="J14" s="605"/>
      <c r="K14" s="515"/>
      <c r="L14" s="651"/>
    </row>
    <row r="15" spans="1:15" x14ac:dyDescent="0.3">
      <c r="A15" s="600"/>
      <c r="B15" s="601"/>
      <c r="C15" s="602"/>
      <c r="D15" s="603"/>
      <c r="E15" s="609"/>
      <c r="F15" s="515"/>
      <c r="G15" s="515"/>
      <c r="H15" s="515"/>
      <c r="I15" s="604"/>
      <c r="J15" s="605"/>
      <c r="K15" s="515"/>
      <c r="L15" s="651"/>
    </row>
    <row r="16" spans="1:15" x14ac:dyDescent="0.3">
      <c r="A16" s="600"/>
      <c r="B16" s="601"/>
      <c r="C16" s="602"/>
      <c r="D16" s="603"/>
      <c r="E16" s="609"/>
      <c r="F16" s="515"/>
      <c r="G16" s="515"/>
      <c r="H16" s="515"/>
      <c r="I16" s="604"/>
      <c r="J16" s="605"/>
      <c r="K16" s="515"/>
      <c r="L16" s="651"/>
    </row>
    <row r="17" spans="1:12" x14ac:dyDescent="0.3">
      <c r="A17" s="600"/>
      <c r="B17" s="601"/>
      <c r="C17" s="602"/>
      <c r="D17" s="603"/>
      <c r="E17" s="609"/>
      <c r="F17" s="515"/>
      <c r="G17" s="515"/>
      <c r="H17" s="515"/>
      <c r="I17" s="604"/>
      <c r="J17" s="605"/>
      <c r="K17" s="515"/>
      <c r="L17" s="651"/>
    </row>
    <row r="18" spans="1:12" x14ac:dyDescent="0.3">
      <c r="A18" s="600"/>
      <c r="B18" s="601"/>
      <c r="C18" s="602"/>
      <c r="D18" s="603"/>
      <c r="E18" s="609"/>
      <c r="F18" s="515"/>
      <c r="G18" s="515"/>
      <c r="H18" s="515"/>
      <c r="I18" s="604"/>
      <c r="J18" s="605"/>
      <c r="K18" s="515"/>
      <c r="L18" s="651"/>
    </row>
    <row r="19" spans="1:12" x14ac:dyDescent="0.3">
      <c r="A19" s="600"/>
      <c r="B19" s="601"/>
      <c r="C19" s="602"/>
      <c r="D19" s="603"/>
      <c r="E19" s="609"/>
      <c r="F19" s="515"/>
      <c r="G19" s="515"/>
      <c r="H19" s="515"/>
      <c r="I19" s="604"/>
      <c r="J19" s="605"/>
      <c r="K19" s="515"/>
      <c r="L19" s="651"/>
    </row>
    <row r="20" spans="1:12" x14ac:dyDescent="0.3">
      <c r="A20" s="600"/>
      <c r="B20" s="601"/>
      <c r="C20" s="602"/>
      <c r="D20" s="603"/>
      <c r="E20" s="609"/>
      <c r="F20" s="515"/>
      <c r="G20" s="515"/>
      <c r="H20" s="515"/>
      <c r="I20" s="604"/>
      <c r="J20" s="605"/>
      <c r="K20" s="515"/>
      <c r="L20" s="651"/>
    </row>
    <row r="21" spans="1:12" x14ac:dyDescent="0.3">
      <c r="A21" s="600"/>
      <c r="B21" s="601"/>
      <c r="C21" s="602"/>
      <c r="D21" s="603"/>
      <c r="E21" s="609"/>
      <c r="F21" s="515"/>
      <c r="G21" s="515"/>
      <c r="H21" s="515"/>
      <c r="I21" s="604"/>
      <c r="J21" s="605"/>
      <c r="K21" s="515"/>
      <c r="L21" s="651"/>
    </row>
    <row r="22" spans="1:12" x14ac:dyDescent="0.3">
      <c r="A22" s="600"/>
      <c r="B22" s="601"/>
      <c r="C22" s="602"/>
      <c r="D22" s="603"/>
      <c r="E22" s="609"/>
      <c r="F22" s="515"/>
      <c r="G22" s="515"/>
      <c r="H22" s="515"/>
      <c r="I22" s="604"/>
      <c r="J22" s="605"/>
      <c r="K22" s="515"/>
      <c r="L22" s="651"/>
    </row>
    <row r="23" spans="1:12" x14ac:dyDescent="0.3">
      <c r="A23" s="600"/>
      <c r="B23" s="601"/>
      <c r="C23" s="602"/>
      <c r="D23" s="603"/>
      <c r="E23" s="609"/>
      <c r="F23" s="515"/>
      <c r="G23" s="515"/>
      <c r="H23" s="515"/>
      <c r="I23" s="604"/>
      <c r="J23" s="605"/>
      <c r="K23" s="515"/>
      <c r="L23" s="651"/>
    </row>
    <row r="24" spans="1:12" x14ac:dyDescent="0.3">
      <c r="A24" s="600"/>
      <c r="B24" s="601"/>
      <c r="C24" s="602"/>
      <c r="D24" s="603"/>
      <c r="E24" s="609"/>
      <c r="F24" s="515"/>
      <c r="G24" s="515"/>
      <c r="H24" s="515"/>
      <c r="I24" s="604"/>
      <c r="J24" s="605"/>
      <c r="K24" s="515"/>
      <c r="L24" s="651"/>
    </row>
    <row r="25" spans="1:12" x14ac:dyDescent="0.3">
      <c r="A25" s="600"/>
      <c r="B25" s="601"/>
      <c r="C25" s="602"/>
      <c r="D25" s="603"/>
      <c r="E25" s="609"/>
      <c r="F25" s="515"/>
      <c r="G25" s="515"/>
      <c r="H25" s="515"/>
      <c r="I25" s="604"/>
      <c r="J25" s="605"/>
      <c r="K25" s="515"/>
      <c r="L25" s="651"/>
    </row>
    <row r="26" spans="1:12" x14ac:dyDescent="0.3">
      <c r="A26" s="600"/>
      <c r="B26" s="601"/>
      <c r="C26" s="602"/>
      <c r="D26" s="603"/>
      <c r="E26" s="609"/>
      <c r="F26" s="515"/>
      <c r="G26" s="515"/>
      <c r="H26" s="515"/>
      <c r="I26" s="604"/>
      <c r="J26" s="605"/>
      <c r="K26" s="515"/>
      <c r="L26" s="651"/>
    </row>
    <row r="27" spans="1:12" x14ac:dyDescent="0.3">
      <c r="A27" s="600"/>
      <c r="B27" s="601"/>
      <c r="C27" s="602"/>
      <c r="D27" s="603"/>
      <c r="E27" s="609"/>
      <c r="F27" s="515"/>
      <c r="G27" s="515"/>
      <c r="H27" s="515"/>
      <c r="I27" s="604"/>
      <c r="J27" s="605"/>
      <c r="K27" s="515"/>
      <c r="L27" s="651"/>
    </row>
    <row r="28" spans="1:12" x14ac:dyDescent="0.3">
      <c r="A28" s="600"/>
      <c r="B28" s="601"/>
      <c r="C28" s="602"/>
      <c r="D28" s="603"/>
      <c r="E28" s="609"/>
      <c r="F28" s="515"/>
      <c r="G28" s="515"/>
      <c r="H28" s="515"/>
      <c r="I28" s="604"/>
      <c r="J28" s="605"/>
      <c r="K28" s="515"/>
      <c r="L28" s="651"/>
    </row>
    <row r="29" spans="1:12" x14ac:dyDescent="0.3">
      <c r="A29" s="600"/>
      <c r="B29" s="601"/>
      <c r="C29" s="602"/>
      <c r="D29" s="603"/>
      <c r="E29" s="609"/>
      <c r="F29" s="515"/>
      <c r="G29" s="515"/>
      <c r="H29" s="515"/>
      <c r="I29" s="604"/>
      <c r="J29" s="605"/>
      <c r="K29" s="515"/>
      <c r="L29" s="651"/>
    </row>
    <row r="30" spans="1:12" x14ac:dyDescent="0.3">
      <c r="A30" s="600"/>
      <c r="B30" s="601"/>
      <c r="C30" s="602"/>
      <c r="D30" s="603"/>
      <c r="E30" s="609"/>
      <c r="F30" s="515"/>
      <c r="G30" s="515"/>
      <c r="H30" s="515"/>
      <c r="I30" s="604"/>
      <c r="J30" s="605"/>
      <c r="K30" s="515"/>
      <c r="L30" s="651"/>
    </row>
    <row r="31" spans="1:12" x14ac:dyDescent="0.3">
      <c r="A31" s="600"/>
      <c r="B31" s="601"/>
      <c r="C31" s="602"/>
      <c r="D31" s="603"/>
      <c r="E31" s="609"/>
      <c r="F31" s="515"/>
      <c r="G31" s="515"/>
      <c r="H31" s="515"/>
      <c r="I31" s="604"/>
      <c r="J31" s="605"/>
      <c r="K31" s="515"/>
      <c r="L31" s="651"/>
    </row>
    <row r="32" spans="1:12" x14ac:dyDescent="0.3">
      <c r="A32" s="600"/>
      <c r="B32" s="601"/>
      <c r="C32" s="602"/>
      <c r="D32" s="603"/>
      <c r="E32" s="609"/>
      <c r="F32" s="515"/>
      <c r="G32" s="515"/>
      <c r="H32" s="515"/>
      <c r="I32" s="604"/>
      <c r="J32" s="605"/>
      <c r="K32" s="515"/>
      <c r="L32" s="651"/>
    </row>
    <row r="33" spans="1:12" x14ac:dyDescent="0.3">
      <c r="A33" s="600"/>
      <c r="B33" s="601"/>
      <c r="C33" s="602"/>
      <c r="D33" s="603"/>
      <c r="E33" s="609"/>
      <c r="F33" s="515"/>
      <c r="G33" s="515"/>
      <c r="H33" s="515"/>
      <c r="I33" s="604"/>
      <c r="J33" s="605"/>
      <c r="K33" s="515"/>
      <c r="L33" s="651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6"/>
      <c r="B1" s="716"/>
      <c r="C1" s="716"/>
      <c r="D1" s="716"/>
      <c r="E1" s="1158" t="s">
        <v>317</v>
      </c>
      <c r="F1" s="1158"/>
      <c r="G1" s="1158"/>
      <c r="H1" s="1158"/>
      <c r="I1" s="1158"/>
      <c r="J1" s="1158"/>
      <c r="K1" s="1158"/>
      <c r="L1" s="1158"/>
      <c r="M1" s="1158"/>
      <c r="N1" s="1158"/>
      <c r="O1" s="1158"/>
      <c r="P1" s="1158"/>
      <c r="Q1" s="1158"/>
    </row>
    <row r="2" spans="1:31" ht="15" customHeight="1" x14ac:dyDescent="0.3">
      <c r="A2" s="716"/>
      <c r="B2" s="716"/>
      <c r="C2" s="716"/>
      <c r="D2" s="716"/>
      <c r="E2" s="47" t="s">
        <v>46</v>
      </c>
      <c r="F2" s="116" t="e">
        <f>#REF!</f>
        <v>#REF!</v>
      </c>
      <c r="G2" s="967" t="s">
        <v>318</v>
      </c>
      <c r="H2" s="967"/>
      <c r="I2" s="967"/>
      <c r="J2" s="967"/>
      <c r="K2" s="967"/>
      <c r="L2" s="967"/>
      <c r="M2" s="967"/>
      <c r="N2" s="967"/>
      <c r="O2" s="967"/>
      <c r="P2" s="967"/>
      <c r="Q2" s="967"/>
    </row>
    <row r="3" spans="1:31" ht="15" customHeight="1" x14ac:dyDescent="0.3">
      <c r="A3" s="716"/>
      <c r="B3" s="716"/>
      <c r="C3" s="716"/>
      <c r="D3" s="716"/>
      <c r="E3" s="47" t="s">
        <v>47</v>
      </c>
      <c r="F3" s="116" t="e">
        <f>#REF!</f>
        <v>#REF!</v>
      </c>
      <c r="G3" s="936" t="e">
        <f>#REF!</f>
        <v>#REF!</v>
      </c>
      <c r="H3" s="936"/>
      <c r="I3" s="936"/>
      <c r="J3" s="936"/>
      <c r="K3" s="936"/>
      <c r="L3" s="936"/>
      <c r="M3" s="936"/>
      <c r="N3" s="936"/>
      <c r="O3" s="936"/>
      <c r="P3" s="936"/>
      <c r="Q3" s="936"/>
    </row>
    <row r="4" spans="1:31" ht="15" customHeight="1" x14ac:dyDescent="0.3">
      <c r="A4" s="716"/>
      <c r="B4" s="716"/>
      <c r="C4" s="716"/>
      <c r="D4" s="716"/>
      <c r="E4" s="47" t="s">
        <v>48</v>
      </c>
      <c r="F4" s="116" t="e">
        <f>#REF!</f>
        <v>#REF!</v>
      </c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</row>
    <row r="5" spans="1:31" ht="15" customHeight="1" x14ac:dyDescent="0.3">
      <c r="A5" s="716"/>
      <c r="B5" s="716"/>
      <c r="C5" s="716"/>
      <c r="D5" s="716"/>
      <c r="E5" s="47" t="s">
        <v>110</v>
      </c>
      <c r="F5" s="152">
        <f ca="1">NOW()</f>
        <v>46064.807083449072</v>
      </c>
      <c r="G5" s="936"/>
      <c r="H5" s="936"/>
      <c r="I5" s="936"/>
      <c r="J5" s="936"/>
      <c r="K5" s="936"/>
      <c r="L5" s="936"/>
      <c r="M5" s="936"/>
      <c r="N5" s="936"/>
      <c r="O5" s="936"/>
      <c r="P5" s="936"/>
      <c r="Q5" s="936"/>
    </row>
    <row r="6" spans="1:31" ht="15" customHeight="1" x14ac:dyDescent="0.3">
      <c r="A6" s="716"/>
      <c r="B6" s="716"/>
      <c r="C6" s="716"/>
      <c r="D6" s="716"/>
      <c r="E6" s="81" t="s">
        <v>364</v>
      </c>
      <c r="F6" s="46" t="e">
        <f>#REF!</f>
        <v>#REF!</v>
      </c>
      <c r="G6" s="936"/>
      <c r="H6" s="936"/>
      <c r="I6" s="936"/>
      <c r="J6" s="936"/>
      <c r="K6" s="936"/>
      <c r="L6" s="936"/>
      <c r="M6" s="936"/>
      <c r="N6" s="936"/>
      <c r="O6" s="936"/>
      <c r="P6" s="936"/>
      <c r="Q6" s="936"/>
    </row>
    <row r="7" spans="1:31" ht="15" customHeight="1" x14ac:dyDescent="0.3">
      <c r="A7" s="716"/>
      <c r="B7" s="716"/>
      <c r="C7" s="716"/>
      <c r="D7" s="716"/>
      <c r="E7" s="81" t="s">
        <v>579</v>
      </c>
      <c r="F7" s="46"/>
      <c r="G7" s="1159" t="e">
        <f>#REF!</f>
        <v>#REF!</v>
      </c>
      <c r="H7" s="1159"/>
      <c r="I7" s="1159"/>
      <c r="J7" s="1159"/>
      <c r="K7" s="1159"/>
      <c r="L7" s="1159"/>
      <c r="M7" s="1159"/>
      <c r="N7" s="1159"/>
      <c r="O7" s="1159"/>
      <c r="P7" s="1159"/>
      <c r="Q7" s="1159"/>
    </row>
    <row r="8" spans="1:31" ht="15" customHeight="1" x14ac:dyDescent="0.3">
      <c r="A8" s="1090"/>
      <c r="B8" s="1090"/>
      <c r="C8" s="1090"/>
      <c r="D8" s="1090"/>
      <c r="E8" s="1090"/>
      <c r="F8" s="1090"/>
      <c r="G8" s="1090"/>
      <c r="H8" s="1090"/>
      <c r="I8" s="1090"/>
      <c r="J8" s="1090"/>
      <c r="K8" s="1090"/>
      <c r="L8" s="1090"/>
      <c r="M8" s="1090"/>
      <c r="N8" s="1090"/>
      <c r="O8" s="1090"/>
      <c r="P8" s="1090"/>
      <c r="Q8" s="1090"/>
    </row>
    <row r="9" spans="1:31" ht="15" customHeight="1" x14ac:dyDescent="0.3">
      <c r="A9" s="973" t="s">
        <v>130</v>
      </c>
      <c r="B9" s="973"/>
      <c r="C9" s="973"/>
      <c r="D9" s="973"/>
      <c r="E9" s="973"/>
      <c r="F9" s="973"/>
      <c r="G9" s="973"/>
      <c r="H9" s="973"/>
      <c r="I9" s="973"/>
      <c r="J9" s="973"/>
      <c r="K9" s="973"/>
      <c r="L9" s="973"/>
      <c r="M9" s="973"/>
      <c r="N9" s="973"/>
      <c r="O9" s="973"/>
      <c r="P9" s="973"/>
      <c r="Q9" s="973"/>
    </row>
    <row r="10" spans="1:31" ht="15" customHeight="1" x14ac:dyDescent="0.3">
      <c r="A10" s="1106" t="s">
        <v>131</v>
      </c>
      <c r="B10" s="1106"/>
      <c r="C10" s="1107" t="s">
        <v>132</v>
      </c>
      <c r="D10" s="1107"/>
      <c r="E10" s="1107"/>
      <c r="F10" s="1107"/>
      <c r="G10" s="1107"/>
      <c r="H10" s="973" t="s">
        <v>133</v>
      </c>
      <c r="I10" s="973"/>
      <c r="J10" s="980" t="s">
        <v>134</v>
      </c>
      <c r="K10" s="980"/>
      <c r="L10" s="980" t="s">
        <v>134</v>
      </c>
      <c r="M10" s="980"/>
      <c r="N10" s="153" t="s">
        <v>135</v>
      </c>
      <c r="O10" s="153"/>
      <c r="P10" s="153"/>
      <c r="Q10" s="716"/>
      <c r="Z10" s="814" t="s">
        <v>616</v>
      </c>
      <c r="AA10" s="814"/>
      <c r="AB10" s="814"/>
      <c r="AC10" s="814"/>
      <c r="AD10" s="814"/>
      <c r="AE10" s="814"/>
    </row>
    <row r="11" spans="1:31" ht="15" customHeight="1" x14ac:dyDescent="0.3">
      <c r="A11" s="1106" t="s">
        <v>136</v>
      </c>
      <c r="B11" s="1106"/>
      <c r="C11" s="1113" t="s">
        <v>319</v>
      </c>
      <c r="D11" s="1113"/>
      <c r="E11" s="1113"/>
      <c r="F11" s="1113"/>
      <c r="G11" s="1113"/>
      <c r="H11" s="999">
        <f ca="1">TODAY()</f>
        <v>46064</v>
      </c>
      <c r="I11" s="999"/>
      <c r="J11" s="1000" t="s">
        <v>320</v>
      </c>
      <c r="K11" s="1000"/>
      <c r="L11" s="1000" t="s">
        <v>7</v>
      </c>
      <c r="M11" s="1000"/>
      <c r="N11" s="158" t="s">
        <v>7</v>
      </c>
      <c r="O11" s="158"/>
      <c r="P11" s="158"/>
      <c r="Q11" s="716"/>
      <c r="Z11" s="716" t="s">
        <v>866</v>
      </c>
      <c r="AA11" s="716"/>
      <c r="AB11" s="716" t="s">
        <v>867</v>
      </c>
      <c r="AC11" s="716"/>
      <c r="AD11" s="14"/>
      <c r="AE11" s="14"/>
    </row>
    <row r="12" spans="1:31" ht="15" customHeight="1" x14ac:dyDescent="0.3">
      <c r="A12" s="1118" t="s">
        <v>138</v>
      </c>
      <c r="B12" s="1118"/>
      <c r="C12" s="1119"/>
      <c r="D12" s="1119"/>
      <c r="E12" s="1119"/>
      <c r="F12" s="1119"/>
      <c r="G12" s="1119"/>
      <c r="H12" s="999"/>
      <c r="I12" s="999"/>
      <c r="J12" s="999"/>
      <c r="K12" s="999"/>
      <c r="L12" s="1002"/>
      <c r="M12" s="1002"/>
      <c r="N12" s="159"/>
      <c r="O12" s="159"/>
      <c r="P12" s="159"/>
      <c r="Q12" s="716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847"/>
      <c r="B13" s="847"/>
      <c r="C13" s="847"/>
      <c r="D13" s="847"/>
      <c r="E13" s="847"/>
      <c r="F13" s="847"/>
      <c r="G13" s="847"/>
      <c r="H13" s="847"/>
      <c r="I13" s="847"/>
      <c r="J13" s="847"/>
      <c r="K13" s="847"/>
      <c r="L13" s="847"/>
      <c r="M13" s="847"/>
      <c r="N13" s="847"/>
      <c r="O13" s="847"/>
      <c r="P13" s="847"/>
      <c r="Q13" s="847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56" t="s">
        <v>321</v>
      </c>
      <c r="B14" s="1156" t="s">
        <v>140</v>
      </c>
      <c r="C14" s="1013" t="s">
        <v>141</v>
      </c>
      <c r="D14" s="1013"/>
      <c r="E14" s="1013"/>
      <c r="F14" s="1013"/>
      <c r="G14" s="1013"/>
      <c r="H14" s="1013" t="s">
        <v>142</v>
      </c>
      <c r="I14" s="1014" t="s">
        <v>143</v>
      </c>
      <c r="J14" s="1014" t="s">
        <v>322</v>
      </c>
      <c r="K14" s="1014"/>
      <c r="L14" s="1014" t="s">
        <v>221</v>
      </c>
      <c r="M14" s="1014"/>
      <c r="N14" s="1006" t="s">
        <v>222</v>
      </c>
      <c r="O14" s="363"/>
      <c r="P14" s="363"/>
      <c r="Q14" s="1006" t="s">
        <v>321</v>
      </c>
      <c r="S14" s="507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814" t="s">
        <v>617</v>
      </c>
      <c r="AA14" s="814"/>
      <c r="AB14" s="814"/>
      <c r="AC14" s="814"/>
      <c r="AD14" s="814"/>
      <c r="AE14" s="814"/>
    </row>
    <row r="15" spans="1:31" ht="15" customHeight="1" x14ac:dyDescent="0.3">
      <c r="A15" s="1156"/>
      <c r="B15" s="1156"/>
      <c r="C15" s="1013"/>
      <c r="D15" s="1013"/>
      <c r="E15" s="1013"/>
      <c r="F15" s="1013"/>
      <c r="G15" s="1013"/>
      <c r="H15" s="1013"/>
      <c r="I15" s="1014"/>
      <c r="J15" s="1014"/>
      <c r="K15" s="1014"/>
      <c r="L15" s="1014"/>
      <c r="M15" s="1014"/>
      <c r="N15" s="1006"/>
      <c r="O15" s="363"/>
      <c r="P15" s="363"/>
      <c r="Q15" s="1006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9">
        <v>0.49399999999999999</v>
      </c>
      <c r="Z15" s="716" t="s">
        <v>866</v>
      </c>
      <c r="AA15" s="716"/>
      <c r="AB15" s="716" t="s">
        <v>867</v>
      </c>
      <c r="AC15" s="716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54" t="s">
        <v>149</v>
      </c>
      <c r="D16" s="1154"/>
      <c r="E16" s="1154"/>
      <c r="F16" s="1154"/>
      <c r="G16" s="1154"/>
      <c r="H16" s="1154"/>
      <c r="I16" s="1154"/>
      <c r="J16" s="1154"/>
      <c r="K16" s="1154"/>
      <c r="L16" s="1154"/>
      <c r="M16" s="1154"/>
      <c r="N16" s="1154"/>
      <c r="O16" s="480"/>
      <c r="P16" s="480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7">
        <f>IF(Q17="ok",1.3,IF(Q17="EM PROCESSO",1.2,-1))</f>
        <v>-1</v>
      </c>
      <c r="B17" s="160" t="str">
        <f ca="1">CONCATENATE($B$17,".",U17)</f>
        <v>1.1</v>
      </c>
      <c r="C17" s="1015" t="s">
        <v>150</v>
      </c>
      <c r="D17" s="1015"/>
      <c r="E17" s="1015"/>
      <c r="F17" s="1015"/>
      <c r="G17" s="1015"/>
      <c r="H17" s="1155"/>
      <c r="I17" s="1155"/>
      <c r="J17" s="1155"/>
      <c r="K17" s="1155"/>
      <c r="L17" s="1155"/>
      <c r="M17" s="1155"/>
      <c r="N17" s="1155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6" t="s">
        <v>833</v>
      </c>
      <c r="B18" s="716"/>
      <c r="C18" s="716"/>
      <c r="D18" s="716"/>
      <c r="E18" s="716"/>
      <c r="F18" s="716"/>
      <c r="G18" s="716"/>
      <c r="H18" s="716"/>
      <c r="I18" s="716"/>
      <c r="J18" s="716"/>
      <c r="K18" s="716"/>
      <c r="L18" s="716"/>
      <c r="M18" s="716"/>
      <c r="N18" s="716"/>
      <c r="O18" s="716"/>
      <c r="P18" s="716"/>
      <c r="Q18" s="716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814" t="s">
        <v>846</v>
      </c>
      <c r="B19" s="814" t="s">
        <v>847</v>
      </c>
      <c r="C19" s="1157" t="s">
        <v>850</v>
      </c>
      <c r="D19" s="1157" t="s">
        <v>851</v>
      </c>
      <c r="E19" s="1157" t="s">
        <v>854</v>
      </c>
      <c r="F19" s="814" t="s">
        <v>835</v>
      </c>
      <c r="G19" s="814" t="s">
        <v>839</v>
      </c>
      <c r="H19" s="814" t="s">
        <v>840</v>
      </c>
      <c r="I19" s="814" t="s">
        <v>841</v>
      </c>
      <c r="J19" s="814" t="s">
        <v>837</v>
      </c>
      <c r="K19" s="814"/>
      <c r="L19" s="814"/>
      <c r="M19" s="814"/>
      <c r="N19" s="814" t="s">
        <v>852</v>
      </c>
      <c r="O19" s="814" t="s">
        <v>853</v>
      </c>
      <c r="P19" s="814" t="s">
        <v>400</v>
      </c>
      <c r="Q19" s="814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814"/>
      <c r="B20" s="814"/>
      <c r="C20" s="814"/>
      <c r="D20" s="814"/>
      <c r="E20" s="814"/>
      <c r="F20" s="814"/>
      <c r="G20" s="814"/>
      <c r="H20" s="814"/>
      <c r="I20" s="814"/>
      <c r="J20" s="38" t="s">
        <v>843</v>
      </c>
      <c r="K20" s="38" t="s">
        <v>842</v>
      </c>
      <c r="L20" s="38" t="s">
        <v>844</v>
      </c>
      <c r="M20" s="38" t="s">
        <v>845</v>
      </c>
      <c r="N20" s="814"/>
      <c r="O20" s="814"/>
      <c r="P20" s="814"/>
      <c r="Q20" s="814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9">
        <f>(E21*G21)+(H21*I21)</f>
        <v>15</v>
      </c>
      <c r="K21" s="508">
        <f>Z13*J21</f>
        <v>13.755000000000001</v>
      </c>
      <c r="L21" s="309">
        <f>J21</f>
        <v>15</v>
      </c>
      <c r="M21" s="508">
        <f>AA13*L21</f>
        <v>2.895</v>
      </c>
      <c r="N21" s="309">
        <f>E21+6</f>
        <v>21</v>
      </c>
      <c r="O21" s="479">
        <f>J21/5*2</f>
        <v>6</v>
      </c>
      <c r="P21" s="297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9">
        <f t="shared" ref="J22:J29" si="0">(E22*G22)+(H22*I22)</f>
        <v>34.5</v>
      </c>
      <c r="K22" s="508">
        <f>AB13*J22</f>
        <v>60.857999999999997</v>
      </c>
      <c r="L22" s="309">
        <f t="shared" ref="L22:L29" si="1">J22</f>
        <v>34.5</v>
      </c>
      <c r="M22" s="508">
        <f>AC13*L22</f>
        <v>18.768000000000001</v>
      </c>
      <c r="N22" s="309">
        <f t="shared" ref="N22:N23" si="2">E22+6</f>
        <v>16</v>
      </c>
      <c r="O22" s="479">
        <f t="shared" ref="O22:O29" si="3">J22/5*2</f>
        <v>13.8</v>
      </c>
      <c r="P22" s="297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9">
        <f t="shared" si="0"/>
        <v>0</v>
      </c>
      <c r="K23" s="508"/>
      <c r="L23" s="309">
        <f t="shared" si="1"/>
        <v>0</v>
      </c>
      <c r="M23" s="508"/>
      <c r="N23" s="309">
        <f t="shared" si="2"/>
        <v>6</v>
      </c>
      <c r="O23" s="479">
        <f t="shared" si="3"/>
        <v>0</v>
      </c>
      <c r="P23" s="297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9">
        <f t="shared" si="0"/>
        <v>10</v>
      </c>
      <c r="K24" s="508"/>
      <c r="L24" s="309">
        <f t="shared" si="1"/>
        <v>10</v>
      </c>
      <c r="M24" s="508"/>
      <c r="N24" s="309">
        <f t="shared" ref="N24:N29" si="5">E24*G24</f>
        <v>10</v>
      </c>
      <c r="O24" s="479">
        <f t="shared" si="3"/>
        <v>4</v>
      </c>
      <c r="P24" s="297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9">
        <f t="shared" si="0"/>
        <v>0</v>
      </c>
      <c r="K25" s="508"/>
      <c r="L25" s="309">
        <f t="shared" si="1"/>
        <v>0</v>
      </c>
      <c r="M25" s="508"/>
      <c r="N25" s="309">
        <f t="shared" si="5"/>
        <v>0</v>
      </c>
      <c r="O25" s="479">
        <f t="shared" si="3"/>
        <v>0</v>
      </c>
      <c r="P25" s="297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9">
        <f t="shared" si="0"/>
        <v>0</v>
      </c>
      <c r="K26" s="508"/>
      <c r="L26" s="309">
        <f t="shared" si="1"/>
        <v>0</v>
      </c>
      <c r="M26" s="508"/>
      <c r="N26" s="309">
        <f t="shared" si="5"/>
        <v>0</v>
      </c>
      <c r="O26" s="479">
        <f t="shared" si="3"/>
        <v>0</v>
      </c>
      <c r="P26" s="297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9">
        <f t="shared" si="0"/>
        <v>0</v>
      </c>
      <c r="K27" s="508"/>
      <c r="L27" s="309">
        <f t="shared" si="1"/>
        <v>0</v>
      </c>
      <c r="M27" s="508"/>
      <c r="N27" s="309">
        <f t="shared" si="5"/>
        <v>0</v>
      </c>
      <c r="O27" s="479">
        <f t="shared" si="3"/>
        <v>0</v>
      </c>
      <c r="P27" s="297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9">
        <f t="shared" si="0"/>
        <v>0</v>
      </c>
      <c r="K28" s="508"/>
      <c r="L28" s="309">
        <f t="shared" si="1"/>
        <v>0</v>
      </c>
      <c r="M28" s="508"/>
      <c r="N28" s="309">
        <f t="shared" si="5"/>
        <v>0</v>
      </c>
      <c r="O28" s="479">
        <f t="shared" si="3"/>
        <v>0</v>
      </c>
      <c r="P28" s="297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9">
        <f t="shared" si="0"/>
        <v>0</v>
      </c>
      <c r="K29" s="508"/>
      <c r="L29" s="309">
        <f t="shared" si="1"/>
        <v>0</v>
      </c>
      <c r="M29" s="508"/>
      <c r="N29" s="309">
        <f t="shared" si="5"/>
        <v>0</v>
      </c>
      <c r="O29" s="479">
        <f t="shared" si="3"/>
        <v>0</v>
      </c>
      <c r="P29" s="297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6"/>
      <c r="S32" s="3"/>
      <c r="T32" s="3"/>
      <c r="U32" s="3"/>
    </row>
    <row r="33" spans="3:31" x14ac:dyDescent="0.3">
      <c r="Z33" s="1160"/>
      <c r="AA33" s="1160"/>
      <c r="AB33" s="1160"/>
      <c r="AC33" s="1160"/>
      <c r="AD33" s="1160"/>
      <c r="AE33" s="1160"/>
    </row>
    <row r="34" spans="3:31" x14ac:dyDescent="0.3">
      <c r="C34" s="506"/>
      <c r="Z34" s="1088"/>
      <c r="AA34" s="1088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7"/>
      <c r="T37" s="3"/>
      <c r="U37" s="3"/>
      <c r="Z37" s="49"/>
      <c r="AA37" s="49"/>
    </row>
    <row r="38" spans="3:31" x14ac:dyDescent="0.3">
      <c r="S38" s="3"/>
      <c r="T38" s="3"/>
      <c r="U38" s="3"/>
      <c r="X38" s="509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Z10:AE10"/>
    <mergeCell ref="Z11:AA11"/>
    <mergeCell ref="Z33:AE33"/>
    <mergeCell ref="Z34:AA34"/>
    <mergeCell ref="AB11:AC11"/>
    <mergeCell ref="Z14:AE14"/>
    <mergeCell ref="Z15:AA15"/>
    <mergeCell ref="AB15:AC15"/>
    <mergeCell ref="E1:Q1"/>
    <mergeCell ref="G2:Q2"/>
    <mergeCell ref="G3:Q6"/>
    <mergeCell ref="G7:Q7"/>
    <mergeCell ref="A8:Q8"/>
    <mergeCell ref="A1:D7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74" t="s">
        <v>35</v>
      </c>
      <c r="B1" s="1174"/>
      <c r="C1" s="1174"/>
      <c r="D1" s="1174"/>
      <c r="E1" s="1174"/>
      <c r="F1" s="1174"/>
      <c r="G1" s="1174"/>
      <c r="H1" s="1174"/>
      <c r="I1" s="1174"/>
      <c r="J1" s="1174"/>
      <c r="K1" s="1174"/>
    </row>
    <row r="2" spans="1:11" x14ac:dyDescent="0.3">
      <c r="A2" s="1174"/>
      <c r="B2" s="1174"/>
      <c r="C2" s="1174"/>
      <c r="D2" s="1174"/>
      <c r="E2" s="1174"/>
      <c r="F2" s="1174"/>
      <c r="G2" s="1174"/>
      <c r="H2" s="1174"/>
      <c r="I2" s="1174"/>
      <c r="J2" s="1174"/>
      <c r="K2" s="1174"/>
    </row>
    <row r="5" spans="1:11" ht="15" customHeight="1" x14ac:dyDescent="0.3">
      <c r="A5" s="1178" t="s">
        <v>11</v>
      </c>
      <c r="B5" s="1178"/>
      <c r="C5" s="1178"/>
      <c r="D5" s="1178"/>
      <c r="E5" s="1178"/>
      <c r="F5" s="7"/>
      <c r="G5" s="1175" t="s">
        <v>36</v>
      </c>
      <c r="H5" s="1175"/>
      <c r="I5" s="1175"/>
      <c r="J5" s="1175"/>
      <c r="K5" s="1175"/>
    </row>
    <row r="6" spans="1:11" ht="15" customHeight="1" x14ac:dyDescent="0.3">
      <c r="A6" s="1177" t="s">
        <v>18</v>
      </c>
      <c r="B6" s="1177"/>
      <c r="C6" s="1177"/>
      <c r="D6" s="1177"/>
      <c r="E6" s="1177"/>
      <c r="F6" s="7"/>
      <c r="G6" s="1175"/>
      <c r="H6" s="1175"/>
      <c r="I6" s="1175"/>
      <c r="J6" s="1175"/>
      <c r="K6" s="1175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2" t="e">
        <f>B8*B12*B11</f>
        <v>#REF!</v>
      </c>
      <c r="D8" s="1162" t="e">
        <f>B9*B10*B12</f>
        <v>#REF!</v>
      </c>
      <c r="E8" s="1167" t="e">
        <f>SUM(C8:D12)</f>
        <v>#REF!</v>
      </c>
      <c r="G8" s="21"/>
      <c r="H8" s="21"/>
      <c r="I8" s="716" t="s">
        <v>54</v>
      </c>
      <c r="J8" s="716"/>
      <c r="K8" s="716"/>
    </row>
    <row r="9" spans="1:11" x14ac:dyDescent="0.3">
      <c r="A9" s="17" t="s">
        <v>8</v>
      </c>
      <c r="B9" s="52" t="e">
        <f>#REF!</f>
        <v>#REF!</v>
      </c>
      <c r="C9" s="1162"/>
      <c r="D9" s="1162"/>
      <c r="E9" s="1167"/>
      <c r="G9" s="22"/>
      <c r="H9" s="40"/>
      <c r="I9" s="808" t="s">
        <v>55</v>
      </c>
      <c r="J9" s="809"/>
      <c r="K9" s="810"/>
    </row>
    <row r="10" spans="1:11" x14ac:dyDescent="0.3">
      <c r="A10" s="17" t="s">
        <v>13</v>
      </c>
      <c r="B10" s="15">
        <v>3</v>
      </c>
      <c r="C10" s="1162"/>
      <c r="D10" s="1162"/>
      <c r="E10" s="1167"/>
      <c r="G10" s="23"/>
      <c r="H10" s="41"/>
      <c r="I10" s="808" t="s">
        <v>56</v>
      </c>
      <c r="J10" s="809"/>
      <c r="K10" s="810"/>
    </row>
    <row r="11" spans="1:11" x14ac:dyDescent="0.3">
      <c r="A11" s="17" t="s">
        <v>14</v>
      </c>
      <c r="B11" s="15">
        <v>2</v>
      </c>
      <c r="C11" s="1162"/>
      <c r="D11" s="1162"/>
      <c r="E11" s="1167"/>
    </row>
    <row r="12" spans="1:11" x14ac:dyDescent="0.3">
      <c r="A12" s="18" t="s">
        <v>15</v>
      </c>
      <c r="B12" s="15">
        <v>3.0000000000000001E-3</v>
      </c>
      <c r="C12" s="1162"/>
      <c r="D12" s="1162"/>
      <c r="E12" s="1167"/>
    </row>
    <row r="13" spans="1:11" x14ac:dyDescent="0.3">
      <c r="A13" s="1177" t="s">
        <v>20</v>
      </c>
      <c r="B13" s="1177"/>
      <c r="C13" s="1177"/>
      <c r="D13" s="1177"/>
      <c r="E13" s="1177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2" t="e">
        <f>B15*B19*B18</f>
        <v>#REF!</v>
      </c>
      <c r="D15" s="1162" t="e">
        <f>B16*B17*B19</f>
        <v>#REF!</v>
      </c>
      <c r="E15" s="1167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2"/>
      <c r="D16" s="1162"/>
      <c r="E16" s="1167"/>
    </row>
    <row r="17" spans="1:5" x14ac:dyDescent="0.3">
      <c r="A17" s="17" t="s">
        <v>13</v>
      </c>
      <c r="B17" s="15">
        <v>3</v>
      </c>
      <c r="C17" s="1162"/>
      <c r="D17" s="1162"/>
      <c r="E17" s="1167"/>
    </row>
    <row r="18" spans="1:5" x14ac:dyDescent="0.3">
      <c r="A18" s="17" t="s">
        <v>14</v>
      </c>
      <c r="B18" s="15">
        <v>2</v>
      </c>
      <c r="C18" s="1162"/>
      <c r="D18" s="1162"/>
      <c r="E18" s="1167"/>
    </row>
    <row r="19" spans="1:5" x14ac:dyDescent="0.3">
      <c r="A19" s="18" t="s">
        <v>15</v>
      </c>
      <c r="B19" s="15">
        <v>3.0000000000000001E-3</v>
      </c>
      <c r="C19" s="1162"/>
      <c r="D19" s="1162"/>
      <c r="E19" s="1167"/>
    </row>
    <row r="20" spans="1:5" x14ac:dyDescent="0.3">
      <c r="A20" s="1180"/>
      <c r="B20" s="1180"/>
      <c r="C20" s="1180"/>
      <c r="D20" s="1180"/>
      <c r="E20" s="1180"/>
    </row>
    <row r="21" spans="1:5" x14ac:dyDescent="0.3">
      <c r="A21" s="1177" t="s">
        <v>21</v>
      </c>
      <c r="B21" s="1177"/>
      <c r="C21" s="1177"/>
      <c r="D21" s="1177"/>
      <c r="E21" s="1177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2" t="e">
        <f>B23*B27*B26</f>
        <v>#REF!</v>
      </c>
      <c r="D23" s="1162" t="e">
        <f>B24*B25*B27</f>
        <v>#REF!</v>
      </c>
      <c r="E23" s="1167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2"/>
      <c r="D24" s="1162"/>
      <c r="E24" s="1167"/>
    </row>
    <row r="25" spans="1:5" x14ac:dyDescent="0.3">
      <c r="A25" s="17" t="s">
        <v>13</v>
      </c>
      <c r="B25" s="15">
        <v>2</v>
      </c>
      <c r="C25" s="1162"/>
      <c r="D25" s="1162"/>
      <c r="E25" s="1167"/>
    </row>
    <row r="26" spans="1:5" x14ac:dyDescent="0.3">
      <c r="A26" s="17" t="s">
        <v>14</v>
      </c>
      <c r="B26" s="15">
        <v>2</v>
      </c>
      <c r="C26" s="1162"/>
      <c r="D26" s="1162"/>
      <c r="E26" s="1167"/>
    </row>
    <row r="27" spans="1:5" x14ac:dyDescent="0.3">
      <c r="A27" s="18" t="s">
        <v>15</v>
      </c>
      <c r="B27" s="15">
        <v>1E-3</v>
      </c>
      <c r="C27" s="1162"/>
      <c r="D27" s="1162"/>
      <c r="E27" s="1167"/>
    </row>
    <row r="28" spans="1:5" x14ac:dyDescent="0.3">
      <c r="A28" s="1177" t="s">
        <v>22</v>
      </c>
      <c r="B28" s="1177"/>
      <c r="C28" s="1177"/>
      <c r="D28" s="1177"/>
      <c r="E28" s="1177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2" t="e">
        <f>B30*B34*B33</f>
        <v>#REF!</v>
      </c>
      <c r="D30" s="1162" t="e">
        <f>B31*B32*B34</f>
        <v>#REF!</v>
      </c>
      <c r="E30" s="1167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2"/>
      <c r="D31" s="1162"/>
      <c r="E31" s="1167"/>
    </row>
    <row r="32" spans="1:5" x14ac:dyDescent="0.3">
      <c r="A32" s="17" t="s">
        <v>13</v>
      </c>
      <c r="B32" s="15">
        <v>2</v>
      </c>
      <c r="C32" s="1162"/>
      <c r="D32" s="1162"/>
      <c r="E32" s="1167"/>
    </row>
    <row r="33" spans="1:14" x14ac:dyDescent="0.3">
      <c r="A33" s="17" t="s">
        <v>14</v>
      </c>
      <c r="B33" s="15">
        <v>2</v>
      </c>
      <c r="C33" s="1162"/>
      <c r="D33" s="1162"/>
      <c r="E33" s="1167"/>
    </row>
    <row r="34" spans="1:14" x14ac:dyDescent="0.3">
      <c r="A34" s="18" t="s">
        <v>15</v>
      </c>
      <c r="B34" s="15">
        <v>3.0000000000000001E-3</v>
      </c>
      <c r="C34" s="1162"/>
      <c r="D34" s="1162"/>
      <c r="E34" s="1167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91" t="s">
        <v>33</v>
      </c>
      <c r="G36" s="691"/>
      <c r="H36" s="691"/>
      <c r="I36" s="691"/>
      <c r="J36" s="1161" t="s">
        <v>34</v>
      </c>
      <c r="K36" s="1161"/>
      <c r="L36" s="16" t="s">
        <v>32</v>
      </c>
    </row>
    <row r="37" spans="1:14" x14ac:dyDescent="0.3">
      <c r="A37" s="13" t="s">
        <v>23</v>
      </c>
      <c r="B37" s="304" t="e">
        <f>#REF!</f>
        <v>#REF!</v>
      </c>
      <c r="C37" s="1162" t="e">
        <f>SUM(B37*E8)+(B38*E15)+(B39*E23)+(B40*E30)</f>
        <v>#REF!</v>
      </c>
      <c r="D37" s="1176" t="e">
        <f>#REF!</f>
        <v>#REF!</v>
      </c>
      <c r="E37" s="1164" t="e">
        <f>#REF!</f>
        <v>#REF!</v>
      </c>
      <c r="F37" s="1165" t="s">
        <v>108</v>
      </c>
      <c r="G37" s="1166"/>
      <c r="H37" s="1165" t="s">
        <v>109</v>
      </c>
      <c r="I37" s="1166"/>
      <c r="J37" s="1167" t="e">
        <f>(F38/C37)/3600</f>
        <v>#REF!</v>
      </c>
      <c r="K37" s="1167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4" t="e">
        <f>#REF!</f>
        <v>#REF!</v>
      </c>
      <c r="C38" s="1162"/>
      <c r="D38" s="1163"/>
      <c r="E38" s="1164"/>
      <c r="F38" s="1168" t="e">
        <f>(0.827*C37*L37)*3600</f>
        <v>#REF!</v>
      </c>
      <c r="G38" s="1169"/>
      <c r="H38" s="1168" t="e">
        <f>F38/3.6</f>
        <v>#REF!</v>
      </c>
      <c r="I38" s="1169"/>
      <c r="J38" s="1167"/>
      <c r="K38" s="1167"/>
      <c r="L38" s="14"/>
    </row>
    <row r="39" spans="1:14" x14ac:dyDescent="0.3">
      <c r="A39" s="13" t="s">
        <v>25</v>
      </c>
      <c r="B39" s="304" t="e">
        <f>#REF!</f>
        <v>#REF!</v>
      </c>
      <c r="C39" s="1162"/>
      <c r="D39" s="1163"/>
      <c r="E39" s="1164"/>
      <c r="F39" s="1170"/>
      <c r="G39" s="1171"/>
      <c r="H39" s="1170"/>
      <c r="I39" s="1171"/>
      <c r="J39" s="1167"/>
      <c r="K39" s="1167"/>
      <c r="L39" s="14"/>
    </row>
    <row r="40" spans="1:14" x14ac:dyDescent="0.3">
      <c r="A40" s="13" t="s">
        <v>26</v>
      </c>
      <c r="B40" s="304" t="e">
        <f>#REF!</f>
        <v>#REF!</v>
      </c>
      <c r="C40" s="1162"/>
      <c r="D40" s="1163"/>
      <c r="E40" s="1164"/>
      <c r="F40" s="1172"/>
      <c r="G40" s="1173"/>
      <c r="H40" s="1172"/>
      <c r="I40" s="1173"/>
      <c r="J40" s="1167"/>
      <c r="K40" s="1167"/>
      <c r="L40" s="14"/>
    </row>
    <row r="41" spans="1:14" x14ac:dyDescent="0.3">
      <c r="A41" s="1179"/>
      <c r="B41" s="1179"/>
      <c r="C41" s="1179"/>
      <c r="D41" s="1179"/>
      <c r="E41" s="1179"/>
      <c r="F41" s="1179"/>
      <c r="G41" s="1179"/>
      <c r="H41" s="1179"/>
      <c r="I41" s="1179"/>
      <c r="J41" s="1179"/>
      <c r="K41" s="1179"/>
      <c r="L41" s="1179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91" t="s">
        <v>33</v>
      </c>
      <c r="G42" s="691"/>
      <c r="H42" s="691"/>
      <c r="I42" s="691"/>
      <c r="J42" s="1161" t="s">
        <v>34</v>
      </c>
      <c r="K42" s="1161"/>
      <c r="L42" s="16" t="s">
        <v>32</v>
      </c>
    </row>
    <row r="43" spans="1:14" x14ac:dyDescent="0.3">
      <c r="A43" s="13" t="s">
        <v>23</v>
      </c>
      <c r="B43" s="304" t="e">
        <f>#REF!</f>
        <v>#REF!</v>
      </c>
      <c r="C43" s="1162" t="e">
        <f>SUM(E8*B43)+(E15*B44)+(E23*B45)+(E30*B46)</f>
        <v>#REF!</v>
      </c>
      <c r="D43" s="1163">
        <v>25</v>
      </c>
      <c r="E43" s="1164">
        <v>0.5</v>
      </c>
      <c r="F43" s="1165" t="s">
        <v>108</v>
      </c>
      <c r="G43" s="1166"/>
      <c r="H43" s="1165" t="s">
        <v>109</v>
      </c>
      <c r="I43" s="1166"/>
      <c r="J43" s="1167" t="e">
        <f>(F44/C43)/3600</f>
        <v>#REF!</v>
      </c>
      <c r="K43" s="1167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4" t="e">
        <f>#REF!</f>
        <v>#REF!</v>
      </c>
      <c r="C44" s="1162"/>
      <c r="D44" s="1163"/>
      <c r="E44" s="1164"/>
      <c r="F44" s="1168" t="e">
        <f>(0.827*C43*L43)*3600</f>
        <v>#REF!</v>
      </c>
      <c r="G44" s="1169"/>
      <c r="H44" s="1168" t="e">
        <f>F44/3.6</f>
        <v>#REF!</v>
      </c>
      <c r="I44" s="1169"/>
      <c r="J44" s="1167"/>
      <c r="K44" s="1167"/>
      <c r="L44" s="14"/>
    </row>
    <row r="45" spans="1:14" x14ac:dyDescent="0.3">
      <c r="A45" s="13" t="s">
        <v>25</v>
      </c>
      <c r="B45" s="304" t="e">
        <f>#REF!</f>
        <v>#REF!</v>
      </c>
      <c r="C45" s="1162"/>
      <c r="D45" s="1163"/>
      <c r="E45" s="1164"/>
      <c r="F45" s="1170"/>
      <c r="G45" s="1171"/>
      <c r="H45" s="1170"/>
      <c r="I45" s="1171"/>
      <c r="J45" s="1167"/>
      <c r="K45" s="1167"/>
      <c r="L45" s="14"/>
    </row>
    <row r="46" spans="1:14" x14ac:dyDescent="0.3">
      <c r="A46" s="13" t="s">
        <v>26</v>
      </c>
      <c r="B46" s="304" t="e">
        <f>#REF!</f>
        <v>#REF!</v>
      </c>
      <c r="C46" s="1162"/>
      <c r="D46" s="1163"/>
      <c r="E46" s="1164"/>
      <c r="F46" s="1172"/>
      <c r="G46" s="1173"/>
      <c r="H46" s="1172"/>
      <c r="I46" s="1173"/>
      <c r="J46" s="1167"/>
      <c r="K46" s="1167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91" t="s">
        <v>33</v>
      </c>
      <c r="G47" s="691"/>
      <c r="H47" s="691"/>
      <c r="I47" s="691"/>
      <c r="J47" s="1161" t="s">
        <v>34</v>
      </c>
      <c r="K47" s="1161"/>
      <c r="L47" s="16" t="s">
        <v>32</v>
      </c>
    </row>
    <row r="48" spans="1:14" x14ac:dyDescent="0.3">
      <c r="A48" s="13" t="s">
        <v>23</v>
      </c>
      <c r="B48" s="304" t="e">
        <f>#REF!</f>
        <v>#REF!</v>
      </c>
      <c r="C48" s="1162" t="e">
        <f>SUM(E8*B48)+(E15*B49)+(E23*B50)+(E30*B51)</f>
        <v>#REF!</v>
      </c>
      <c r="D48" s="1163">
        <v>25</v>
      </c>
      <c r="E48" s="1164">
        <v>0.5</v>
      </c>
      <c r="F48" s="1165" t="s">
        <v>108</v>
      </c>
      <c r="G48" s="1166"/>
      <c r="H48" s="1165" t="s">
        <v>109</v>
      </c>
      <c r="I48" s="1166"/>
      <c r="J48" s="1167" t="e">
        <f>(F49/C48)/3600</f>
        <v>#REF!</v>
      </c>
      <c r="K48" s="1167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4" t="e">
        <f>#REF!</f>
        <v>#REF!</v>
      </c>
      <c r="C49" s="1162"/>
      <c r="D49" s="1163"/>
      <c r="E49" s="1164"/>
      <c r="F49" s="1168" t="e">
        <f>(0.827*C48*L48)*3600</f>
        <v>#REF!</v>
      </c>
      <c r="G49" s="1169"/>
      <c r="H49" s="1168" t="e">
        <f>F49/3.6</f>
        <v>#REF!</v>
      </c>
      <c r="I49" s="1169"/>
      <c r="J49" s="1167"/>
      <c r="K49" s="1167"/>
      <c r="L49" s="14"/>
    </row>
    <row r="50" spans="1:12" x14ac:dyDescent="0.3">
      <c r="A50" s="13" t="s">
        <v>25</v>
      </c>
      <c r="B50" s="304" t="e">
        <f>#REF!</f>
        <v>#REF!</v>
      </c>
      <c r="C50" s="1162"/>
      <c r="D50" s="1163"/>
      <c r="E50" s="1164"/>
      <c r="F50" s="1170"/>
      <c r="G50" s="1171"/>
      <c r="H50" s="1170"/>
      <c r="I50" s="1171"/>
      <c r="J50" s="1167"/>
      <c r="K50" s="1167"/>
      <c r="L50" s="14"/>
    </row>
    <row r="51" spans="1:12" x14ac:dyDescent="0.3">
      <c r="A51" s="13" t="s">
        <v>26</v>
      </c>
      <c r="B51" s="304" t="e">
        <f>#REF!</f>
        <v>#REF!</v>
      </c>
      <c r="C51" s="1162"/>
      <c r="D51" s="1163"/>
      <c r="E51" s="1164"/>
      <c r="F51" s="1172"/>
      <c r="G51" s="1173"/>
      <c r="H51" s="1172"/>
      <c r="I51" s="1173"/>
      <c r="J51" s="1167"/>
      <c r="K51" s="1167"/>
      <c r="L51" s="14"/>
    </row>
  </sheetData>
  <sheetProtection selectLockedCells="1"/>
  <mergeCells count="54"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E15:E19"/>
    <mergeCell ref="C8:C12"/>
    <mergeCell ref="D8:D12"/>
    <mergeCell ref="E8:E12"/>
    <mergeCell ref="F44:G46"/>
    <mergeCell ref="H44:I46"/>
    <mergeCell ref="F38:G40"/>
    <mergeCell ref="F37:G37"/>
    <mergeCell ref="H37:I37"/>
    <mergeCell ref="H38:I40"/>
    <mergeCell ref="F43:G43"/>
    <mergeCell ref="H43:I43"/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workbookViewId="0">
      <selection activeCell="B69" sqref="B69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74" t="s">
        <v>228</v>
      </c>
      <c r="B1" s="1174"/>
      <c r="C1" s="1174"/>
      <c r="D1" s="1174"/>
      <c r="E1" s="1174"/>
      <c r="F1" s="1174"/>
      <c r="G1" s="1174"/>
    </row>
    <row r="2" spans="1:7" x14ac:dyDescent="0.3">
      <c r="A2" s="1174"/>
      <c r="B2" s="1174"/>
      <c r="C2" s="1174"/>
      <c r="D2" s="1174"/>
      <c r="E2" s="1174"/>
      <c r="F2" s="1174"/>
      <c r="G2" s="1174"/>
    </row>
    <row r="3" spans="1:7" hidden="1" x14ac:dyDescent="0.3"/>
    <row r="4" spans="1:7" hidden="1" x14ac:dyDescent="0.3"/>
    <row r="5" spans="1:7" hidden="1" x14ac:dyDescent="0.3">
      <c r="A5" s="1178" t="s">
        <v>11</v>
      </c>
      <c r="B5" s="1178"/>
      <c r="C5" s="1178"/>
      <c r="D5" s="1178"/>
      <c r="E5" s="1178"/>
      <c r="F5" s="7"/>
      <c r="G5" s="1175"/>
    </row>
    <row r="6" spans="1:7" hidden="1" x14ac:dyDescent="0.3">
      <c r="A6" s="1177" t="s">
        <v>18</v>
      </c>
      <c r="B6" s="1177"/>
      <c r="C6" s="1177"/>
      <c r="D6" s="1177"/>
      <c r="E6" s="1177"/>
      <c r="F6" s="7"/>
      <c r="G6" s="1175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2">
        <f>B8*B12*B11</f>
        <v>2.5000000000000001E-2</v>
      </c>
      <c r="D8" s="1162">
        <f>B9*B10*B12</f>
        <v>3.7499999999999999E-2</v>
      </c>
      <c r="E8" s="1167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2"/>
      <c r="D9" s="1162"/>
      <c r="E9" s="1167"/>
      <c r="G9" s="14"/>
    </row>
    <row r="10" spans="1:7" hidden="1" x14ac:dyDescent="0.3">
      <c r="A10" s="17" t="s">
        <v>13</v>
      </c>
      <c r="B10" s="15">
        <v>3</v>
      </c>
      <c r="C10" s="1162"/>
      <c r="D10" s="1162"/>
      <c r="E10" s="1167"/>
      <c r="G10" s="14"/>
    </row>
    <row r="11" spans="1:7" hidden="1" x14ac:dyDescent="0.3">
      <c r="A11" s="17" t="s">
        <v>14</v>
      </c>
      <c r="B11" s="15">
        <v>2</v>
      </c>
      <c r="C11" s="1162"/>
      <c r="D11" s="1162"/>
      <c r="E11" s="1167"/>
    </row>
    <row r="12" spans="1:7" hidden="1" x14ac:dyDescent="0.3">
      <c r="A12" s="18" t="s">
        <v>15</v>
      </c>
      <c r="B12" s="15">
        <v>5.0000000000000001E-3</v>
      </c>
      <c r="C12" s="1162"/>
      <c r="D12" s="1162"/>
      <c r="E12" s="1167"/>
    </row>
    <row r="13" spans="1:7" hidden="1" x14ac:dyDescent="0.3">
      <c r="A13" s="1177" t="s">
        <v>20</v>
      </c>
      <c r="B13" s="1177"/>
      <c r="C13" s="1177"/>
      <c r="D13" s="1177"/>
      <c r="E13" s="1177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2">
        <f>B15*B19*B18</f>
        <v>3.5000000000000003E-2</v>
      </c>
      <c r="D15" s="1162">
        <f>B16*B17*B19</f>
        <v>4.4999999999999998E-2</v>
      </c>
      <c r="E15" s="1167">
        <f>SUM(C15:D19)</f>
        <v>0.08</v>
      </c>
    </row>
    <row r="16" spans="1:7" hidden="1" x14ac:dyDescent="0.3">
      <c r="A16" s="17" t="s">
        <v>8</v>
      </c>
      <c r="B16" s="13">
        <v>3</v>
      </c>
      <c r="C16" s="1162"/>
      <c r="D16" s="1162"/>
      <c r="E16" s="1167"/>
    </row>
    <row r="17" spans="1:5" hidden="1" x14ac:dyDescent="0.3">
      <c r="A17" s="17" t="s">
        <v>13</v>
      </c>
      <c r="B17" s="15">
        <v>3</v>
      </c>
      <c r="C17" s="1162"/>
      <c r="D17" s="1162"/>
      <c r="E17" s="1167"/>
    </row>
    <row r="18" spans="1:5" hidden="1" x14ac:dyDescent="0.3">
      <c r="A18" s="17" t="s">
        <v>14</v>
      </c>
      <c r="B18" s="15">
        <v>2</v>
      </c>
      <c r="C18" s="1162"/>
      <c r="D18" s="1162"/>
      <c r="E18" s="1167"/>
    </row>
    <row r="19" spans="1:5" hidden="1" x14ac:dyDescent="0.3">
      <c r="A19" s="18" t="s">
        <v>15</v>
      </c>
      <c r="B19" s="15">
        <v>5.0000000000000001E-3</v>
      </c>
      <c r="C19" s="1162"/>
      <c r="D19" s="1162"/>
      <c r="E19" s="1167"/>
    </row>
    <row r="20" spans="1:5" hidden="1" x14ac:dyDescent="0.3">
      <c r="A20" s="1180"/>
      <c r="B20" s="1180"/>
      <c r="C20" s="1180"/>
      <c r="D20" s="1180"/>
      <c r="E20" s="1180"/>
    </row>
    <row r="21" spans="1:5" hidden="1" x14ac:dyDescent="0.3">
      <c r="A21" s="1177" t="s">
        <v>21</v>
      </c>
      <c r="B21" s="1177"/>
      <c r="C21" s="1177"/>
      <c r="D21" s="1177"/>
      <c r="E21" s="1177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2">
        <f>B23*B27*B26</f>
        <v>8.0000000000000002E-3</v>
      </c>
      <c r="D23" s="1162">
        <f>B24*B25*B27</f>
        <v>2.5000000000000001E-2</v>
      </c>
      <c r="E23" s="1167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2"/>
      <c r="D24" s="1162"/>
      <c r="E24" s="1167"/>
    </row>
    <row r="25" spans="1:5" hidden="1" x14ac:dyDescent="0.3">
      <c r="A25" s="17" t="s">
        <v>13</v>
      </c>
      <c r="B25" s="15">
        <v>2</v>
      </c>
      <c r="C25" s="1162"/>
      <c r="D25" s="1162"/>
      <c r="E25" s="1167"/>
    </row>
    <row r="26" spans="1:5" hidden="1" x14ac:dyDescent="0.3">
      <c r="A26" s="17" t="s">
        <v>14</v>
      </c>
      <c r="B26" s="15">
        <v>2</v>
      </c>
      <c r="C26" s="1162"/>
      <c r="D26" s="1162"/>
      <c r="E26" s="1167"/>
    </row>
    <row r="27" spans="1:5" hidden="1" x14ac:dyDescent="0.3">
      <c r="A27" s="18" t="s">
        <v>15</v>
      </c>
      <c r="B27" s="15">
        <v>5.0000000000000001E-3</v>
      </c>
      <c r="C27" s="1162"/>
      <c r="D27" s="1162"/>
      <c r="E27" s="1167"/>
    </row>
    <row r="28" spans="1:5" hidden="1" x14ac:dyDescent="0.3">
      <c r="A28" s="1177" t="s">
        <v>22</v>
      </c>
      <c r="B28" s="1177"/>
      <c r="C28" s="1177"/>
      <c r="D28" s="1177"/>
      <c r="E28" s="1177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2">
        <f>B30*B34*B33</f>
        <v>1.2E-2</v>
      </c>
      <c r="D30" s="1162">
        <f>B31*B32*B34</f>
        <v>2.5000000000000001E-2</v>
      </c>
      <c r="E30" s="1167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2"/>
      <c r="D31" s="1162"/>
      <c r="E31" s="1167"/>
    </row>
    <row r="32" spans="1:5" hidden="1" x14ac:dyDescent="0.3">
      <c r="A32" s="17" t="s">
        <v>13</v>
      </c>
      <c r="B32" s="15">
        <v>2</v>
      </c>
      <c r="C32" s="1162"/>
      <c r="D32" s="1162"/>
      <c r="E32" s="1167"/>
    </row>
    <row r="33" spans="1:7" hidden="1" x14ac:dyDescent="0.3">
      <c r="A33" s="17" t="s">
        <v>14</v>
      </c>
      <c r="B33" s="15">
        <v>2</v>
      </c>
      <c r="C33" s="1162"/>
      <c r="D33" s="1162"/>
      <c r="E33" s="1167"/>
    </row>
    <row r="34" spans="1:7" hidden="1" x14ac:dyDescent="0.3">
      <c r="A34" s="18" t="s">
        <v>15</v>
      </c>
      <c r="B34" s="15">
        <v>5.0000000000000001E-3</v>
      </c>
      <c r="C34" s="1162"/>
      <c r="D34" s="1162"/>
      <c r="E34" s="1167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91" t="s">
        <v>33</v>
      </c>
      <c r="G36" s="691"/>
    </row>
    <row r="37" spans="1:7" hidden="1" x14ac:dyDescent="0.3">
      <c r="A37" s="13" t="s">
        <v>23</v>
      </c>
      <c r="B37" s="13">
        <v>1</v>
      </c>
      <c r="C37" s="1162">
        <f>SUM(B37*E8)+(B38*E15)+(B39*E23)+(B40*E30)</f>
        <v>9.5500000000000002E-2</v>
      </c>
      <c r="D37" s="814">
        <v>25</v>
      </c>
      <c r="E37" s="1184">
        <v>0.5</v>
      </c>
      <c r="F37" s="1167" t="e">
        <f>(0.827*C37*#REF!)*3600</f>
        <v>#REF!</v>
      </c>
      <c r="G37" s="1167"/>
    </row>
    <row r="38" spans="1:7" hidden="1" x14ac:dyDescent="0.3">
      <c r="A38" s="13" t="s">
        <v>24</v>
      </c>
      <c r="B38" s="13">
        <v>0</v>
      </c>
      <c r="C38" s="1162"/>
      <c r="D38" s="814"/>
      <c r="E38" s="1184"/>
      <c r="F38" s="1167"/>
      <c r="G38" s="1167"/>
    </row>
    <row r="39" spans="1:7" hidden="1" x14ac:dyDescent="0.3">
      <c r="A39" s="13" t="s">
        <v>25</v>
      </c>
      <c r="B39" s="13">
        <v>1</v>
      </c>
      <c r="C39" s="1162"/>
      <c r="D39" s="814"/>
      <c r="E39" s="1184"/>
      <c r="F39" s="1167"/>
      <c r="G39" s="1167"/>
    </row>
    <row r="40" spans="1:7" hidden="1" x14ac:dyDescent="0.3">
      <c r="A40" s="13" t="s">
        <v>26</v>
      </c>
      <c r="B40" s="13">
        <v>0</v>
      </c>
      <c r="C40" s="1162"/>
      <c r="D40" s="814"/>
      <c r="E40" s="1184"/>
      <c r="F40" s="1167"/>
      <c r="G40" s="1167"/>
    </row>
    <row r="41" spans="1:7" hidden="1" x14ac:dyDescent="0.3">
      <c r="A41" s="1179"/>
      <c r="B41" s="1179"/>
      <c r="C41" s="1179"/>
      <c r="D41" s="1179"/>
      <c r="E41" s="1179"/>
      <c r="F41" s="1179"/>
      <c r="G41" s="1179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91" t="s">
        <v>33</v>
      </c>
      <c r="G42" s="691"/>
    </row>
    <row r="43" spans="1:7" hidden="1" x14ac:dyDescent="0.3">
      <c r="A43" s="13" t="s">
        <v>23</v>
      </c>
      <c r="B43" s="13">
        <v>0</v>
      </c>
      <c r="C43" s="1162">
        <f>SUM(E8*B43)+(E15*B44)+(E23*B45)+(E30*B46)</f>
        <v>3.7000000000000005E-2</v>
      </c>
      <c r="D43" s="814">
        <v>25</v>
      </c>
      <c r="E43" s="1184">
        <v>0.5</v>
      </c>
      <c r="F43" s="1167" t="e">
        <f>(0.827*C43*#REF!)*3600</f>
        <v>#REF!</v>
      </c>
      <c r="G43" s="1167"/>
    </row>
    <row r="44" spans="1:7" hidden="1" x14ac:dyDescent="0.3">
      <c r="A44" s="13" t="s">
        <v>24</v>
      </c>
      <c r="B44" s="13">
        <v>0</v>
      </c>
      <c r="C44" s="1162"/>
      <c r="D44" s="814"/>
      <c r="E44" s="1184"/>
      <c r="F44" s="1167"/>
      <c r="G44" s="1167"/>
    </row>
    <row r="45" spans="1:7" hidden="1" x14ac:dyDescent="0.3">
      <c r="A45" s="13" t="s">
        <v>25</v>
      </c>
      <c r="B45" s="13">
        <v>0</v>
      </c>
      <c r="C45" s="1162"/>
      <c r="D45" s="814"/>
      <c r="E45" s="1184"/>
      <c r="F45" s="1167"/>
      <c r="G45" s="1167"/>
    </row>
    <row r="46" spans="1:7" hidden="1" x14ac:dyDescent="0.3">
      <c r="A46" s="13" t="s">
        <v>26</v>
      </c>
      <c r="B46" s="13">
        <v>1</v>
      </c>
      <c r="C46" s="1162"/>
      <c r="D46" s="814"/>
      <c r="E46" s="1184"/>
      <c r="F46" s="1167"/>
      <c r="G46" s="1167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6" t="s">
        <v>213</v>
      </c>
      <c r="G55" s="716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3">
        <f>A56/(C56*D56)/1000</f>
        <v>16535.576923076922</v>
      </c>
      <c r="G56" s="1183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ht="15.6" x14ac:dyDescent="0.3">
      <c r="A60" s="263" t="s">
        <v>27</v>
      </c>
      <c r="B60" s="93" t="e">
        <f>#REF!</f>
        <v>#REF!</v>
      </c>
      <c r="C60" s="95" t="e">
        <f>#REF!</f>
        <v>#REF!</v>
      </c>
      <c r="D60" s="95" t="e">
        <f>#REF!</f>
        <v>#REF!</v>
      </c>
      <c r="E60" s="302" t="e">
        <f>G80</f>
        <v>#REF!</v>
      </c>
      <c r="F60" s="94">
        <v>0.24</v>
      </c>
      <c r="G60" s="3"/>
    </row>
    <row r="61" spans="1:7" ht="15.6" x14ac:dyDescent="0.3">
      <c r="A61" s="263" t="s">
        <v>28</v>
      </c>
      <c r="B61" s="93" t="e">
        <f>#REF!</f>
        <v>#REF!</v>
      </c>
      <c r="C61" s="95" t="e">
        <f>#REF!</f>
        <v>#REF!</v>
      </c>
      <c r="D61" s="95" t="e">
        <f>#REF!</f>
        <v>#REF!</v>
      </c>
      <c r="E61" s="302" t="e">
        <f>G84</f>
        <v>#REF!</v>
      </c>
      <c r="F61" s="94">
        <v>0.24</v>
      </c>
      <c r="G61" s="3"/>
    </row>
    <row r="62" spans="1:7" ht="15.6" x14ac:dyDescent="0.3">
      <c r="A62" s="263" t="s">
        <v>215</v>
      </c>
      <c r="B62" s="93" t="e">
        <f>#REF!</f>
        <v>#REF!</v>
      </c>
      <c r="C62" s="95" t="e">
        <f>#REF!</f>
        <v>#REF!</v>
      </c>
      <c r="D62" s="95" t="e">
        <f>#REF!</f>
        <v>#REF!</v>
      </c>
      <c r="E62" s="302" t="e">
        <f>G88</f>
        <v>#REF!</v>
      </c>
      <c r="F62" s="94">
        <v>0.24</v>
      </c>
      <c r="G62" s="3"/>
    </row>
    <row r="63" spans="1:7" x14ac:dyDescent="0.3">
      <c r="A63" s="57"/>
      <c r="B63" s="57"/>
      <c r="C63" s="57"/>
      <c r="D63" s="57"/>
      <c r="E63" s="57"/>
      <c r="F63" s="57"/>
      <c r="G63" s="92"/>
    </row>
    <row r="64" spans="1:7" ht="15.6" x14ac:dyDescent="0.3">
      <c r="A64" s="263" t="s">
        <v>96</v>
      </c>
      <c r="B64" s="16" t="s">
        <v>42</v>
      </c>
      <c r="C64" s="16" t="s">
        <v>43</v>
      </c>
      <c r="D64" s="16" t="s">
        <v>206</v>
      </c>
      <c r="E64" s="16" t="s">
        <v>205</v>
      </c>
      <c r="F64" s="303" t="s">
        <v>213</v>
      </c>
      <c r="G64" s="294" t="s">
        <v>212</v>
      </c>
    </row>
    <row r="65" spans="1:7" ht="19.8" x14ac:dyDescent="0.3">
      <c r="A65" s="263" t="s">
        <v>27</v>
      </c>
      <c r="B65" s="26" t="e">
        <f>B60*859.85</f>
        <v>#REF!</v>
      </c>
      <c r="C65" s="26" t="e">
        <f>B65/(D65*E65)</f>
        <v>#REF!</v>
      </c>
      <c r="D65" s="38">
        <v>0.24</v>
      </c>
      <c r="E65" s="91" t="e">
        <f>C60-D60</f>
        <v>#REF!</v>
      </c>
      <c r="F65" s="292" t="e">
        <f>B65/(D65*E65)/1000</f>
        <v>#REF!</v>
      </c>
      <c r="G65" s="293" t="e">
        <f>F65/E60</f>
        <v>#REF!</v>
      </c>
    </row>
    <row r="66" spans="1:7" ht="19.8" x14ac:dyDescent="0.3">
      <c r="A66" s="263" t="s">
        <v>28</v>
      </c>
      <c r="B66" s="26" t="e">
        <f t="shared" ref="B66:B67" si="0">B61*859.85</f>
        <v>#REF!</v>
      </c>
      <c r="C66" s="26" t="e">
        <f t="shared" ref="C66:C67" si="1">B66/(D66*E66)</f>
        <v>#REF!</v>
      </c>
      <c r="D66" s="38">
        <v>0.24</v>
      </c>
      <c r="E66" s="91" t="e">
        <f t="shared" ref="E66:E67" si="2">C61-D61</f>
        <v>#REF!</v>
      </c>
      <c r="F66" s="292" t="e">
        <f>B66/(D66*E66)/1000</f>
        <v>#REF!</v>
      </c>
      <c r="G66" s="293" t="e">
        <f>F66/E61</f>
        <v>#REF!</v>
      </c>
    </row>
    <row r="67" spans="1:7" ht="19.8" x14ac:dyDescent="0.3">
      <c r="A67" s="263" t="s">
        <v>215</v>
      </c>
      <c r="B67" s="26" t="e">
        <f t="shared" si="0"/>
        <v>#REF!</v>
      </c>
      <c r="C67" s="26" t="e">
        <f t="shared" si="1"/>
        <v>#REF!</v>
      </c>
      <c r="D67" s="38">
        <v>0.24</v>
      </c>
      <c r="E67" s="91" t="e">
        <f t="shared" si="2"/>
        <v>#REF!</v>
      </c>
      <c r="F67" s="292" t="e">
        <f>B67/(D67*E67)/1000</f>
        <v>#REF!</v>
      </c>
      <c r="G67" s="293" t="e">
        <f>F67/E62</f>
        <v>#REF!</v>
      </c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1" t="s">
        <v>582</v>
      </c>
      <c r="B77" s="1181"/>
      <c r="C77" s="1181"/>
      <c r="D77" s="1181"/>
      <c r="E77" s="1181"/>
      <c r="F77" s="1181"/>
      <c r="G77" s="1181"/>
    </row>
    <row r="78" spans="1:7" x14ac:dyDescent="0.3">
      <c r="A78" s="1182"/>
      <c r="B78" s="1182"/>
      <c r="C78" s="1182"/>
      <c r="D78" s="1182"/>
      <c r="E78" s="1182"/>
      <c r="F78" s="1182"/>
      <c r="G78" s="1182"/>
    </row>
    <row r="79" spans="1:7" x14ac:dyDescent="0.3">
      <c r="A79" s="8" t="s">
        <v>580</v>
      </c>
      <c r="B79" s="283">
        <v>101.3</v>
      </c>
      <c r="C79" s="298"/>
      <c r="D79" s="298"/>
      <c r="E79" s="874" t="s">
        <v>391</v>
      </c>
      <c r="F79" s="809"/>
      <c r="G79" s="299" t="e">
        <f>B79*(((B80+273.15)-(0.0065*B81))/(B80+273.15))^5.256</f>
        <v>#REF!</v>
      </c>
    </row>
    <row r="80" spans="1:7" x14ac:dyDescent="0.3">
      <c r="A80" s="8" t="s">
        <v>385</v>
      </c>
      <c r="B80" s="300" t="e">
        <f>D60</f>
        <v>#REF!</v>
      </c>
      <c r="C80" s="298"/>
      <c r="D80" s="298"/>
      <c r="E80" s="874" t="s">
        <v>392</v>
      </c>
      <c r="F80" s="809"/>
      <c r="G80" s="299" t="e">
        <f>((G79)/((8.314)*(273.15+B80))*28.97)</f>
        <v>#REF!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8">
        <v>0</v>
      </c>
      <c r="D81" s="298">
        <v>0</v>
      </c>
      <c r="E81" s="874"/>
      <c r="F81" s="809"/>
      <c r="G81" s="301"/>
    </row>
    <row r="83" spans="1:7" x14ac:dyDescent="0.3">
      <c r="A83" s="8" t="s">
        <v>580</v>
      </c>
      <c r="B83" s="283">
        <v>101.3</v>
      </c>
      <c r="C83" s="298"/>
      <c r="D83" s="298"/>
      <c r="E83" s="874" t="s">
        <v>391</v>
      </c>
      <c r="F83" s="809"/>
      <c r="G83" s="299" t="e">
        <f>B83*(((B84+273.15)-(0.0065*B85))/(B84+273.15))^5.256</f>
        <v>#REF!</v>
      </c>
    </row>
    <row r="84" spans="1:7" x14ac:dyDescent="0.3">
      <c r="A84" s="8" t="s">
        <v>385</v>
      </c>
      <c r="B84" s="300" t="e">
        <f>D61</f>
        <v>#REF!</v>
      </c>
      <c r="C84" s="298"/>
      <c r="D84" s="298"/>
      <c r="E84" s="874" t="s">
        <v>392</v>
      </c>
      <c r="F84" s="809"/>
      <c r="G84" s="299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8"/>
      <c r="D85" s="298"/>
      <c r="E85" s="874"/>
      <c r="F85" s="809"/>
      <c r="G85" s="301"/>
    </row>
    <row r="87" spans="1:7" x14ac:dyDescent="0.3">
      <c r="A87" s="8" t="s">
        <v>580</v>
      </c>
      <c r="B87" s="283">
        <v>101.3</v>
      </c>
      <c r="C87" s="298"/>
      <c r="D87" s="298"/>
      <c r="E87" s="874" t="s">
        <v>391</v>
      </c>
      <c r="F87" s="809"/>
      <c r="G87" s="299" t="e">
        <f>B87*(((B88+273.15)-(0.0065*B89))/(B88+273.15))^5.256</f>
        <v>#REF!</v>
      </c>
    </row>
    <row r="88" spans="1:7" x14ac:dyDescent="0.3">
      <c r="A88" s="8" t="s">
        <v>385</v>
      </c>
      <c r="B88" s="300" t="e">
        <f>D62</f>
        <v>#REF!</v>
      </c>
      <c r="C88" s="298"/>
      <c r="D88" s="298"/>
      <c r="E88" s="874" t="s">
        <v>392</v>
      </c>
      <c r="F88" s="809"/>
      <c r="G88" s="299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8"/>
      <c r="D89" s="298"/>
      <c r="E89" s="874"/>
      <c r="F89" s="809"/>
      <c r="G89" s="301"/>
    </row>
    <row r="95" spans="1:7" x14ac:dyDescent="0.3">
      <c r="A95" s="1181" t="s">
        <v>581</v>
      </c>
      <c r="B95" s="1181"/>
      <c r="C95" s="1181"/>
      <c r="D95" s="1181"/>
      <c r="E95" s="1181"/>
      <c r="F95" s="1181"/>
      <c r="G95" s="1181"/>
    </row>
    <row r="96" spans="1:7" x14ac:dyDescent="0.3">
      <c r="A96" s="1182"/>
      <c r="B96" s="1182"/>
      <c r="C96" s="1182"/>
      <c r="D96" s="1182"/>
      <c r="E96" s="1182"/>
      <c r="F96" s="1182"/>
      <c r="G96" s="1182"/>
    </row>
    <row r="97" spans="1:7" x14ac:dyDescent="0.3">
      <c r="A97" s="8" t="s">
        <v>580</v>
      </c>
      <c r="B97" s="283">
        <v>101.3</v>
      </c>
      <c r="C97" s="298"/>
      <c r="D97" s="298"/>
      <c r="E97" s="874" t="s">
        <v>391</v>
      </c>
      <c r="F97" s="809"/>
      <c r="G97" s="299" t="e">
        <f>B97*(((B98+273.15)-(0.0065*B99))/(B98+273.15))^5.256</f>
        <v>#REF!</v>
      </c>
    </row>
    <row r="98" spans="1:7" x14ac:dyDescent="0.3">
      <c r="A98" s="8" t="s">
        <v>385</v>
      </c>
      <c r="B98" s="300" t="e">
        <f>C60</f>
        <v>#REF!</v>
      </c>
      <c r="C98" s="298"/>
      <c r="D98" s="298"/>
      <c r="E98" s="874" t="s">
        <v>392</v>
      </c>
      <c r="F98" s="809"/>
      <c r="G98" s="299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8"/>
      <c r="D99" s="298"/>
      <c r="E99" s="874"/>
      <c r="F99" s="809"/>
      <c r="G99" s="301"/>
    </row>
    <row r="101" spans="1:7" x14ac:dyDescent="0.3">
      <c r="A101" s="8" t="s">
        <v>580</v>
      </c>
      <c r="B101" s="283">
        <v>101.3</v>
      </c>
      <c r="C101" s="298"/>
      <c r="D101" s="298"/>
      <c r="E101" s="874" t="s">
        <v>391</v>
      </c>
      <c r="F101" s="809"/>
      <c r="G101" s="299" t="e">
        <f>B101*(((B102+273.15)-(0.0065*B103))/(B102+273.15))^5.256</f>
        <v>#REF!</v>
      </c>
    </row>
    <row r="102" spans="1:7" x14ac:dyDescent="0.3">
      <c r="A102" s="8" t="s">
        <v>385</v>
      </c>
      <c r="B102" s="300" t="e">
        <f>C61</f>
        <v>#REF!</v>
      </c>
      <c r="C102" s="298"/>
      <c r="D102" s="298"/>
      <c r="E102" s="874" t="s">
        <v>392</v>
      </c>
      <c r="F102" s="809"/>
      <c r="G102" s="299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8"/>
      <c r="D103" s="298"/>
      <c r="E103" s="874"/>
      <c r="F103" s="809"/>
      <c r="G103" s="301"/>
    </row>
    <row r="105" spans="1:7" x14ac:dyDescent="0.3">
      <c r="A105" s="8" t="s">
        <v>580</v>
      </c>
      <c r="B105" s="283">
        <v>101.3</v>
      </c>
      <c r="C105" s="298"/>
      <c r="D105" s="298"/>
      <c r="E105" s="874" t="s">
        <v>391</v>
      </c>
      <c r="F105" s="809"/>
      <c r="G105" s="299" t="e">
        <f>B105*(((B106+273.15)-(0.0065*B107))/(B106+273.15))^5.256</f>
        <v>#REF!</v>
      </c>
    </row>
    <row r="106" spans="1:7" x14ac:dyDescent="0.3">
      <c r="A106" s="8" t="s">
        <v>385</v>
      </c>
      <c r="B106" s="300" t="e">
        <f>C62</f>
        <v>#REF!</v>
      </c>
      <c r="C106" s="298"/>
      <c r="D106" s="298"/>
      <c r="E106" s="874" t="s">
        <v>392</v>
      </c>
      <c r="F106" s="809"/>
      <c r="G106" s="299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8"/>
      <c r="D107" s="298"/>
      <c r="E107" s="874"/>
      <c r="F107" s="809"/>
      <c r="G107" s="301"/>
    </row>
  </sheetData>
  <mergeCells count="53"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  <mergeCell ref="C23:C27"/>
    <mergeCell ref="D23:D27"/>
    <mergeCell ref="E23:E27"/>
    <mergeCell ref="A28:E28"/>
    <mergeCell ref="C30:C34"/>
    <mergeCell ref="D30:D34"/>
    <mergeCell ref="E30:E34"/>
    <mergeCell ref="F36:G36"/>
    <mergeCell ref="C37:C40"/>
    <mergeCell ref="D37:D40"/>
    <mergeCell ref="E37:E40"/>
    <mergeCell ref="F37:G40"/>
    <mergeCell ref="A41:G41"/>
    <mergeCell ref="F42:G42"/>
    <mergeCell ref="C43:C46"/>
    <mergeCell ref="D43:D46"/>
    <mergeCell ref="E43:E46"/>
    <mergeCell ref="F43:G46"/>
    <mergeCell ref="E85:F85"/>
    <mergeCell ref="E80:F80"/>
    <mergeCell ref="E81:F81"/>
    <mergeCell ref="E79:F79"/>
    <mergeCell ref="F55:G55"/>
    <mergeCell ref="F56:G56"/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6"/>
      <c r="B1" s="1208" t="s">
        <v>53</v>
      </c>
      <c r="C1" s="1208"/>
      <c r="D1" s="1208"/>
      <c r="E1" s="1208"/>
      <c r="F1" s="1208"/>
      <c r="G1" s="1208"/>
      <c r="H1" s="1208"/>
      <c r="I1" s="1208"/>
      <c r="J1" s="3"/>
      <c r="K1" s="25"/>
      <c r="L1" s="25"/>
      <c r="M1" s="25"/>
      <c r="N1" s="1207" t="s">
        <v>36</v>
      </c>
      <c r="O1" s="1175"/>
      <c r="P1" s="1175"/>
      <c r="Q1" s="1175"/>
      <c r="R1" s="4"/>
    </row>
    <row r="2" spans="1:18" ht="15" customHeight="1" x14ac:dyDescent="0.3">
      <c r="A2" s="716"/>
      <c r="B2" s="47" t="s">
        <v>46</v>
      </c>
      <c r="C2" s="1209" t="s">
        <v>49</v>
      </c>
      <c r="D2" s="1209"/>
      <c r="E2" s="967" t="s">
        <v>44</v>
      </c>
      <c r="F2" s="967"/>
      <c r="G2" s="967"/>
      <c r="H2" s="967"/>
      <c r="I2" s="967"/>
      <c r="J2" s="3"/>
      <c r="K2" s="25"/>
      <c r="L2" s="25"/>
      <c r="M2" s="25"/>
      <c r="N2" s="1207"/>
      <c r="O2" s="1175"/>
      <c r="P2" s="1175"/>
      <c r="Q2" s="1175"/>
      <c r="R2" s="4"/>
    </row>
    <row r="3" spans="1:18" x14ac:dyDescent="0.3">
      <c r="A3" s="716"/>
      <c r="B3" s="47" t="s">
        <v>47</v>
      </c>
      <c r="C3" s="1209" t="s">
        <v>50</v>
      </c>
      <c r="D3" s="1209"/>
      <c r="E3" s="1210" t="s">
        <v>51</v>
      </c>
      <c r="F3" s="1210"/>
      <c r="G3" s="1210"/>
      <c r="H3" s="1210"/>
      <c r="I3" s="1210"/>
      <c r="J3" s="3"/>
      <c r="N3" s="42"/>
      <c r="O3" s="14"/>
      <c r="P3" s="14"/>
      <c r="Q3" s="14"/>
      <c r="R3" s="4"/>
    </row>
    <row r="4" spans="1:18" x14ac:dyDescent="0.3">
      <c r="A4" s="716"/>
      <c r="B4" s="47" t="s">
        <v>48</v>
      </c>
      <c r="C4" s="1209" t="s">
        <v>52</v>
      </c>
      <c r="D4" s="1209"/>
      <c r="E4" s="1210"/>
      <c r="F4" s="1210"/>
      <c r="G4" s="1210"/>
      <c r="H4" s="1210"/>
      <c r="I4" s="1210"/>
      <c r="J4" s="3"/>
      <c r="N4" s="82"/>
      <c r="O4" s="716" t="s">
        <v>54</v>
      </c>
      <c r="P4" s="716"/>
      <c r="Q4" s="716"/>
      <c r="R4" s="4"/>
    </row>
    <row r="5" spans="1:18" x14ac:dyDescent="0.3">
      <c r="A5" s="716"/>
      <c r="B5" s="47" t="s">
        <v>110</v>
      </c>
      <c r="C5" s="1211">
        <f ca="1">NOW()</f>
        <v>46064.807083449072</v>
      </c>
      <c r="D5" s="1211"/>
      <c r="E5" s="1210"/>
      <c r="F5" s="1210"/>
      <c r="G5" s="1210"/>
      <c r="H5" s="1210"/>
      <c r="I5" s="1210"/>
      <c r="J5" s="3"/>
      <c r="N5" s="83"/>
      <c r="O5" s="808" t="s">
        <v>55</v>
      </c>
      <c r="P5" s="809"/>
      <c r="Q5" s="810"/>
      <c r="R5" s="4"/>
    </row>
    <row r="6" spans="1:18" x14ac:dyDescent="0.3">
      <c r="A6" s="716"/>
      <c r="B6" s="46"/>
      <c r="C6" s="935"/>
      <c r="D6" s="935"/>
      <c r="E6" s="1210"/>
      <c r="F6" s="1210"/>
      <c r="G6" s="1210"/>
      <c r="H6" s="1210"/>
      <c r="I6" s="1210"/>
      <c r="J6" s="3"/>
      <c r="N6" s="84"/>
      <c r="O6" s="808" t="s">
        <v>56</v>
      </c>
      <c r="P6" s="809"/>
      <c r="Q6" s="810"/>
      <c r="R6" s="4"/>
    </row>
    <row r="7" spans="1:18" x14ac:dyDescent="0.3">
      <c r="A7" s="716"/>
      <c r="B7" s="46"/>
      <c r="C7" s="935"/>
      <c r="D7" s="935"/>
      <c r="E7" s="1210"/>
      <c r="F7" s="1210"/>
      <c r="G7" s="1210"/>
      <c r="H7" s="1210"/>
      <c r="I7" s="1210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00" t="s">
        <v>0</v>
      </c>
      <c r="B9" s="1201"/>
      <c r="C9" s="1201"/>
      <c r="D9" s="1201"/>
      <c r="E9" s="1201"/>
      <c r="F9" s="1201"/>
      <c r="G9" s="1201"/>
      <c r="H9" s="1201"/>
      <c r="I9" s="1201"/>
      <c r="J9" s="3"/>
      <c r="K9" s="1186" t="s">
        <v>120</v>
      </c>
      <c r="L9" s="1186"/>
      <c r="M9" s="1186"/>
      <c r="N9" s="1186"/>
      <c r="O9" s="1186"/>
      <c r="P9" s="1186"/>
      <c r="Q9" s="1186"/>
      <c r="R9" s="1186"/>
    </row>
    <row r="10" spans="1:18" ht="15" thickBot="1" x14ac:dyDescent="0.35">
      <c r="A10" s="35" t="s">
        <v>111</v>
      </c>
      <c r="B10" s="1187" t="s">
        <v>3</v>
      </c>
      <c r="C10" s="1187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828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88"/>
      <c r="B11" s="1189"/>
      <c r="C11" s="1189"/>
      <c r="D11" s="1189"/>
      <c r="E11" s="1189"/>
      <c r="F11" s="1189"/>
      <c r="G11" s="1189"/>
      <c r="H11" s="1189"/>
      <c r="I11" s="1189"/>
      <c r="J11" s="3"/>
      <c r="K11" s="1185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802" t="s">
        <v>123</v>
      </c>
      <c r="B12" s="808" t="s">
        <v>113</v>
      </c>
      <c r="C12" s="809"/>
      <c r="D12" s="1190">
        <v>37</v>
      </c>
      <c r="E12" s="1190">
        <v>34.9</v>
      </c>
      <c r="F12" s="1193"/>
      <c r="G12" s="1196">
        <v>-1.4</v>
      </c>
      <c r="H12" s="1196">
        <v>-45.78</v>
      </c>
      <c r="I12" s="828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803"/>
      <c r="B13" s="808" t="s">
        <v>114</v>
      </c>
      <c r="C13" s="809"/>
      <c r="D13" s="1191"/>
      <c r="E13" s="1191"/>
      <c r="F13" s="1194"/>
      <c r="G13" s="1197"/>
      <c r="H13" s="1197"/>
      <c r="I13" s="1199"/>
      <c r="J13" s="11"/>
      <c r="K13" s="52" t="s">
        <v>123</v>
      </c>
      <c r="L13" s="52"/>
      <c r="M13" s="12">
        <v>32</v>
      </c>
      <c r="N13" s="12"/>
      <c r="O13" s="305">
        <v>4.4999999999999998E-2</v>
      </c>
      <c r="P13" s="12"/>
      <c r="Q13" s="12"/>
      <c r="R13" s="12"/>
    </row>
    <row r="14" spans="1:18" x14ac:dyDescent="0.3">
      <c r="A14" s="804"/>
      <c r="B14" s="808" t="s">
        <v>115</v>
      </c>
      <c r="C14" s="809"/>
      <c r="D14" s="1192"/>
      <c r="E14" s="1192"/>
      <c r="F14" s="1195"/>
      <c r="G14" s="1198"/>
      <c r="H14" s="1198"/>
      <c r="I14" s="1185"/>
      <c r="J14" s="11"/>
      <c r="K14" s="52" t="s">
        <v>615</v>
      </c>
      <c r="L14" s="52"/>
      <c r="M14" s="12"/>
      <c r="N14" s="12"/>
      <c r="O14" s="305">
        <v>4.4999999999999998E-2</v>
      </c>
      <c r="P14" s="12"/>
      <c r="Q14" s="12"/>
      <c r="R14" s="12"/>
    </row>
    <row r="15" spans="1:18" x14ac:dyDescent="0.3">
      <c r="A15" s="53"/>
      <c r="B15" s="1090" t="s">
        <v>7</v>
      </c>
      <c r="C15" s="1090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5">
        <v>3.5000000000000003E-2</v>
      </c>
      <c r="P15" s="12"/>
      <c r="Q15" s="12"/>
      <c r="R15" s="12"/>
    </row>
    <row r="16" spans="1:18" x14ac:dyDescent="0.3">
      <c r="A16" s="14"/>
      <c r="B16" s="716" t="s">
        <v>7</v>
      </c>
      <c r="C16" s="716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5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5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5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5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5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5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5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5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5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5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5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5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5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204" t="s">
        <v>87</v>
      </c>
      <c r="B41" s="1204"/>
      <c r="C41" s="1204"/>
      <c r="D41" s="1204"/>
      <c r="E41" s="1204"/>
      <c r="F41" s="1204"/>
      <c r="G41" s="1204"/>
      <c r="H41" s="1204"/>
      <c r="I41" s="1204"/>
      <c r="J41" s="1204"/>
      <c r="K41" s="1204"/>
    </row>
    <row r="42" spans="1:11" ht="15.75" customHeight="1" x14ac:dyDescent="0.3">
      <c r="A42" s="1204"/>
      <c r="B42" s="1204"/>
      <c r="C42" s="1204"/>
      <c r="D42" s="1204"/>
      <c r="E42" s="1204"/>
      <c r="F42" s="1204"/>
      <c r="G42" s="1204"/>
      <c r="H42" s="1204"/>
      <c r="I42" s="1204"/>
      <c r="J42" s="1204"/>
      <c r="K42" s="1204"/>
    </row>
    <row r="43" spans="1:11" x14ac:dyDescent="0.3">
      <c r="A43" s="1091"/>
      <c r="B43" s="1205"/>
      <c r="C43" s="1205"/>
      <c r="D43" s="1205"/>
      <c r="E43" s="1205"/>
      <c r="F43" s="1205"/>
      <c r="G43" s="1205"/>
      <c r="H43" s="1205"/>
      <c r="I43" s="1205"/>
      <c r="J43" s="1205"/>
      <c r="K43" s="1206"/>
    </row>
    <row r="44" spans="1:11" x14ac:dyDescent="0.3">
      <c r="A44" s="1202" t="s">
        <v>57</v>
      </c>
      <c r="B44" s="1202"/>
      <c r="C44" s="1203" t="s">
        <v>58</v>
      </c>
      <c r="D44" s="1203"/>
      <c r="E44" s="1203"/>
      <c r="F44" s="1203"/>
      <c r="G44" s="1203"/>
      <c r="H44" s="1203"/>
      <c r="I44" s="1203"/>
      <c r="J44" s="1203"/>
      <c r="K44" s="1203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  <mergeCell ref="A44:B44"/>
    <mergeCell ref="C44:K44"/>
    <mergeCell ref="A41:K42"/>
    <mergeCell ref="A43:K43"/>
    <mergeCell ref="B15:C15"/>
    <mergeCell ref="B16:C16"/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6"/>
      <c r="B1" s="1158" t="s">
        <v>122</v>
      </c>
      <c r="C1" s="1158"/>
      <c r="D1" s="1158"/>
      <c r="E1" s="1158"/>
      <c r="F1" s="1158"/>
      <c r="G1" s="1158"/>
      <c r="H1" s="1158"/>
      <c r="I1" s="1158"/>
      <c r="J1" s="1158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6"/>
      <c r="B2" s="47" t="s">
        <v>46</v>
      </c>
      <c r="C2" s="1209" t="s">
        <v>49</v>
      </c>
      <c r="D2" s="1209"/>
      <c r="E2" s="1209"/>
      <c r="F2" s="967" t="s">
        <v>44</v>
      </c>
      <c r="G2" s="967"/>
      <c r="H2" s="967"/>
      <c r="I2" s="967"/>
      <c r="J2" s="967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6"/>
      <c r="B3" s="47" t="s">
        <v>47</v>
      </c>
      <c r="C3" s="1209"/>
      <c r="D3" s="1209"/>
      <c r="E3" s="1209"/>
      <c r="F3" s="1210"/>
      <c r="G3" s="1210"/>
      <c r="H3" s="1210"/>
      <c r="I3" s="1210"/>
      <c r="J3" s="1210"/>
      <c r="K3" s="3"/>
      <c r="L3" s="1186" t="s">
        <v>120</v>
      </c>
      <c r="M3" s="1186"/>
      <c r="N3" s="1186"/>
      <c r="O3" s="1186"/>
      <c r="P3" s="1186"/>
      <c r="Q3" s="1186"/>
      <c r="R3" s="1186"/>
      <c r="S3" s="1186"/>
      <c r="T3" s="1186"/>
      <c r="U3" s="1186"/>
      <c r="V3" s="1186"/>
      <c r="W3" s="7"/>
    </row>
    <row r="4" spans="1:23" x14ac:dyDescent="0.3">
      <c r="A4" s="716"/>
      <c r="B4" s="47" t="s">
        <v>48</v>
      </c>
      <c r="C4" s="1209"/>
      <c r="D4" s="1209"/>
      <c r="E4" s="1209"/>
      <c r="F4" s="1210"/>
      <c r="G4" s="1210"/>
      <c r="H4" s="1210"/>
      <c r="I4" s="1210"/>
      <c r="J4" s="1210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6"/>
      <c r="B5" s="47" t="s">
        <v>90</v>
      </c>
      <c r="C5" s="1225"/>
      <c r="D5" s="1159"/>
      <c r="E5" s="1159"/>
      <c r="F5" s="1210"/>
      <c r="G5" s="1210"/>
      <c r="H5" s="1210"/>
      <c r="I5" s="1210"/>
      <c r="J5" s="1210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6"/>
      <c r="B6" s="81" t="s">
        <v>91</v>
      </c>
      <c r="C6" s="1224"/>
      <c r="D6" s="935"/>
      <c r="E6" s="935"/>
      <c r="F6" s="1210"/>
      <c r="G6" s="1210"/>
      <c r="H6" s="1210"/>
      <c r="I6" s="1210"/>
      <c r="J6" s="1210"/>
      <c r="K6" s="3"/>
      <c r="L6" s="78" t="s">
        <v>164</v>
      </c>
      <c r="M6" s="306">
        <v>40</v>
      </c>
      <c r="N6" s="306"/>
      <c r="O6" s="306"/>
      <c r="P6" s="306">
        <v>38.299999999999997</v>
      </c>
      <c r="Q6" s="306"/>
      <c r="R6" s="307">
        <v>0.9</v>
      </c>
      <c r="S6" s="307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6"/>
      <c r="B7" s="47" t="s">
        <v>110</v>
      </c>
      <c r="C7" s="1225">
        <f ca="1">NOW()</f>
        <v>46064.807083449072</v>
      </c>
      <c r="D7" s="1159"/>
      <c r="E7" s="1159"/>
      <c r="F7" s="1210"/>
      <c r="G7" s="1210"/>
      <c r="H7" s="1210"/>
      <c r="I7" s="1210"/>
      <c r="J7" s="1210"/>
      <c r="K7" s="3"/>
      <c r="L7" s="78" t="s">
        <v>112</v>
      </c>
      <c r="M7" s="306">
        <v>37</v>
      </c>
      <c r="N7" s="306"/>
      <c r="O7" s="306"/>
      <c r="P7" s="306">
        <v>34.9</v>
      </c>
      <c r="Q7" s="306"/>
      <c r="R7" s="307">
        <v>0.85</v>
      </c>
      <c r="S7" s="307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6">
        <v>34.5</v>
      </c>
      <c r="N8" s="306"/>
      <c r="O8" s="306"/>
      <c r="P8" s="306">
        <v>31.4</v>
      </c>
      <c r="Q8" s="306"/>
      <c r="R8" s="307"/>
      <c r="S8" s="307"/>
      <c r="T8" s="50">
        <v>-20.5</v>
      </c>
      <c r="U8" s="50">
        <v>-43.9</v>
      </c>
      <c r="V8" s="51">
        <v>870</v>
      </c>
      <c r="W8" s="7"/>
    </row>
    <row r="9" spans="1:23" x14ac:dyDescent="0.3">
      <c r="A9" s="1226" t="s">
        <v>0</v>
      </c>
      <c r="B9" s="1227"/>
      <c r="C9" s="1227"/>
      <c r="D9" s="1227"/>
      <c r="E9" s="1227"/>
      <c r="F9" s="1227"/>
      <c r="G9" s="1227"/>
      <c r="H9" s="1227"/>
      <c r="I9" s="1227"/>
      <c r="J9" s="1227"/>
      <c r="K9" s="3"/>
      <c r="L9" s="78" t="s">
        <v>165</v>
      </c>
      <c r="M9" s="306"/>
      <c r="N9" s="306"/>
      <c r="O9" s="306"/>
      <c r="P9" s="306"/>
      <c r="Q9" s="306"/>
      <c r="R9" s="307"/>
      <c r="S9" s="307"/>
      <c r="T9" s="50"/>
      <c r="U9" s="50"/>
      <c r="V9" s="51"/>
      <c r="W9" s="7"/>
    </row>
    <row r="10" spans="1:23" x14ac:dyDescent="0.3">
      <c r="A10" s="38" t="s">
        <v>111</v>
      </c>
      <c r="B10" s="814" t="s">
        <v>3</v>
      </c>
      <c r="C10" s="814"/>
      <c r="D10" s="814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6">
        <v>40</v>
      </c>
      <c r="N10" s="306"/>
      <c r="O10" s="306"/>
      <c r="P10" s="306">
        <v>36.799999999999997</v>
      </c>
      <c r="Q10" s="306"/>
      <c r="R10" s="307">
        <v>0.8</v>
      </c>
      <c r="S10" s="307"/>
      <c r="T10" s="50">
        <v>-23</v>
      </c>
      <c r="U10" s="50">
        <v>-44</v>
      </c>
      <c r="V10" s="51">
        <v>10</v>
      </c>
      <c r="W10" s="3"/>
    </row>
    <row r="11" spans="1:23" x14ac:dyDescent="0.3">
      <c r="A11" s="1220"/>
      <c r="B11" s="1220"/>
      <c r="C11" s="1220"/>
      <c r="D11" s="1220"/>
      <c r="E11" s="1220"/>
      <c r="F11" s="1220"/>
      <c r="G11" s="1220"/>
      <c r="H11" s="1220"/>
      <c r="I11" s="1220"/>
      <c r="J11" s="1220"/>
      <c r="K11" s="3"/>
      <c r="L11" s="79" t="s">
        <v>167</v>
      </c>
      <c r="M11" s="306"/>
      <c r="N11" s="306"/>
      <c r="O11" s="306"/>
      <c r="P11" s="306"/>
      <c r="Q11" s="306"/>
      <c r="R11" s="307"/>
      <c r="S11" s="307"/>
      <c r="T11" s="50"/>
      <c r="U11" s="50"/>
      <c r="V11" s="51"/>
      <c r="W11" s="7"/>
    </row>
    <row r="12" spans="1:23" x14ac:dyDescent="0.3">
      <c r="A12" s="814" t="s">
        <v>170</v>
      </c>
      <c r="B12" s="716" t="s">
        <v>113</v>
      </c>
      <c r="C12" s="716"/>
      <c r="D12" s="716"/>
      <c r="E12" s="1221">
        <f>VLOOKUP(A12,L6:V14,2,)</f>
        <v>37.5</v>
      </c>
      <c r="F12" s="1221">
        <f>VLOOKUP(A12,L6:V14,3,)</f>
        <v>0</v>
      </c>
      <c r="G12" s="1222">
        <f>VLOOKUP(A12,L6:V14,4,)</f>
        <v>0</v>
      </c>
      <c r="H12" s="1223">
        <f>VLOOKUP(A12,L6:V14,5,)</f>
        <v>33.299999999999997</v>
      </c>
      <c r="I12" s="1223">
        <f>VLOOKUP(A12,L6:V14,6,)</f>
        <v>0</v>
      </c>
      <c r="J12" s="814">
        <f>VLOOKUP(A12,L6:V14,7,)</f>
        <v>0.75</v>
      </c>
      <c r="K12" s="11"/>
      <c r="L12" s="79" t="s">
        <v>168</v>
      </c>
      <c r="M12" s="306">
        <v>40</v>
      </c>
      <c r="N12" s="306"/>
      <c r="O12" s="306"/>
      <c r="P12" s="306">
        <v>37.700000000000003</v>
      </c>
      <c r="Q12" s="306"/>
      <c r="R12" s="307">
        <v>0.86</v>
      </c>
      <c r="S12" s="307"/>
      <c r="T12" s="50">
        <v>-3.66</v>
      </c>
      <c r="U12" s="50">
        <v>-45.38</v>
      </c>
      <c r="V12" s="51"/>
      <c r="W12" s="7"/>
    </row>
    <row r="13" spans="1:23" x14ac:dyDescent="0.3">
      <c r="A13" s="814"/>
      <c r="B13" s="716" t="s">
        <v>114</v>
      </c>
      <c r="C13" s="716"/>
      <c r="D13" s="716"/>
      <c r="E13" s="1221"/>
      <c r="F13" s="1221"/>
      <c r="G13" s="1222"/>
      <c r="H13" s="1223"/>
      <c r="I13" s="1223"/>
      <c r="J13" s="814"/>
      <c r="K13" s="11"/>
      <c r="L13" s="14" t="s">
        <v>169</v>
      </c>
      <c r="M13" s="306">
        <v>40</v>
      </c>
      <c r="N13" s="306"/>
      <c r="O13" s="306"/>
      <c r="P13" s="306">
        <v>37.700000000000003</v>
      </c>
      <c r="Q13" s="306"/>
      <c r="R13" s="307">
        <v>0.86</v>
      </c>
      <c r="S13" s="307"/>
      <c r="T13" s="50">
        <v>-5.37</v>
      </c>
      <c r="U13" s="50">
        <v>-49.12</v>
      </c>
      <c r="V13" s="51"/>
      <c r="W13" s="7"/>
    </row>
    <row r="14" spans="1:23" x14ac:dyDescent="0.3">
      <c r="A14" s="814"/>
      <c r="B14" s="716" t="s">
        <v>115</v>
      </c>
      <c r="C14" s="716"/>
      <c r="D14" s="716"/>
      <c r="E14" s="1221"/>
      <c r="F14" s="1221"/>
      <c r="G14" s="1222"/>
      <c r="H14" s="1223"/>
      <c r="I14" s="1223"/>
      <c r="J14" s="814"/>
      <c r="K14" s="11"/>
      <c r="L14" s="14" t="s">
        <v>170</v>
      </c>
      <c r="M14" s="306">
        <v>37.5</v>
      </c>
      <c r="N14" s="306"/>
      <c r="O14" s="306"/>
      <c r="P14" s="306">
        <v>33.299999999999997</v>
      </c>
      <c r="Q14" s="306"/>
      <c r="R14" s="307">
        <v>0.75</v>
      </c>
      <c r="S14" s="307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090" t="s">
        <v>7</v>
      </c>
      <c r="C15" s="1090"/>
      <c r="D15" s="1090"/>
      <c r="E15" s="53"/>
      <c r="F15" s="53"/>
      <c r="G15" s="53"/>
      <c r="H15" s="54"/>
      <c r="I15" s="55"/>
      <c r="J15" s="54"/>
      <c r="K15" s="11"/>
      <c r="L15" s="78" t="s">
        <v>377</v>
      </c>
      <c r="M15" s="306">
        <v>40</v>
      </c>
      <c r="N15" s="306"/>
      <c r="O15" s="306"/>
      <c r="P15" s="306">
        <v>37.5</v>
      </c>
      <c r="Q15" s="306"/>
      <c r="R15" s="307">
        <v>0.82199999999999995</v>
      </c>
      <c r="S15" s="307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14"/>
      <c r="M16" s="1214"/>
      <c r="N16" s="1214"/>
      <c r="O16" s="1214"/>
      <c r="P16" s="1214"/>
      <c r="Q16" s="1214"/>
      <c r="R16" s="1214"/>
      <c r="S16" s="1214"/>
      <c r="T16" s="1214"/>
      <c r="U16" s="1214"/>
      <c r="V16" s="1214"/>
      <c r="W16" s="7"/>
    </row>
    <row r="17" spans="8:22" x14ac:dyDescent="0.3">
      <c r="L17" s="1215" t="s">
        <v>725</v>
      </c>
      <c r="M17" s="1216"/>
      <c r="N17" s="1216"/>
      <c r="O17" s="1216"/>
      <c r="P17" s="1216"/>
      <c r="Q17" s="1216"/>
      <c r="R17" s="1216"/>
      <c r="S17" s="1216"/>
      <c r="T17" s="1216"/>
      <c r="U17" s="1216"/>
      <c r="V17" s="1217"/>
    </row>
    <row r="18" spans="8:22" x14ac:dyDescent="0.3">
      <c r="L18" s="177" t="s">
        <v>111</v>
      </c>
      <c r="M18" s="404" t="s">
        <v>767</v>
      </c>
      <c r="N18" s="404" t="s">
        <v>765</v>
      </c>
      <c r="O18" s="404" t="s">
        <v>766</v>
      </c>
      <c r="P18" s="404" t="s">
        <v>770</v>
      </c>
      <c r="Q18" s="404" t="s">
        <v>769</v>
      </c>
      <c r="R18" s="404" t="s">
        <v>118</v>
      </c>
      <c r="S18" s="404" t="s">
        <v>768</v>
      </c>
      <c r="T18" s="404" t="s">
        <v>121</v>
      </c>
      <c r="U18" s="404" t="s">
        <v>40</v>
      </c>
      <c r="V18" s="405" t="s">
        <v>119</v>
      </c>
    </row>
    <row r="19" spans="8:22" x14ac:dyDescent="0.3">
      <c r="L19" s="1218" t="s">
        <v>726</v>
      </c>
      <c r="M19" s="1060"/>
      <c r="N19" s="1060"/>
      <c r="O19" s="1060"/>
      <c r="P19" s="1060"/>
      <c r="Q19" s="1060"/>
      <c r="R19" s="1060"/>
      <c r="S19" s="1060"/>
      <c r="T19" s="1060"/>
      <c r="U19" s="1060"/>
      <c r="V19" s="1219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12" t="s">
        <v>735</v>
      </c>
      <c r="M28" s="1163"/>
      <c r="N28" s="1163"/>
      <c r="O28" s="1163"/>
      <c r="P28" s="1163"/>
      <c r="Q28" s="1163"/>
      <c r="R28" s="1163"/>
      <c r="S28" s="1163"/>
      <c r="T28" s="1163"/>
      <c r="U28" s="1163"/>
      <c r="V28" s="1213"/>
    </row>
    <row r="29" spans="8:22" x14ac:dyDescent="0.3">
      <c r="K29" s="406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400">
        <v>115</v>
      </c>
    </row>
    <row r="30" spans="8:22" x14ac:dyDescent="0.3">
      <c r="K30" s="406" t="s">
        <v>738</v>
      </c>
      <c r="L30" s="406" t="s">
        <v>737</v>
      </c>
      <c r="M30" s="399">
        <v>31.8</v>
      </c>
      <c r="N30" s="399">
        <v>31.2</v>
      </c>
      <c r="O30" s="399">
        <v>30.9</v>
      </c>
      <c r="P30" s="399">
        <v>25.2</v>
      </c>
      <c r="Q30" s="399">
        <v>34.6</v>
      </c>
      <c r="R30" s="1" t="s">
        <v>7</v>
      </c>
      <c r="S30" s="399">
        <v>7.8</v>
      </c>
      <c r="T30" s="399">
        <v>-17.63</v>
      </c>
      <c r="U30" s="399">
        <v>-39.25</v>
      </c>
      <c r="V30" s="401">
        <v>4</v>
      </c>
    </row>
    <row r="31" spans="8:22" x14ac:dyDescent="0.3">
      <c r="K31" s="406" t="s">
        <v>739</v>
      </c>
      <c r="L31" s="406" t="s">
        <v>738</v>
      </c>
      <c r="M31" s="399">
        <v>32.700000000000003</v>
      </c>
      <c r="N31" s="399">
        <v>32</v>
      </c>
      <c r="O31" s="399">
        <v>31.2</v>
      </c>
      <c r="P31" s="399">
        <v>26.7</v>
      </c>
      <c r="Q31" s="399">
        <v>34.799999999999997</v>
      </c>
      <c r="R31" s="1" t="s">
        <v>7</v>
      </c>
      <c r="S31" s="399">
        <v>5.9</v>
      </c>
      <c r="T31" s="399">
        <v>-12.9</v>
      </c>
      <c r="U31" s="399">
        <v>-38.33</v>
      </c>
      <c r="V31" s="401">
        <v>6</v>
      </c>
    </row>
    <row r="32" spans="8:22" x14ac:dyDescent="0.3">
      <c r="K32" s="406" t="s">
        <v>164</v>
      </c>
      <c r="L32" s="406" t="s">
        <v>739</v>
      </c>
      <c r="M32" s="399">
        <v>32.200000000000003</v>
      </c>
      <c r="N32" s="399">
        <v>32.1</v>
      </c>
      <c r="O32" s="399">
        <v>31.9</v>
      </c>
      <c r="P32" s="399">
        <v>25.3</v>
      </c>
      <c r="Q32" s="399">
        <v>35</v>
      </c>
      <c r="R32" s="1" t="s">
        <v>7</v>
      </c>
      <c r="S32" s="399">
        <v>5.9</v>
      </c>
      <c r="T32" s="399">
        <v>-3.78</v>
      </c>
      <c r="U32" s="399">
        <v>-38.53</v>
      </c>
      <c r="V32" s="401">
        <v>25</v>
      </c>
    </row>
    <row r="33" spans="11:22" x14ac:dyDescent="0.3">
      <c r="K33" s="406" t="s">
        <v>740</v>
      </c>
      <c r="L33" s="406" t="s">
        <v>164</v>
      </c>
      <c r="M33" s="399">
        <v>34.1</v>
      </c>
      <c r="N33" s="399">
        <v>33.799999999999997</v>
      </c>
      <c r="O33" s="399">
        <v>33.1</v>
      </c>
      <c r="P33" s="399">
        <v>26.3</v>
      </c>
      <c r="Q33" s="399">
        <v>35.799999999999997</v>
      </c>
      <c r="R33" s="1" t="s">
        <v>7</v>
      </c>
      <c r="S33" s="399">
        <v>7.4</v>
      </c>
      <c r="T33" s="399">
        <v>-2.6</v>
      </c>
      <c r="U33" s="399">
        <v>-44.23</v>
      </c>
      <c r="V33" s="401">
        <v>53</v>
      </c>
    </row>
    <row r="34" spans="11:22" x14ac:dyDescent="0.3">
      <c r="K34" s="88" t="s">
        <v>741</v>
      </c>
      <c r="L34" s="406" t="s">
        <v>740</v>
      </c>
      <c r="M34" s="399">
        <v>31.1</v>
      </c>
      <c r="N34" s="399">
        <v>30.7</v>
      </c>
      <c r="O34" s="399">
        <v>30.2</v>
      </c>
      <c r="P34" s="399">
        <v>25.7</v>
      </c>
      <c r="Q34" s="399">
        <v>35</v>
      </c>
      <c r="R34" s="1" t="s">
        <v>7</v>
      </c>
      <c r="S34" s="399">
        <v>4.7</v>
      </c>
      <c r="T34" s="399">
        <v>-3.85</v>
      </c>
      <c r="U34" s="399">
        <v>-32.42</v>
      </c>
      <c r="V34" s="401">
        <v>56</v>
      </c>
    </row>
    <row r="35" spans="11:22" x14ac:dyDescent="0.3">
      <c r="K35" s="88" t="s">
        <v>742</v>
      </c>
      <c r="L35" s="88" t="s">
        <v>741</v>
      </c>
      <c r="M35" s="399">
        <v>34.1</v>
      </c>
      <c r="N35" s="399">
        <v>33.5</v>
      </c>
      <c r="O35" s="399">
        <v>33</v>
      </c>
      <c r="P35" s="399">
        <v>27.1</v>
      </c>
      <c r="Q35" s="399">
        <v>35.9</v>
      </c>
      <c r="R35" s="1" t="s">
        <v>7</v>
      </c>
      <c r="S35" s="399">
        <v>6.7</v>
      </c>
      <c r="T35" s="399">
        <v>-8.07</v>
      </c>
      <c r="U35" s="399">
        <v>-34.85</v>
      </c>
      <c r="V35" s="401">
        <v>19</v>
      </c>
    </row>
    <row r="36" spans="11:22" x14ac:dyDescent="0.3">
      <c r="K36" s="406" t="s">
        <v>743</v>
      </c>
      <c r="L36" s="88" t="s">
        <v>742</v>
      </c>
      <c r="M36" s="399">
        <v>37.9</v>
      </c>
      <c r="N36" s="399">
        <v>37.200000000000003</v>
      </c>
      <c r="O36" s="399">
        <v>36.799999999999997</v>
      </c>
      <c r="P36" s="399">
        <v>24.7</v>
      </c>
      <c r="Q36" s="399">
        <v>39.5</v>
      </c>
      <c r="R36" s="1" t="s">
        <v>7</v>
      </c>
      <c r="S36" s="399">
        <v>12.2</v>
      </c>
      <c r="T36" s="399">
        <v>-5.05</v>
      </c>
      <c r="U36" s="399">
        <v>-42.82</v>
      </c>
      <c r="V36" s="401">
        <v>69</v>
      </c>
    </row>
    <row r="37" spans="11:22" x14ac:dyDescent="0.3">
      <c r="K37" s="406" t="s">
        <v>744</v>
      </c>
      <c r="L37" s="406" t="s">
        <v>743</v>
      </c>
      <c r="M37" s="399">
        <v>32.200000000000003</v>
      </c>
      <c r="N37" s="399">
        <v>32</v>
      </c>
      <c r="O37" s="399">
        <v>31.6</v>
      </c>
      <c r="P37" s="399">
        <v>25.3</v>
      </c>
      <c r="Q37" s="399">
        <v>34.700000000000003</v>
      </c>
      <c r="R37" s="1" t="s">
        <v>7</v>
      </c>
      <c r="S37" s="399">
        <v>7</v>
      </c>
      <c r="T37" s="399">
        <v>-5.92</v>
      </c>
      <c r="U37" s="399">
        <v>35.25</v>
      </c>
      <c r="V37" s="401">
        <v>52</v>
      </c>
    </row>
    <row r="38" spans="11:22" x14ac:dyDescent="0.3">
      <c r="K38" s="88" t="s">
        <v>746</v>
      </c>
      <c r="L38" s="406" t="s">
        <v>744</v>
      </c>
      <c r="M38" s="399">
        <v>32.1</v>
      </c>
      <c r="N38" s="399">
        <v>31.8</v>
      </c>
      <c r="O38" s="399">
        <v>31.1</v>
      </c>
      <c r="P38" s="399">
        <v>26.6</v>
      </c>
      <c r="Q38" s="399">
        <v>35.4</v>
      </c>
      <c r="R38" s="1" t="s">
        <v>7</v>
      </c>
      <c r="S38" s="399">
        <v>5.2</v>
      </c>
      <c r="T38" s="399">
        <v>-10.98</v>
      </c>
      <c r="U38" s="399">
        <v>-37.07</v>
      </c>
      <c r="V38" s="401">
        <v>9</v>
      </c>
    </row>
    <row r="39" spans="11:22" x14ac:dyDescent="0.3">
      <c r="K39" s="88" t="s">
        <v>747</v>
      </c>
      <c r="L39" s="1212" t="s">
        <v>745</v>
      </c>
      <c r="M39" s="1163"/>
      <c r="N39" s="1163"/>
      <c r="O39" s="1163"/>
      <c r="P39" s="1163"/>
      <c r="Q39" s="1163"/>
      <c r="R39" s="1163"/>
      <c r="S39" s="1163"/>
      <c r="T39" s="1163"/>
      <c r="U39" s="1163"/>
      <c r="V39" s="1213"/>
    </row>
    <row r="40" spans="11:22" x14ac:dyDescent="0.3">
      <c r="K40" s="88" t="s">
        <v>748</v>
      </c>
      <c r="L40" s="88" t="s">
        <v>746</v>
      </c>
      <c r="M40" s="399">
        <v>32.1</v>
      </c>
      <c r="N40" s="399">
        <v>31.1</v>
      </c>
      <c r="O40" s="399">
        <v>30.2</v>
      </c>
      <c r="P40" s="399">
        <v>18</v>
      </c>
      <c r="Q40" s="399">
        <v>34.200000000000003</v>
      </c>
      <c r="R40" s="3" t="s">
        <v>7</v>
      </c>
      <c r="S40" s="399">
        <v>11.3</v>
      </c>
      <c r="T40" s="399">
        <v>-15.87</v>
      </c>
      <c r="U40" s="399">
        <v>-47.93</v>
      </c>
      <c r="V40" s="401">
        <v>1061</v>
      </c>
    </row>
    <row r="41" spans="11:22" x14ac:dyDescent="0.3">
      <c r="K41" s="88" t="s">
        <v>749</v>
      </c>
      <c r="L41" s="88" t="s">
        <v>747</v>
      </c>
      <c r="M41" s="399">
        <v>31.7</v>
      </c>
      <c r="N41" s="399">
        <v>30.7</v>
      </c>
      <c r="O41" s="399">
        <v>29.8</v>
      </c>
      <c r="P41" s="399">
        <v>20.6</v>
      </c>
      <c r="Q41" s="3" t="s">
        <v>7</v>
      </c>
      <c r="R41" s="3" t="s">
        <v>7</v>
      </c>
      <c r="S41" s="399">
        <v>10.7</v>
      </c>
      <c r="T41" s="399">
        <v>-16.23</v>
      </c>
      <c r="U41" s="399">
        <v>-48.79</v>
      </c>
      <c r="V41" s="401">
        <v>1137</v>
      </c>
    </row>
    <row r="42" spans="11:22" x14ac:dyDescent="0.3">
      <c r="K42" s="88" t="s">
        <v>750</v>
      </c>
      <c r="L42" s="88" t="s">
        <v>748</v>
      </c>
      <c r="M42" s="399">
        <v>35</v>
      </c>
      <c r="N42" s="399">
        <v>34</v>
      </c>
      <c r="O42" s="399">
        <v>33.1</v>
      </c>
      <c r="P42" s="399">
        <v>20.3</v>
      </c>
      <c r="Q42" s="399">
        <v>36.6</v>
      </c>
      <c r="R42" s="3" t="s">
        <v>7</v>
      </c>
      <c r="S42" s="399">
        <v>11.7</v>
      </c>
      <c r="T42" s="399">
        <v>-16.63</v>
      </c>
      <c r="U42" s="399">
        <v>-49.22</v>
      </c>
      <c r="V42" s="401">
        <v>747</v>
      </c>
    </row>
    <row r="43" spans="11:22" x14ac:dyDescent="0.3">
      <c r="K43" s="88" t="s">
        <v>752</v>
      </c>
      <c r="L43" s="88" t="s">
        <v>749</v>
      </c>
      <c r="M43" s="399">
        <v>35.799999999999997</v>
      </c>
      <c r="N43" s="399">
        <v>34.799999999999997</v>
      </c>
      <c r="O43" s="399">
        <v>33.9</v>
      </c>
      <c r="P43" s="399">
        <v>22.6</v>
      </c>
      <c r="Q43" s="399">
        <v>37.6</v>
      </c>
      <c r="R43" s="3" t="s">
        <v>7</v>
      </c>
      <c r="S43" s="399">
        <v>10.4</v>
      </c>
      <c r="T43" s="399">
        <v>-20.47</v>
      </c>
      <c r="U43" s="399">
        <v>-54.67</v>
      </c>
      <c r="V43" s="401">
        <v>556</v>
      </c>
    </row>
    <row r="44" spans="11:22" x14ac:dyDescent="0.3">
      <c r="K44" s="88" t="s">
        <v>753</v>
      </c>
      <c r="L44" s="88" t="s">
        <v>750</v>
      </c>
      <c r="M44" s="399">
        <v>38</v>
      </c>
      <c r="N44" s="399">
        <v>36.9</v>
      </c>
      <c r="O44" s="399">
        <v>36</v>
      </c>
      <c r="P44" s="399">
        <v>23.4</v>
      </c>
      <c r="Q44" s="3" t="s">
        <v>7</v>
      </c>
      <c r="R44" s="3" t="s">
        <v>7</v>
      </c>
      <c r="S44" s="399">
        <v>10.4</v>
      </c>
      <c r="T44" s="399">
        <v>-15.65</v>
      </c>
      <c r="U44" s="399">
        <v>-56.1</v>
      </c>
      <c r="V44" s="401">
        <v>182</v>
      </c>
    </row>
    <row r="45" spans="11:22" x14ac:dyDescent="0.3">
      <c r="K45" s="88" t="s">
        <v>754</v>
      </c>
      <c r="L45" s="1212" t="s">
        <v>751</v>
      </c>
      <c r="M45" s="1163"/>
      <c r="N45" s="1163"/>
      <c r="O45" s="1163"/>
      <c r="P45" s="1163"/>
      <c r="Q45" s="1163"/>
      <c r="R45" s="1163"/>
      <c r="S45" s="1163"/>
      <c r="T45" s="1163"/>
      <c r="U45" s="1163"/>
      <c r="V45" s="1213"/>
    </row>
    <row r="46" spans="11:22" x14ac:dyDescent="0.3">
      <c r="K46" s="88" t="s">
        <v>170</v>
      </c>
      <c r="L46" s="88" t="s">
        <v>752</v>
      </c>
      <c r="M46" s="399">
        <v>34</v>
      </c>
      <c r="N46" s="399">
        <v>33.1</v>
      </c>
      <c r="O46" s="399">
        <v>32.200000000000003</v>
      </c>
      <c r="P46" s="399">
        <v>25.5</v>
      </c>
      <c r="Q46" s="399">
        <v>36.799999999999997</v>
      </c>
      <c r="R46" s="3" t="s">
        <v>7</v>
      </c>
      <c r="S46" s="399">
        <v>8</v>
      </c>
      <c r="T46" s="399">
        <v>-20.27</v>
      </c>
      <c r="U46" s="399">
        <v>-40.28</v>
      </c>
      <c r="V46" s="401">
        <v>4</v>
      </c>
    </row>
    <row r="47" spans="11:22" x14ac:dyDescent="0.3">
      <c r="K47" s="88" t="s">
        <v>755</v>
      </c>
      <c r="L47" s="88" t="s">
        <v>753</v>
      </c>
      <c r="M47" s="399">
        <v>33</v>
      </c>
      <c r="N47" s="399">
        <v>32</v>
      </c>
      <c r="O47" s="399">
        <v>31.1</v>
      </c>
      <c r="P47" s="399">
        <v>20.7</v>
      </c>
      <c r="Q47" s="3" t="s">
        <v>7</v>
      </c>
      <c r="R47" s="3" t="s">
        <v>7</v>
      </c>
      <c r="S47" s="399">
        <v>9.6</v>
      </c>
      <c r="T47" s="399">
        <v>-19.850000000000001</v>
      </c>
      <c r="U47" s="399">
        <v>-43.95</v>
      </c>
      <c r="V47" s="401">
        <v>785</v>
      </c>
    </row>
    <row r="48" spans="11:22" x14ac:dyDescent="0.3">
      <c r="K48" s="88" t="s">
        <v>756</v>
      </c>
      <c r="L48" s="88" t="s">
        <v>754</v>
      </c>
      <c r="M48" s="399">
        <v>32.1</v>
      </c>
      <c r="N48" s="399">
        <v>31.1</v>
      </c>
      <c r="O48" s="399">
        <v>30.2</v>
      </c>
      <c r="P48" s="399">
        <v>20.5</v>
      </c>
      <c r="Q48" s="399">
        <v>34.6</v>
      </c>
      <c r="R48" s="3" t="s">
        <v>7</v>
      </c>
      <c r="S48" s="399">
        <v>9.6999999999999993</v>
      </c>
      <c r="T48" s="399">
        <v>-19.829999999999998</v>
      </c>
      <c r="U48" s="399">
        <v>-43.93</v>
      </c>
      <c r="V48" s="401">
        <v>917</v>
      </c>
    </row>
    <row r="49" spans="11:22" x14ac:dyDescent="0.3">
      <c r="K49" s="88" t="s">
        <v>757</v>
      </c>
      <c r="L49" s="88" t="s">
        <v>170</v>
      </c>
      <c r="M49" s="399">
        <v>33.6</v>
      </c>
      <c r="N49" s="399">
        <v>32.700000000000003</v>
      </c>
      <c r="O49" s="399">
        <v>31.9</v>
      </c>
      <c r="P49" s="399">
        <v>19.3</v>
      </c>
      <c r="Q49" s="399">
        <v>35.9</v>
      </c>
      <c r="R49" s="3" t="s">
        <v>7</v>
      </c>
      <c r="S49" s="399">
        <v>10.9</v>
      </c>
      <c r="T49" s="399">
        <v>-19.78</v>
      </c>
      <c r="U49" s="399">
        <v>-47.97</v>
      </c>
      <c r="V49" s="401">
        <v>807</v>
      </c>
    </row>
    <row r="50" spans="11:22" x14ac:dyDescent="0.3">
      <c r="K50" s="88" t="s">
        <v>758</v>
      </c>
      <c r="L50" s="88" t="s">
        <v>755</v>
      </c>
      <c r="M50" s="399">
        <v>34</v>
      </c>
      <c r="N50" s="399">
        <v>32.700000000000003</v>
      </c>
      <c r="O50" s="399">
        <v>31.8</v>
      </c>
      <c r="P50" s="399">
        <v>25.2</v>
      </c>
      <c r="Q50" s="3" t="s">
        <v>7</v>
      </c>
      <c r="R50" s="3" t="s">
        <v>7</v>
      </c>
      <c r="S50" s="399">
        <v>6.1</v>
      </c>
      <c r="T50" s="399">
        <v>-22.9</v>
      </c>
      <c r="U50" s="399">
        <v>-43.17</v>
      </c>
      <c r="V50" s="401">
        <v>3</v>
      </c>
    </row>
    <row r="51" spans="11:22" x14ac:dyDescent="0.3">
      <c r="K51" s="88" t="s">
        <v>983</v>
      </c>
      <c r="L51" s="88" t="s">
        <v>983</v>
      </c>
      <c r="M51" s="399">
        <f t="shared" ref="M51:V51" si="0">M50</f>
        <v>34</v>
      </c>
      <c r="N51" s="399">
        <f t="shared" si="0"/>
        <v>32.700000000000003</v>
      </c>
      <c r="O51" s="399">
        <f t="shared" si="0"/>
        <v>31.8</v>
      </c>
      <c r="P51" s="399">
        <f t="shared" si="0"/>
        <v>25.2</v>
      </c>
      <c r="Q51" s="3" t="str">
        <f t="shared" si="0"/>
        <v>-</v>
      </c>
      <c r="R51" s="3" t="str">
        <f t="shared" si="0"/>
        <v>-</v>
      </c>
      <c r="S51" s="399">
        <f t="shared" si="0"/>
        <v>6.1</v>
      </c>
      <c r="T51" s="399">
        <f t="shared" si="0"/>
        <v>-22.9</v>
      </c>
      <c r="U51" s="399">
        <f t="shared" si="0"/>
        <v>-43.17</v>
      </c>
      <c r="V51" s="401">
        <f t="shared" si="0"/>
        <v>3</v>
      </c>
    </row>
    <row r="52" spans="11:22" x14ac:dyDescent="0.3">
      <c r="K52" s="88" t="s">
        <v>759</v>
      </c>
      <c r="L52" s="88" t="s">
        <v>756</v>
      </c>
      <c r="M52" s="399">
        <v>38.1</v>
      </c>
      <c r="N52" s="399">
        <v>36.200000000000003</v>
      </c>
      <c r="O52" s="399">
        <v>35</v>
      </c>
      <c r="P52" s="399">
        <v>25.6</v>
      </c>
      <c r="Q52" s="399">
        <v>40.200000000000003</v>
      </c>
      <c r="R52" s="3" t="s">
        <v>7</v>
      </c>
      <c r="S52" s="399">
        <v>9.8000000000000007</v>
      </c>
      <c r="T52" s="399">
        <v>-22.82</v>
      </c>
      <c r="U52" s="399">
        <v>-43.25</v>
      </c>
      <c r="V52" s="401">
        <v>6</v>
      </c>
    </row>
    <row r="53" spans="11:22" x14ac:dyDescent="0.3">
      <c r="K53" s="88" t="s">
        <v>760</v>
      </c>
      <c r="L53" s="88" t="s">
        <v>757</v>
      </c>
      <c r="M53" s="399">
        <v>33.200000000000003</v>
      </c>
      <c r="N53" s="399">
        <v>32.200000000000003</v>
      </c>
      <c r="O53" s="399">
        <v>31.3</v>
      </c>
      <c r="P53" s="399">
        <v>21.9</v>
      </c>
      <c r="Q53" s="399">
        <v>35.799999999999997</v>
      </c>
      <c r="R53" s="3" t="s">
        <v>7</v>
      </c>
      <c r="S53" s="399">
        <v>9.8000000000000007</v>
      </c>
      <c r="T53" s="399">
        <v>-23</v>
      </c>
      <c r="U53" s="399">
        <v>-47.13</v>
      </c>
      <c r="V53" s="401">
        <v>661</v>
      </c>
    </row>
    <row r="54" spans="11:22" x14ac:dyDescent="0.3">
      <c r="K54" s="88" t="s">
        <v>761</v>
      </c>
      <c r="L54" s="88" t="s">
        <v>758</v>
      </c>
      <c r="M54" s="399">
        <v>32</v>
      </c>
      <c r="N54" s="399">
        <v>31</v>
      </c>
      <c r="O54" s="399">
        <v>30</v>
      </c>
      <c r="P54" s="399">
        <v>20.3</v>
      </c>
      <c r="Q54" s="399">
        <v>34.299999999999997</v>
      </c>
      <c r="R54" s="3" t="s">
        <v>7</v>
      </c>
      <c r="S54" s="399">
        <v>8.3000000000000007</v>
      </c>
      <c r="T54" s="399">
        <v>-23.62</v>
      </c>
      <c r="U54" s="399">
        <v>-46.65</v>
      </c>
      <c r="V54" s="401">
        <v>803</v>
      </c>
    </row>
    <row r="55" spans="11:22" x14ac:dyDescent="0.3">
      <c r="K55" s="88" t="s">
        <v>762</v>
      </c>
      <c r="L55" s="88" t="s">
        <v>759</v>
      </c>
      <c r="M55" s="399">
        <v>32.9</v>
      </c>
      <c r="N55" s="399">
        <v>31.8</v>
      </c>
      <c r="O55" s="399">
        <v>30.8</v>
      </c>
      <c r="P55" s="399">
        <v>22.3</v>
      </c>
      <c r="Q55" s="399">
        <v>34.799999999999997</v>
      </c>
      <c r="R55" s="3" t="s">
        <v>7</v>
      </c>
      <c r="S55" s="399">
        <v>8.9</v>
      </c>
      <c r="T55" s="399">
        <v>-23.43</v>
      </c>
      <c r="U55" s="399">
        <v>-46.47</v>
      </c>
      <c r="V55" s="401">
        <v>750</v>
      </c>
    </row>
    <row r="56" spans="11:22" x14ac:dyDescent="0.3">
      <c r="K56" s="88" t="s">
        <v>763</v>
      </c>
      <c r="L56" s="1212" t="s">
        <v>771</v>
      </c>
      <c r="M56" s="1163"/>
      <c r="N56" s="1163"/>
      <c r="O56" s="1163"/>
      <c r="P56" s="1163"/>
      <c r="Q56" s="1163"/>
      <c r="R56" s="1163"/>
      <c r="S56" s="1163"/>
      <c r="T56" s="1163"/>
      <c r="U56" s="1163"/>
      <c r="V56" s="1213"/>
    </row>
    <row r="57" spans="11:22" ht="15" thickBot="1" x14ac:dyDescent="0.35">
      <c r="K57" s="114" t="s">
        <v>764</v>
      </c>
      <c r="L57" s="88" t="s">
        <v>760</v>
      </c>
      <c r="M57" s="399">
        <v>30.9</v>
      </c>
      <c r="N57" s="399">
        <v>29.8</v>
      </c>
      <c r="O57" s="399">
        <v>28.7</v>
      </c>
      <c r="P57" s="399">
        <v>20.2</v>
      </c>
      <c r="Q57" s="399">
        <v>32.9</v>
      </c>
      <c r="R57" s="3" t="s">
        <v>7</v>
      </c>
      <c r="S57" s="399">
        <v>9.5</v>
      </c>
      <c r="T57" s="399">
        <v>-25.52</v>
      </c>
      <c r="U57" s="399">
        <v>-49.17</v>
      </c>
      <c r="V57" s="401">
        <v>908</v>
      </c>
    </row>
    <row r="58" spans="11:22" x14ac:dyDescent="0.3">
      <c r="L58" s="88" t="s">
        <v>761</v>
      </c>
      <c r="M58" s="399">
        <v>35.1</v>
      </c>
      <c r="N58" s="399">
        <v>34.1</v>
      </c>
      <c r="O58" s="399">
        <v>33.1</v>
      </c>
      <c r="P58" s="399">
        <v>23.6</v>
      </c>
      <c r="Q58" s="399">
        <v>37.200000000000003</v>
      </c>
      <c r="R58" s="3" t="s">
        <v>7</v>
      </c>
      <c r="S58" s="399">
        <v>11.1</v>
      </c>
      <c r="T58" s="399">
        <v>-25.52</v>
      </c>
      <c r="U58" s="399">
        <v>-54.58</v>
      </c>
      <c r="V58" s="401">
        <v>243</v>
      </c>
    </row>
    <row r="59" spans="11:22" x14ac:dyDescent="0.3">
      <c r="L59" s="88" t="s">
        <v>762</v>
      </c>
      <c r="M59" s="399">
        <v>33.9</v>
      </c>
      <c r="N59" s="399">
        <v>32.799999999999997</v>
      </c>
      <c r="O59" s="399">
        <v>31.9</v>
      </c>
      <c r="P59" s="399">
        <v>21.7</v>
      </c>
      <c r="Q59" s="399">
        <v>35.700000000000003</v>
      </c>
      <c r="R59" s="3" t="s">
        <v>7</v>
      </c>
      <c r="S59" s="399">
        <v>10</v>
      </c>
      <c r="T59" s="399">
        <v>-23.33</v>
      </c>
      <c r="U59" s="399">
        <v>-51.13</v>
      </c>
      <c r="V59" s="401">
        <v>570</v>
      </c>
    </row>
    <row r="60" spans="11:22" x14ac:dyDescent="0.3">
      <c r="L60" s="88" t="s">
        <v>763</v>
      </c>
      <c r="M60" s="399">
        <v>34.799999999999997</v>
      </c>
      <c r="N60" s="399">
        <v>33.200000000000003</v>
      </c>
      <c r="O60" s="399">
        <v>31.8</v>
      </c>
      <c r="P60" s="3" t="s">
        <v>7</v>
      </c>
      <c r="Q60" s="399">
        <v>37.9</v>
      </c>
      <c r="R60" s="3" t="s">
        <v>7</v>
      </c>
      <c r="S60" s="399">
        <v>9.6999999999999993</v>
      </c>
      <c r="T60" s="399">
        <v>-30</v>
      </c>
      <c r="U60" s="399">
        <v>-51.18</v>
      </c>
      <c r="V60" s="401">
        <v>3</v>
      </c>
    </row>
    <row r="61" spans="11:22" ht="15" thickBot="1" x14ac:dyDescent="0.35">
      <c r="L61" s="114" t="s">
        <v>764</v>
      </c>
      <c r="M61" s="402">
        <v>32.200000000000003</v>
      </c>
      <c r="N61" s="402">
        <v>31</v>
      </c>
      <c r="O61" s="402">
        <v>29.9</v>
      </c>
      <c r="P61" s="402">
        <v>25.5</v>
      </c>
      <c r="Q61" s="402">
        <v>35.200000000000003</v>
      </c>
      <c r="R61" s="407" t="s">
        <v>7</v>
      </c>
      <c r="S61" s="402">
        <v>6.7</v>
      </c>
      <c r="T61" s="402">
        <v>-27.67</v>
      </c>
      <c r="U61" s="402">
        <v>-48.55</v>
      </c>
      <c r="V61" s="403">
        <v>5</v>
      </c>
    </row>
  </sheetData>
  <mergeCells count="32"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45:V45"/>
    <mergeCell ref="L56:V56"/>
    <mergeCell ref="L16:V16"/>
    <mergeCell ref="L17:V17"/>
    <mergeCell ref="L19:V19"/>
    <mergeCell ref="L28:V28"/>
    <mergeCell ref="L39:V39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6"/>
      <c r="B1" s="1158" t="s">
        <v>122</v>
      </c>
      <c r="C1" s="1158"/>
      <c r="D1" s="1158"/>
      <c r="E1" s="1158"/>
      <c r="F1" s="1158"/>
      <c r="G1" s="1158"/>
      <c r="H1" s="1158"/>
      <c r="I1" s="1158"/>
      <c r="J1" s="1158"/>
      <c r="K1" s="1158"/>
      <c r="L1" s="1158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6"/>
      <c r="B2" s="47" t="s">
        <v>46</v>
      </c>
      <c r="C2" s="1209"/>
      <c r="D2" s="1209"/>
      <c r="E2" s="1209"/>
      <c r="F2" s="488"/>
      <c r="G2" s="488"/>
      <c r="H2" s="967" t="s">
        <v>44</v>
      </c>
      <c r="I2" s="967"/>
      <c r="J2" s="967"/>
      <c r="K2" s="967"/>
      <c r="L2" s="967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6"/>
      <c r="B3" s="47" t="s">
        <v>47</v>
      </c>
      <c r="C3" s="1209"/>
      <c r="D3" s="1209"/>
      <c r="E3" s="1209"/>
      <c r="F3" s="488"/>
      <c r="G3" s="488"/>
      <c r="H3" s="1210"/>
      <c r="I3" s="1210"/>
      <c r="J3" s="1210"/>
      <c r="K3" s="1210"/>
      <c r="L3" s="1210"/>
      <c r="M3" s="3"/>
      <c r="N3" s="1228"/>
      <c r="O3" s="1228"/>
      <c r="P3" s="1228"/>
      <c r="Q3" s="1228"/>
      <c r="R3" s="1228"/>
      <c r="S3" s="1228"/>
      <c r="T3" s="1228"/>
      <c r="U3" s="1228"/>
      <c r="V3" s="1228"/>
      <c r="W3" s="1228"/>
      <c r="X3" s="1228"/>
      <c r="Y3" s="7"/>
    </row>
    <row r="4" spans="1:25" x14ac:dyDescent="0.3">
      <c r="A4" s="716"/>
      <c r="B4" s="47" t="s">
        <v>48</v>
      </c>
      <c r="C4" s="1209"/>
      <c r="D4" s="1209"/>
      <c r="E4" s="1209"/>
      <c r="F4" s="488"/>
      <c r="G4" s="488"/>
      <c r="H4" s="1210"/>
      <c r="I4" s="1210"/>
      <c r="J4" s="1210"/>
      <c r="K4" s="1210"/>
      <c r="L4" s="1210"/>
      <c r="M4" s="3"/>
      <c r="N4" s="3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7"/>
    </row>
    <row r="5" spans="1:25" x14ac:dyDescent="0.3">
      <c r="A5" s="716"/>
      <c r="B5" s="47" t="s">
        <v>90</v>
      </c>
      <c r="C5" s="1225"/>
      <c r="D5" s="1159"/>
      <c r="E5" s="1159"/>
      <c r="F5" s="487"/>
      <c r="G5" s="487"/>
      <c r="H5" s="1210"/>
      <c r="I5" s="1210"/>
      <c r="J5" s="1210"/>
      <c r="K5" s="1210"/>
      <c r="L5" s="1210"/>
      <c r="M5" s="3"/>
      <c r="N5" s="3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7"/>
    </row>
    <row r="6" spans="1:25" x14ac:dyDescent="0.3">
      <c r="A6" s="716"/>
      <c r="B6" s="81" t="s">
        <v>91</v>
      </c>
      <c r="C6" s="1224"/>
      <c r="D6" s="935"/>
      <c r="E6" s="935"/>
      <c r="F6" s="486"/>
      <c r="G6" s="486"/>
      <c r="H6" s="1210"/>
      <c r="I6" s="1210"/>
      <c r="J6" s="1210"/>
      <c r="K6" s="1210"/>
      <c r="L6" s="1210"/>
      <c r="M6" s="3"/>
      <c r="N6" s="11"/>
      <c r="O6" s="502"/>
      <c r="P6" s="502"/>
      <c r="Q6" s="502"/>
      <c r="R6" s="502"/>
      <c r="S6" s="502"/>
      <c r="T6" s="503"/>
      <c r="U6" s="503"/>
      <c r="V6" s="504"/>
      <c r="W6" s="504"/>
      <c r="X6" s="505"/>
      <c r="Y6" s="7"/>
    </row>
    <row r="7" spans="1:25" x14ac:dyDescent="0.3">
      <c r="A7" s="716"/>
      <c r="B7" s="47" t="s">
        <v>110</v>
      </c>
      <c r="C7" s="1225">
        <f ca="1">NOW()</f>
        <v>46064.807083449072</v>
      </c>
      <c r="D7" s="1159"/>
      <c r="E7" s="1159"/>
      <c r="F7" s="487"/>
      <c r="G7" s="487"/>
      <c r="H7" s="1210"/>
      <c r="I7" s="1210"/>
      <c r="J7" s="1210"/>
      <c r="K7" s="1210"/>
      <c r="L7" s="1210"/>
      <c r="M7" s="3"/>
      <c r="N7" s="11"/>
      <c r="O7" s="502"/>
      <c r="P7" s="502"/>
      <c r="Q7" s="502"/>
      <c r="R7" s="502"/>
      <c r="S7" s="502"/>
      <c r="T7" s="503"/>
      <c r="U7" s="503"/>
      <c r="V7" s="504"/>
      <c r="W7" s="504"/>
      <c r="X7" s="505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2"/>
      <c r="P8" s="502"/>
      <c r="Q8" s="502"/>
      <c r="R8" s="502"/>
      <c r="S8" s="502"/>
      <c r="T8" s="503"/>
      <c r="U8" s="503"/>
      <c r="V8" s="504"/>
      <c r="W8" s="504"/>
      <c r="X8" s="505"/>
      <c r="Y8" s="7"/>
    </row>
    <row r="9" spans="1:25" x14ac:dyDescent="0.3">
      <c r="A9" s="1226" t="s">
        <v>0</v>
      </c>
      <c r="B9" s="1227"/>
      <c r="C9" s="1227"/>
      <c r="D9" s="1227"/>
      <c r="E9" s="1227"/>
      <c r="F9" s="1227"/>
      <c r="G9" s="1227"/>
      <c r="H9" s="1227"/>
      <c r="I9" s="1227"/>
      <c r="J9" s="1227"/>
      <c r="K9" s="1227"/>
      <c r="L9" s="1227"/>
      <c r="M9" s="3"/>
      <c r="N9" s="11"/>
      <c r="O9" s="502"/>
      <c r="P9" s="502"/>
      <c r="Q9" s="502"/>
      <c r="R9" s="502"/>
      <c r="S9" s="502"/>
      <c r="T9" s="503"/>
      <c r="U9" s="503"/>
      <c r="V9" s="504"/>
      <c r="W9" s="504"/>
      <c r="X9" s="505"/>
      <c r="Y9" s="7"/>
    </row>
    <row r="10" spans="1:25" x14ac:dyDescent="0.3">
      <c r="A10" s="38" t="s">
        <v>111</v>
      </c>
      <c r="B10" s="814" t="s">
        <v>3</v>
      </c>
      <c r="C10" s="814"/>
      <c r="D10" s="814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2"/>
      <c r="P10" s="502"/>
      <c r="Q10" s="502"/>
      <c r="R10" s="502"/>
      <c r="S10" s="502"/>
      <c r="T10" s="503"/>
      <c r="U10" s="503"/>
      <c r="V10" s="504"/>
      <c r="W10" s="504"/>
      <c r="X10" s="505"/>
      <c r="Y10" s="3"/>
    </row>
    <row r="11" spans="1:25" x14ac:dyDescent="0.3">
      <c r="A11" s="1220"/>
      <c r="B11" s="1220"/>
      <c r="C11" s="1220"/>
      <c r="D11" s="1220"/>
      <c r="E11" s="1220"/>
      <c r="F11" s="1220"/>
      <c r="G11" s="1220"/>
      <c r="H11" s="1220"/>
      <c r="I11" s="1220"/>
      <c r="J11" s="1220"/>
      <c r="K11" s="1220"/>
      <c r="L11" s="1220"/>
      <c r="M11" s="3"/>
      <c r="N11" s="409"/>
      <c r="O11" s="502"/>
      <c r="P11" s="502"/>
      <c r="Q11" s="502"/>
      <c r="R11" s="502"/>
      <c r="S11" s="502"/>
      <c r="T11" s="503"/>
      <c r="U11" s="503"/>
      <c r="V11" s="504"/>
      <c r="W11" s="504"/>
      <c r="X11" s="505"/>
      <c r="Y11" s="7"/>
    </row>
    <row r="12" spans="1:25" x14ac:dyDescent="0.3">
      <c r="A12" s="86" t="str">
        <f>FD!D11</f>
        <v>Macapá/AP</v>
      </c>
      <c r="B12" s="716" t="s">
        <v>113</v>
      </c>
      <c r="C12" s="716"/>
      <c r="D12" s="716"/>
      <c r="E12" s="511">
        <f>VLOOKUP(A12,N20:X66,2,)</f>
        <v>34</v>
      </c>
      <c r="F12" s="511">
        <f>VLOOKUP(A12,N20:X66,3,)</f>
        <v>33.200000000000003</v>
      </c>
      <c r="G12" s="511">
        <f>VLOOKUP(A12,N20:X66,4,)</f>
        <v>33</v>
      </c>
      <c r="H12" s="511">
        <f>VLOOKUP(A12,N20:X66,5,)</f>
        <v>26.1</v>
      </c>
      <c r="I12" s="511">
        <f>VLOOKUP(A12,N20:X66,8,)</f>
        <v>8.5</v>
      </c>
      <c r="J12" s="512">
        <f>VLOOKUP(A12,N20:X66,9,)</f>
        <v>0.03</v>
      </c>
      <c r="K12" s="512">
        <f>VLOOKUP(A12,N20:X66,10,)</f>
        <v>-51.5</v>
      </c>
      <c r="L12" s="86">
        <f>VLOOKUP(A12,N20:X66,11,)</f>
        <v>15</v>
      </c>
      <c r="M12" s="11"/>
      <c r="N12" s="409"/>
      <c r="O12" s="502"/>
      <c r="P12" s="502"/>
      <c r="Q12" s="502"/>
      <c r="R12" s="502"/>
      <c r="S12" s="502"/>
      <c r="T12" s="503"/>
      <c r="U12" s="503"/>
      <c r="V12" s="504"/>
      <c r="W12" s="504"/>
      <c r="X12" s="505"/>
      <c r="Y12" s="7"/>
    </row>
    <row r="13" spans="1:25" x14ac:dyDescent="0.3">
      <c r="A13" s="86"/>
      <c r="B13" s="716" t="s">
        <v>114</v>
      </c>
      <c r="C13" s="716"/>
      <c r="D13" s="716"/>
      <c r="E13" s="511"/>
      <c r="F13" s="511"/>
      <c r="G13" s="511"/>
      <c r="H13" s="511"/>
      <c r="I13" s="511"/>
      <c r="J13" s="512"/>
      <c r="K13" s="512"/>
      <c r="L13" s="86"/>
      <c r="M13" s="11"/>
      <c r="O13" s="502"/>
      <c r="P13" s="502"/>
      <c r="Q13" s="502"/>
      <c r="R13" s="502"/>
      <c r="S13" s="502"/>
      <c r="T13" s="503"/>
      <c r="U13" s="503"/>
      <c r="V13" s="504"/>
      <c r="W13" s="504"/>
      <c r="X13" s="505"/>
      <c r="Y13" s="7"/>
    </row>
    <row r="14" spans="1:25" x14ac:dyDescent="0.3">
      <c r="A14" s="86"/>
      <c r="B14" s="716" t="s">
        <v>115</v>
      </c>
      <c r="C14" s="716"/>
      <c r="D14" s="716"/>
      <c r="E14" s="511"/>
      <c r="F14" s="511"/>
      <c r="G14" s="511"/>
      <c r="H14" s="511"/>
      <c r="I14" s="511"/>
      <c r="J14" s="512"/>
      <c r="K14" s="512"/>
      <c r="L14" s="86"/>
      <c r="M14" s="11"/>
      <c r="O14" s="502"/>
      <c r="P14" s="502"/>
      <c r="Q14" s="502"/>
      <c r="R14" s="502"/>
      <c r="S14" s="502"/>
      <c r="T14" s="503"/>
      <c r="U14" s="503"/>
      <c r="V14" s="504"/>
      <c r="W14" s="504"/>
      <c r="X14" s="505"/>
      <c r="Y14" s="7"/>
    </row>
    <row r="15" spans="1:25" x14ac:dyDescent="0.3">
      <c r="A15" s="53"/>
      <c r="B15" s="1090" t="s">
        <v>7</v>
      </c>
      <c r="C15" s="1090"/>
      <c r="D15" s="1090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2"/>
      <c r="P15" s="502"/>
      <c r="Q15" s="502"/>
      <c r="R15" s="502"/>
      <c r="S15" s="502"/>
      <c r="T15" s="503"/>
      <c r="U15" s="503"/>
      <c r="V15" s="504"/>
      <c r="W15" s="504"/>
      <c r="X15" s="505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9"/>
      <c r="O16" s="1229"/>
      <c r="P16" s="1229"/>
      <c r="Q16" s="1229"/>
      <c r="R16" s="1229"/>
      <c r="S16" s="1229"/>
      <c r="T16" s="1229"/>
      <c r="U16" s="1229"/>
      <c r="V16" s="1229"/>
      <c r="W16" s="1229"/>
      <c r="X16" s="1229"/>
      <c r="Y16" s="7"/>
    </row>
    <row r="17" spans="10:24" x14ac:dyDescent="0.3">
      <c r="N17" s="1215" t="s">
        <v>725</v>
      </c>
      <c r="O17" s="1216"/>
      <c r="P17" s="1216"/>
      <c r="Q17" s="1216"/>
      <c r="R17" s="1216"/>
      <c r="S17" s="1216"/>
      <c r="T17" s="1216"/>
      <c r="U17" s="1216"/>
      <c r="V17" s="1216"/>
      <c r="W17" s="1216"/>
      <c r="X17" s="1217"/>
    </row>
    <row r="18" spans="10:24" x14ac:dyDescent="0.3">
      <c r="N18" s="177" t="s">
        <v>111</v>
      </c>
      <c r="O18" s="404" t="s">
        <v>767</v>
      </c>
      <c r="P18" s="404" t="s">
        <v>765</v>
      </c>
      <c r="Q18" s="404" t="s">
        <v>766</v>
      </c>
      <c r="R18" s="404" t="s">
        <v>770</v>
      </c>
      <c r="S18" s="404" t="s">
        <v>769</v>
      </c>
      <c r="T18" s="404" t="s">
        <v>118</v>
      </c>
      <c r="U18" s="404" t="s">
        <v>768</v>
      </c>
      <c r="V18" s="404" t="s">
        <v>121</v>
      </c>
      <c r="W18" s="404" t="s">
        <v>40</v>
      </c>
      <c r="X18" s="405" t="s">
        <v>119</v>
      </c>
    </row>
    <row r="19" spans="10:24" x14ac:dyDescent="0.3">
      <c r="N19" s="825" t="s">
        <v>726</v>
      </c>
      <c r="O19" s="826"/>
      <c r="P19" s="826"/>
      <c r="Q19" s="826"/>
      <c r="R19" s="826"/>
      <c r="S19" s="826"/>
      <c r="T19" s="826"/>
      <c r="U19" s="826"/>
      <c r="V19" s="826"/>
      <c r="W19" s="826"/>
      <c r="X19" s="827"/>
    </row>
    <row r="20" spans="10:24" x14ac:dyDescent="0.3">
      <c r="N20" s="559" t="s">
        <v>1169</v>
      </c>
      <c r="O20" s="540">
        <v>35</v>
      </c>
      <c r="P20" s="540">
        <v>35</v>
      </c>
      <c r="Q20" s="540">
        <v>35</v>
      </c>
      <c r="R20" s="540">
        <v>24</v>
      </c>
      <c r="S20" s="540"/>
      <c r="T20" s="540"/>
      <c r="U20" s="540">
        <v>10</v>
      </c>
      <c r="V20" s="540">
        <v>-6</v>
      </c>
      <c r="W20" s="540">
        <v>-50</v>
      </c>
      <c r="X20" s="560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8" t="s">
        <v>169</v>
      </c>
      <c r="O25" s="490">
        <v>36</v>
      </c>
      <c r="P25" s="490"/>
      <c r="Q25" s="490"/>
      <c r="R25" s="490">
        <v>26</v>
      </c>
      <c r="S25" s="490"/>
      <c r="T25" s="491">
        <v>0.86</v>
      </c>
      <c r="U25" s="491"/>
      <c r="V25" s="492">
        <v>-5.37</v>
      </c>
      <c r="W25" s="492">
        <v>-49.12</v>
      </c>
      <c r="X25" s="497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9" t="s">
        <v>377</v>
      </c>
      <c r="O27" s="490">
        <v>40</v>
      </c>
      <c r="P27" s="490"/>
      <c r="Q27" s="490"/>
      <c r="R27" s="490">
        <v>37.5</v>
      </c>
      <c r="S27" s="490"/>
      <c r="T27" s="491">
        <v>0.82199999999999995</v>
      </c>
      <c r="U27" s="491"/>
      <c r="V27" s="492">
        <v>-2.15</v>
      </c>
      <c r="W27" s="492">
        <v>-56.1</v>
      </c>
      <c r="X27" s="497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500" t="s">
        <v>1097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9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9"/>
      <c r="N32" s="88" t="s">
        <v>736</v>
      </c>
      <c r="O32" s="493">
        <v>32.6</v>
      </c>
      <c r="P32" s="493">
        <v>32</v>
      </c>
      <c r="Q32" s="493">
        <v>31.3</v>
      </c>
      <c r="R32" s="493">
        <v>25.1</v>
      </c>
      <c r="S32" s="493">
        <v>35.299999999999997</v>
      </c>
      <c r="T32" s="493" t="s">
        <v>7</v>
      </c>
      <c r="U32" s="493">
        <v>7.7</v>
      </c>
      <c r="V32" s="493">
        <v>-9.52</v>
      </c>
      <c r="W32" s="493">
        <v>-35.76</v>
      </c>
      <c r="X32" s="400">
        <v>115</v>
      </c>
    </row>
    <row r="33" spans="13:24" x14ac:dyDescent="0.3">
      <c r="M33" s="489"/>
      <c r="N33" s="406" t="s">
        <v>737</v>
      </c>
      <c r="O33" s="494">
        <v>31.8</v>
      </c>
      <c r="P33" s="494">
        <v>31.2</v>
      </c>
      <c r="Q33" s="494">
        <v>30.9</v>
      </c>
      <c r="R33" s="494">
        <v>25.2</v>
      </c>
      <c r="S33" s="494">
        <v>34.6</v>
      </c>
      <c r="T33" s="493" t="s">
        <v>7</v>
      </c>
      <c r="U33" s="494">
        <v>7.8</v>
      </c>
      <c r="V33" s="494">
        <v>-17.63</v>
      </c>
      <c r="W33" s="494">
        <v>-39.25</v>
      </c>
      <c r="X33" s="401">
        <v>4</v>
      </c>
    </row>
    <row r="34" spans="13:24" x14ac:dyDescent="0.3">
      <c r="M34" s="489"/>
      <c r="N34" s="406" t="s">
        <v>738</v>
      </c>
      <c r="O34" s="494">
        <v>32.700000000000003</v>
      </c>
      <c r="P34" s="494">
        <v>32</v>
      </c>
      <c r="Q34" s="494">
        <v>31.2</v>
      </c>
      <c r="R34" s="494">
        <v>26.7</v>
      </c>
      <c r="S34" s="494">
        <v>34.799999999999997</v>
      </c>
      <c r="T34" s="493" t="s">
        <v>7</v>
      </c>
      <c r="U34" s="494">
        <v>5.9</v>
      </c>
      <c r="V34" s="494">
        <v>-12.9</v>
      </c>
      <c r="W34" s="494">
        <v>-38.33</v>
      </c>
      <c r="X34" s="401">
        <v>6</v>
      </c>
    </row>
    <row r="35" spans="13:24" x14ac:dyDescent="0.3">
      <c r="M35" s="489"/>
      <c r="N35" s="406" t="s">
        <v>739</v>
      </c>
      <c r="O35" s="494">
        <v>32.200000000000003</v>
      </c>
      <c r="P35" s="494">
        <v>32.1</v>
      </c>
      <c r="Q35" s="494">
        <v>31.9</v>
      </c>
      <c r="R35" s="494">
        <v>25.3</v>
      </c>
      <c r="S35" s="494">
        <v>35</v>
      </c>
      <c r="T35" s="493" t="s">
        <v>7</v>
      </c>
      <c r="U35" s="494">
        <v>5.9</v>
      </c>
      <c r="V35" s="494">
        <v>-3.78</v>
      </c>
      <c r="W35" s="494">
        <v>-38.53</v>
      </c>
      <c r="X35" s="401">
        <v>25</v>
      </c>
    </row>
    <row r="36" spans="13:24" x14ac:dyDescent="0.3">
      <c r="M36" s="489"/>
      <c r="N36" s="499" t="s">
        <v>112</v>
      </c>
      <c r="O36" s="495">
        <v>37</v>
      </c>
      <c r="P36" s="495"/>
      <c r="Q36" s="495"/>
      <c r="R36" s="495">
        <v>26</v>
      </c>
      <c r="S36" s="495"/>
      <c r="T36" s="496">
        <v>85</v>
      </c>
      <c r="U36" s="495"/>
      <c r="V36" s="492">
        <v>-1.4</v>
      </c>
      <c r="W36" s="492">
        <v>-45.78</v>
      </c>
      <c r="X36" s="497">
        <v>10</v>
      </c>
    </row>
    <row r="37" spans="13:24" x14ac:dyDescent="0.3">
      <c r="M37" s="489"/>
      <c r="N37" s="500" t="s">
        <v>168</v>
      </c>
      <c r="O37" s="490">
        <v>37</v>
      </c>
      <c r="P37" s="490"/>
      <c r="Q37" s="490"/>
      <c r="R37" s="490">
        <v>26</v>
      </c>
      <c r="S37" s="490"/>
      <c r="T37" s="491">
        <v>0.86</v>
      </c>
      <c r="U37" s="491"/>
      <c r="V37" s="492">
        <v>-3.66</v>
      </c>
      <c r="W37" s="492">
        <v>-45.38</v>
      </c>
      <c r="X37" s="497"/>
    </row>
    <row r="38" spans="13:24" x14ac:dyDescent="0.3">
      <c r="M38" s="489"/>
      <c r="N38" s="406" t="s">
        <v>164</v>
      </c>
      <c r="O38" s="494">
        <v>34.1</v>
      </c>
      <c r="P38" s="494">
        <v>33.799999999999997</v>
      </c>
      <c r="Q38" s="494">
        <v>33.1</v>
      </c>
      <c r="R38" s="494">
        <v>26.3</v>
      </c>
      <c r="S38" s="494">
        <v>35.799999999999997</v>
      </c>
      <c r="T38" s="493" t="s">
        <v>7</v>
      </c>
      <c r="U38" s="494">
        <v>7.4</v>
      </c>
      <c r="V38" s="494">
        <v>-2.6</v>
      </c>
      <c r="W38" s="494">
        <v>-44.23</v>
      </c>
      <c r="X38" s="401">
        <v>53</v>
      </c>
    </row>
    <row r="39" spans="13:24" x14ac:dyDescent="0.3">
      <c r="M39" s="3"/>
      <c r="N39" s="406" t="s">
        <v>740</v>
      </c>
      <c r="O39" s="494">
        <v>31.1</v>
      </c>
      <c r="P39" s="494">
        <v>30.7</v>
      </c>
      <c r="Q39" s="494">
        <v>30.2</v>
      </c>
      <c r="R39" s="494">
        <v>25.7</v>
      </c>
      <c r="S39" s="494">
        <v>35</v>
      </c>
      <c r="T39" s="493" t="s">
        <v>7</v>
      </c>
      <c r="U39" s="494">
        <v>4.7</v>
      </c>
      <c r="V39" s="494">
        <v>-3.85</v>
      </c>
      <c r="W39" s="494">
        <v>-32.42</v>
      </c>
      <c r="X39" s="401">
        <v>56</v>
      </c>
    </row>
    <row r="40" spans="13:24" x14ac:dyDescent="0.3">
      <c r="M40" s="3"/>
      <c r="N40" s="88" t="s">
        <v>741</v>
      </c>
      <c r="O40" s="494">
        <v>34.1</v>
      </c>
      <c r="P40" s="494">
        <v>33.5</v>
      </c>
      <c r="Q40" s="494">
        <v>33</v>
      </c>
      <c r="R40" s="494">
        <v>27.1</v>
      </c>
      <c r="S40" s="494">
        <v>35.9</v>
      </c>
      <c r="T40" s="493" t="s">
        <v>7</v>
      </c>
      <c r="U40" s="494">
        <v>6.7</v>
      </c>
      <c r="V40" s="494">
        <v>-8.07</v>
      </c>
      <c r="W40" s="494">
        <v>-34.85</v>
      </c>
      <c r="X40" s="401">
        <v>19</v>
      </c>
    </row>
    <row r="41" spans="13:24" x14ac:dyDescent="0.3">
      <c r="M41" s="489"/>
      <c r="N41" s="88" t="s">
        <v>742</v>
      </c>
      <c r="O41" s="494">
        <v>37.9</v>
      </c>
      <c r="P41" s="494">
        <v>37.200000000000003</v>
      </c>
      <c r="Q41" s="494">
        <v>36.799999999999997</v>
      </c>
      <c r="R41" s="494">
        <v>24.7</v>
      </c>
      <c r="S41" s="494">
        <v>39.5</v>
      </c>
      <c r="T41" s="493" t="s">
        <v>7</v>
      </c>
      <c r="U41" s="494">
        <v>12.2</v>
      </c>
      <c r="V41" s="494">
        <v>-5.05</v>
      </c>
      <c r="W41" s="494">
        <v>-42.82</v>
      </c>
      <c r="X41" s="401">
        <v>69</v>
      </c>
    </row>
    <row r="42" spans="13:24" x14ac:dyDescent="0.3">
      <c r="M42" s="489"/>
      <c r="N42" s="406" t="s">
        <v>743</v>
      </c>
      <c r="O42" s="494">
        <v>32.200000000000003</v>
      </c>
      <c r="P42" s="494">
        <v>32</v>
      </c>
      <c r="Q42" s="494">
        <v>31.6</v>
      </c>
      <c r="R42" s="494">
        <v>25.3</v>
      </c>
      <c r="S42" s="494">
        <v>34.700000000000003</v>
      </c>
      <c r="T42" s="493" t="s">
        <v>7</v>
      </c>
      <c r="U42" s="494">
        <v>7</v>
      </c>
      <c r="V42" s="494">
        <v>-5.92</v>
      </c>
      <c r="W42" s="494">
        <v>35.25</v>
      </c>
      <c r="X42" s="401">
        <v>52</v>
      </c>
    </row>
    <row r="43" spans="13:24" x14ac:dyDescent="0.3">
      <c r="M43" s="3"/>
      <c r="N43" s="406" t="s">
        <v>744</v>
      </c>
      <c r="O43" s="494">
        <v>32.1</v>
      </c>
      <c r="P43" s="494">
        <v>31.8</v>
      </c>
      <c r="Q43" s="494">
        <v>31.1</v>
      </c>
      <c r="R43" s="494">
        <v>26.6</v>
      </c>
      <c r="S43" s="494">
        <v>35.4</v>
      </c>
      <c r="T43" s="493" t="s">
        <v>7</v>
      </c>
      <c r="U43" s="494">
        <v>5.2</v>
      </c>
      <c r="V43" s="494">
        <v>-10.98</v>
      </c>
      <c r="W43" s="494">
        <v>-37.07</v>
      </c>
      <c r="X43" s="401">
        <v>9</v>
      </c>
    </row>
    <row r="44" spans="13:24" x14ac:dyDescent="0.3">
      <c r="M44" s="3"/>
      <c r="N44" s="88" t="s">
        <v>746</v>
      </c>
      <c r="O44" s="494">
        <v>32.1</v>
      </c>
      <c r="P44" s="494">
        <v>31.1</v>
      </c>
      <c r="Q44" s="494">
        <v>30.2</v>
      </c>
      <c r="R44" s="494">
        <v>18</v>
      </c>
      <c r="S44" s="494">
        <v>34.200000000000003</v>
      </c>
      <c r="T44" s="3" t="s">
        <v>7</v>
      </c>
      <c r="U44" s="494">
        <v>11.3</v>
      </c>
      <c r="V44" s="494">
        <v>-15.87</v>
      </c>
      <c r="W44" s="494">
        <v>-47.93</v>
      </c>
      <c r="X44" s="401">
        <v>1061</v>
      </c>
    </row>
    <row r="45" spans="13:24" x14ac:dyDescent="0.3">
      <c r="M45" s="3"/>
      <c r="N45" s="88" t="s">
        <v>747</v>
      </c>
      <c r="O45" s="494">
        <v>31.7</v>
      </c>
      <c r="P45" s="494">
        <v>30.7</v>
      </c>
      <c r="Q45" s="494">
        <v>29.8</v>
      </c>
      <c r="R45" s="494">
        <v>20.6</v>
      </c>
      <c r="S45" s="3" t="s">
        <v>7</v>
      </c>
      <c r="T45" s="3" t="s">
        <v>7</v>
      </c>
      <c r="U45" s="494">
        <v>10.7</v>
      </c>
      <c r="V45" s="494">
        <v>-16.23</v>
      </c>
      <c r="W45" s="494">
        <v>-48.79</v>
      </c>
      <c r="X45" s="401">
        <v>1137</v>
      </c>
    </row>
    <row r="46" spans="13:24" x14ac:dyDescent="0.3">
      <c r="M46" s="3"/>
      <c r="N46" s="88" t="s">
        <v>748</v>
      </c>
      <c r="O46" s="494">
        <v>35</v>
      </c>
      <c r="P46" s="494">
        <v>34</v>
      </c>
      <c r="Q46" s="494">
        <v>33.1</v>
      </c>
      <c r="R46" s="494">
        <v>20.3</v>
      </c>
      <c r="S46" s="494">
        <v>36.6</v>
      </c>
      <c r="T46" s="3" t="s">
        <v>7</v>
      </c>
      <c r="U46" s="494">
        <v>11.7</v>
      </c>
      <c r="V46" s="494">
        <v>-16.63</v>
      </c>
      <c r="W46" s="494">
        <v>-49.22</v>
      </c>
      <c r="X46" s="401">
        <v>747</v>
      </c>
    </row>
    <row r="47" spans="13:24" x14ac:dyDescent="0.3">
      <c r="M47" s="3"/>
      <c r="N47" s="500" t="s">
        <v>1067</v>
      </c>
      <c r="O47" s="495">
        <f>O46</f>
        <v>35</v>
      </c>
      <c r="P47" s="495">
        <f>P46</f>
        <v>34</v>
      </c>
      <c r="Q47" s="495">
        <f>Q46</f>
        <v>33.1</v>
      </c>
      <c r="R47" s="495">
        <f>R46+2</f>
        <v>22.3</v>
      </c>
      <c r="S47" s="495">
        <f>S46</f>
        <v>36.6</v>
      </c>
      <c r="T47" s="285"/>
      <c r="U47" s="495">
        <f>U46-1</f>
        <v>10.7</v>
      </c>
      <c r="V47" s="495">
        <v>-14.02</v>
      </c>
      <c r="W47" s="495">
        <v>-49.18</v>
      </c>
      <c r="X47" s="536">
        <v>550</v>
      </c>
    </row>
    <row r="48" spans="13:24" x14ac:dyDescent="0.3">
      <c r="M48" s="3"/>
      <c r="N48" s="500" t="s">
        <v>1068</v>
      </c>
      <c r="O48" s="495">
        <f>O46</f>
        <v>35</v>
      </c>
      <c r="P48" s="495">
        <f>P46</f>
        <v>34</v>
      </c>
      <c r="Q48" s="495">
        <f>Q46</f>
        <v>33.1</v>
      </c>
      <c r="R48" s="495">
        <f>R46+2</f>
        <v>22.3</v>
      </c>
      <c r="S48" s="495">
        <f>S46</f>
        <v>36.6</v>
      </c>
      <c r="T48" s="285"/>
      <c r="U48" s="495">
        <f>U46-1</f>
        <v>10.7</v>
      </c>
      <c r="V48" s="495">
        <v>-14.19</v>
      </c>
      <c r="W48" s="495">
        <v>-49.33</v>
      </c>
      <c r="X48" s="536">
        <v>400</v>
      </c>
    </row>
    <row r="49" spans="13:24" x14ac:dyDescent="0.3">
      <c r="M49" s="3"/>
      <c r="N49" s="88" t="s">
        <v>749</v>
      </c>
      <c r="O49" s="494">
        <v>35.799999999999997</v>
      </c>
      <c r="P49" s="494">
        <v>34.799999999999997</v>
      </c>
      <c r="Q49" s="494">
        <v>33.9</v>
      </c>
      <c r="R49" s="494">
        <v>22.6</v>
      </c>
      <c r="S49" s="494">
        <v>37.6</v>
      </c>
      <c r="T49" s="3" t="s">
        <v>7</v>
      </c>
      <c r="U49" s="494">
        <v>10.4</v>
      </c>
      <c r="V49" s="494">
        <v>-20.47</v>
      </c>
      <c r="W49" s="494">
        <v>-54.67</v>
      </c>
      <c r="X49" s="401">
        <v>556</v>
      </c>
    </row>
    <row r="50" spans="13:24" x14ac:dyDescent="0.3">
      <c r="M50" s="3"/>
      <c r="N50" s="88" t="s">
        <v>750</v>
      </c>
      <c r="O50" s="494">
        <v>38</v>
      </c>
      <c r="P50" s="494">
        <v>36.9</v>
      </c>
      <c r="Q50" s="494">
        <v>36</v>
      </c>
      <c r="R50" s="494">
        <v>23.4</v>
      </c>
      <c r="S50" s="3" t="s">
        <v>7</v>
      </c>
      <c r="T50" s="3" t="s">
        <v>7</v>
      </c>
      <c r="U50" s="494">
        <v>10.4</v>
      </c>
      <c r="V50" s="494">
        <v>-15.65</v>
      </c>
      <c r="W50" s="494">
        <v>-56.1</v>
      </c>
      <c r="X50" s="401">
        <v>182</v>
      </c>
    </row>
    <row r="51" spans="13:24" x14ac:dyDescent="0.3">
      <c r="M51" s="3"/>
      <c r="N51" s="88" t="s">
        <v>752</v>
      </c>
      <c r="O51" s="494">
        <v>34</v>
      </c>
      <c r="P51" s="494">
        <v>33.1</v>
      </c>
      <c r="Q51" s="494">
        <v>32.200000000000003</v>
      </c>
      <c r="R51" s="494">
        <v>25.5</v>
      </c>
      <c r="S51" s="494">
        <v>36.799999999999997</v>
      </c>
      <c r="T51" s="3" t="s">
        <v>7</v>
      </c>
      <c r="U51" s="494">
        <v>8</v>
      </c>
      <c r="V51" s="494">
        <v>-20.27</v>
      </c>
      <c r="W51" s="494">
        <v>-40.28</v>
      </c>
      <c r="X51" s="401">
        <v>4</v>
      </c>
    </row>
    <row r="52" spans="13:24" x14ac:dyDescent="0.3">
      <c r="M52" s="3"/>
      <c r="N52" s="88" t="s">
        <v>753</v>
      </c>
      <c r="O52" s="494">
        <v>33</v>
      </c>
      <c r="P52" s="494">
        <v>32</v>
      </c>
      <c r="Q52" s="494">
        <v>31.1</v>
      </c>
      <c r="R52" s="494">
        <v>20.7</v>
      </c>
      <c r="S52" s="3" t="s">
        <v>7</v>
      </c>
      <c r="T52" s="3" t="s">
        <v>7</v>
      </c>
      <c r="U52" s="494">
        <v>9.6</v>
      </c>
      <c r="V52" s="494">
        <v>-19.850000000000001</v>
      </c>
      <c r="W52" s="494">
        <v>-43.95</v>
      </c>
      <c r="X52" s="401">
        <v>785</v>
      </c>
    </row>
    <row r="53" spans="13:24" x14ac:dyDescent="0.3">
      <c r="M53" s="3"/>
      <c r="N53" s="88" t="s">
        <v>754</v>
      </c>
      <c r="O53" s="494">
        <v>32.1</v>
      </c>
      <c r="P53" s="494">
        <v>31.1</v>
      </c>
      <c r="Q53" s="494">
        <v>30.2</v>
      </c>
      <c r="R53" s="494">
        <v>20.5</v>
      </c>
      <c r="S53" s="494">
        <v>34.6</v>
      </c>
      <c r="T53" s="3" t="s">
        <v>7</v>
      </c>
      <c r="U53" s="494">
        <v>9.6999999999999993</v>
      </c>
      <c r="V53" s="494">
        <v>-19.829999999999998</v>
      </c>
      <c r="W53" s="494">
        <v>-43.93</v>
      </c>
      <c r="X53" s="401">
        <v>917</v>
      </c>
    </row>
    <row r="54" spans="13:24" x14ac:dyDescent="0.3">
      <c r="M54" s="3"/>
      <c r="N54" s="499" t="s">
        <v>128</v>
      </c>
      <c r="O54" s="490">
        <v>34.5</v>
      </c>
      <c r="P54" s="490"/>
      <c r="Q54" s="490"/>
      <c r="R54" s="490">
        <v>24</v>
      </c>
      <c r="S54" s="490"/>
      <c r="T54" s="491"/>
      <c r="U54" s="491"/>
      <c r="V54" s="492">
        <v>-20.5</v>
      </c>
      <c r="W54" s="492">
        <v>-43.9</v>
      </c>
      <c r="X54" s="497">
        <v>870</v>
      </c>
    </row>
    <row r="55" spans="13:24" x14ac:dyDescent="0.3">
      <c r="M55" s="3"/>
      <c r="N55" s="88" t="s">
        <v>170</v>
      </c>
      <c r="O55" s="494">
        <v>33.6</v>
      </c>
      <c r="P55" s="494">
        <v>32.700000000000003</v>
      </c>
      <c r="Q55" s="494">
        <v>31.9</v>
      </c>
      <c r="R55" s="494">
        <v>19.3</v>
      </c>
      <c r="S55" s="494">
        <v>35.9</v>
      </c>
      <c r="T55" s="3" t="s">
        <v>7</v>
      </c>
      <c r="U55" s="494">
        <v>10.9</v>
      </c>
      <c r="V55" s="494">
        <v>-19.78</v>
      </c>
      <c r="W55" s="494">
        <v>-47.97</v>
      </c>
      <c r="X55" s="401">
        <v>807</v>
      </c>
    </row>
    <row r="56" spans="13:24" x14ac:dyDescent="0.3">
      <c r="M56" s="3"/>
      <c r="N56" s="88" t="s">
        <v>755</v>
      </c>
      <c r="O56" s="494">
        <v>34</v>
      </c>
      <c r="P56" s="494">
        <v>32.700000000000003</v>
      </c>
      <c r="Q56" s="494">
        <v>31.8</v>
      </c>
      <c r="R56" s="494">
        <v>25.2</v>
      </c>
      <c r="S56" s="3" t="s">
        <v>7</v>
      </c>
      <c r="T56" s="3" t="s">
        <v>7</v>
      </c>
      <c r="U56" s="494">
        <v>6.1</v>
      </c>
      <c r="V56" s="494">
        <v>-22.9</v>
      </c>
      <c r="W56" s="494">
        <v>-43.17</v>
      </c>
      <c r="X56" s="401">
        <v>3</v>
      </c>
    </row>
    <row r="57" spans="13:24" x14ac:dyDescent="0.3">
      <c r="M57" s="3"/>
      <c r="N57" s="500" t="s">
        <v>983</v>
      </c>
      <c r="O57" s="535">
        <f t="shared" ref="O57:X57" si="0">O56</f>
        <v>34</v>
      </c>
      <c r="P57" s="535">
        <f t="shared" si="0"/>
        <v>32.700000000000003</v>
      </c>
      <c r="Q57" s="535">
        <f t="shared" si="0"/>
        <v>31.8</v>
      </c>
      <c r="R57" s="535">
        <f t="shared" si="0"/>
        <v>25.2</v>
      </c>
      <c r="S57" s="285" t="str">
        <f t="shared" si="0"/>
        <v>-</v>
      </c>
      <c r="T57" s="285" t="str">
        <f t="shared" si="0"/>
        <v>-</v>
      </c>
      <c r="U57" s="535">
        <f t="shared" si="0"/>
        <v>6.1</v>
      </c>
      <c r="V57" s="535">
        <f t="shared" si="0"/>
        <v>-22.9</v>
      </c>
      <c r="W57" s="535">
        <f t="shared" si="0"/>
        <v>-43.17</v>
      </c>
      <c r="X57" s="536">
        <f t="shared" si="0"/>
        <v>3</v>
      </c>
    </row>
    <row r="58" spans="13:24" x14ac:dyDescent="0.3">
      <c r="M58" s="3"/>
      <c r="N58" s="88" t="s">
        <v>756</v>
      </c>
      <c r="O58" s="494">
        <v>38.1</v>
      </c>
      <c r="P58" s="494">
        <v>36.200000000000003</v>
      </c>
      <c r="Q58" s="494">
        <v>35</v>
      </c>
      <c r="R58" s="494">
        <v>25.6</v>
      </c>
      <c r="S58" s="494">
        <v>40.200000000000003</v>
      </c>
      <c r="T58" s="3" t="s">
        <v>7</v>
      </c>
      <c r="U58" s="494">
        <v>9.8000000000000007</v>
      </c>
      <c r="V58" s="494">
        <v>-22.82</v>
      </c>
      <c r="W58" s="494">
        <v>-43.25</v>
      </c>
      <c r="X58" s="401">
        <v>6</v>
      </c>
    </row>
    <row r="59" spans="13:24" x14ac:dyDescent="0.3">
      <c r="M59" s="3"/>
      <c r="N59" s="88" t="s">
        <v>757</v>
      </c>
      <c r="O59" s="494">
        <v>33.200000000000003</v>
      </c>
      <c r="P59" s="494">
        <v>32.200000000000003</v>
      </c>
      <c r="Q59" s="494">
        <v>31.3</v>
      </c>
      <c r="R59" s="494">
        <v>21.9</v>
      </c>
      <c r="S59" s="494">
        <v>35.799999999999997</v>
      </c>
      <c r="T59" s="3" t="s">
        <v>7</v>
      </c>
      <c r="U59" s="494">
        <v>9.8000000000000007</v>
      </c>
      <c r="V59" s="494">
        <v>-23</v>
      </c>
      <c r="W59" s="494">
        <v>-47.13</v>
      </c>
      <c r="X59" s="401">
        <v>661</v>
      </c>
    </row>
    <row r="60" spans="13:24" x14ac:dyDescent="0.3">
      <c r="M60" s="3"/>
      <c r="N60" s="88" t="s">
        <v>758</v>
      </c>
      <c r="O60" s="494">
        <v>32</v>
      </c>
      <c r="P60" s="494">
        <v>31</v>
      </c>
      <c r="Q60" s="494">
        <v>30</v>
      </c>
      <c r="R60" s="494">
        <v>20.3</v>
      </c>
      <c r="S60" s="494">
        <v>34.299999999999997</v>
      </c>
      <c r="T60" s="3" t="s">
        <v>7</v>
      </c>
      <c r="U60" s="494">
        <v>8.3000000000000007</v>
      </c>
      <c r="V60" s="494">
        <v>-23.62</v>
      </c>
      <c r="W60" s="494">
        <v>-46.65</v>
      </c>
      <c r="X60" s="401">
        <v>803</v>
      </c>
    </row>
    <row r="61" spans="13:24" x14ac:dyDescent="0.3">
      <c r="M61" s="3"/>
      <c r="N61" s="88" t="s">
        <v>759</v>
      </c>
      <c r="O61" s="494">
        <v>32.9</v>
      </c>
      <c r="P61" s="494">
        <v>31.8</v>
      </c>
      <c r="Q61" s="494">
        <v>30.8</v>
      </c>
      <c r="R61" s="494">
        <v>22.3</v>
      </c>
      <c r="S61" s="494">
        <v>34.799999999999997</v>
      </c>
      <c r="T61" s="3" t="s">
        <v>7</v>
      </c>
      <c r="U61" s="494">
        <v>8.9</v>
      </c>
      <c r="V61" s="494">
        <v>-23.43</v>
      </c>
      <c r="W61" s="494">
        <v>-46.47</v>
      </c>
      <c r="X61" s="401">
        <v>750</v>
      </c>
    </row>
    <row r="62" spans="13:24" x14ac:dyDescent="0.3">
      <c r="M62" s="3"/>
      <c r="N62" s="88" t="s">
        <v>760</v>
      </c>
      <c r="O62" s="494">
        <v>30.9</v>
      </c>
      <c r="P62" s="494">
        <v>29.8</v>
      </c>
      <c r="Q62" s="494">
        <v>28.7</v>
      </c>
      <c r="R62" s="494">
        <v>20.2</v>
      </c>
      <c r="S62" s="494">
        <v>32.9</v>
      </c>
      <c r="T62" s="3" t="s">
        <v>7</v>
      </c>
      <c r="U62" s="494">
        <v>9.5</v>
      </c>
      <c r="V62" s="494">
        <v>-25.52</v>
      </c>
      <c r="W62" s="494">
        <v>-49.17</v>
      </c>
      <c r="X62" s="401">
        <v>908</v>
      </c>
    </row>
    <row r="63" spans="13:24" x14ac:dyDescent="0.3">
      <c r="N63" s="88" t="s">
        <v>761</v>
      </c>
      <c r="O63" s="494">
        <v>35.1</v>
      </c>
      <c r="P63" s="494">
        <v>34.1</v>
      </c>
      <c r="Q63" s="494">
        <v>33.1</v>
      </c>
      <c r="R63" s="494">
        <v>23.6</v>
      </c>
      <c r="S63" s="494">
        <v>37.200000000000003</v>
      </c>
      <c r="T63" s="3" t="s">
        <v>7</v>
      </c>
      <c r="U63" s="494">
        <v>11.1</v>
      </c>
      <c r="V63" s="494">
        <v>-25.52</v>
      </c>
      <c r="W63" s="494">
        <v>-54.58</v>
      </c>
      <c r="X63" s="401">
        <v>243</v>
      </c>
    </row>
    <row r="64" spans="13:24" x14ac:dyDescent="0.3">
      <c r="N64" s="88" t="s">
        <v>762</v>
      </c>
      <c r="O64" s="494">
        <v>33.9</v>
      </c>
      <c r="P64" s="494">
        <v>32.799999999999997</v>
      </c>
      <c r="Q64" s="494">
        <v>31.9</v>
      </c>
      <c r="R64" s="494">
        <v>21.7</v>
      </c>
      <c r="S64" s="494">
        <v>35.700000000000003</v>
      </c>
      <c r="T64" s="3" t="s">
        <v>7</v>
      </c>
      <c r="U64" s="494">
        <v>10</v>
      </c>
      <c r="V64" s="494">
        <v>-23.33</v>
      </c>
      <c r="W64" s="494">
        <v>-51.13</v>
      </c>
      <c r="X64" s="401">
        <v>570</v>
      </c>
    </row>
    <row r="65" spans="14:24" x14ac:dyDescent="0.3">
      <c r="N65" s="88" t="s">
        <v>763</v>
      </c>
      <c r="O65" s="494">
        <v>34.799999999999997</v>
      </c>
      <c r="P65" s="494">
        <v>33.200000000000003</v>
      </c>
      <c r="Q65" s="494">
        <v>31.8</v>
      </c>
      <c r="R65" s="3" t="s">
        <v>7</v>
      </c>
      <c r="S65" s="494">
        <v>37.9</v>
      </c>
      <c r="T65" s="3" t="s">
        <v>7</v>
      </c>
      <c r="U65" s="494">
        <v>9.6999999999999993</v>
      </c>
      <c r="V65" s="494">
        <v>-30</v>
      </c>
      <c r="W65" s="494">
        <v>-51.18</v>
      </c>
      <c r="X65" s="401">
        <v>3</v>
      </c>
    </row>
    <row r="66" spans="14:24" ht="15" thickBot="1" x14ac:dyDescent="0.35">
      <c r="N66" s="114" t="s">
        <v>764</v>
      </c>
      <c r="O66" s="402">
        <v>32.200000000000003</v>
      </c>
      <c r="P66" s="402">
        <v>31</v>
      </c>
      <c r="Q66" s="402">
        <v>29.9</v>
      </c>
      <c r="R66" s="402">
        <v>25.5</v>
      </c>
      <c r="S66" s="402">
        <v>35.200000000000003</v>
      </c>
      <c r="T66" s="407" t="s">
        <v>7</v>
      </c>
      <c r="U66" s="402">
        <v>6.7</v>
      </c>
      <c r="V66" s="402">
        <v>-27.67</v>
      </c>
      <c r="W66" s="402">
        <v>-48.55</v>
      </c>
      <c r="X66" s="403">
        <v>5</v>
      </c>
    </row>
  </sheetData>
  <mergeCells count="21"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  <mergeCell ref="N3:X3"/>
    <mergeCell ref="C4:E4"/>
    <mergeCell ref="C5:E5"/>
    <mergeCell ref="C6:E6"/>
    <mergeCell ref="C7:E7"/>
    <mergeCell ref="A9:L9"/>
    <mergeCell ref="A1:A7"/>
    <mergeCell ref="B1:L1"/>
    <mergeCell ref="C2:E2"/>
    <mergeCell ref="H2:L2"/>
    <mergeCell ref="C3:E3"/>
    <mergeCell ref="H3:L7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1069</v>
      </c>
      <c r="C1" s="514" t="s">
        <v>518</v>
      </c>
      <c r="D1" s="514" t="s">
        <v>1070</v>
      </c>
      <c r="E1" s="514" t="s">
        <v>544</v>
      </c>
      <c r="F1" s="514" t="s">
        <v>1071</v>
      </c>
      <c r="G1" s="514" t="s">
        <v>1076</v>
      </c>
      <c r="H1" s="514" t="s">
        <v>1072</v>
      </c>
      <c r="I1" s="514" t="s">
        <v>114</v>
      </c>
      <c r="J1" s="514" t="s">
        <v>1073</v>
      </c>
      <c r="K1" s="514" t="s">
        <v>1074</v>
      </c>
      <c r="L1" s="514" t="s">
        <v>1075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1069</v>
      </c>
      <c r="C1" s="514" t="s">
        <v>518</v>
      </c>
      <c r="D1" s="514" t="s">
        <v>1070</v>
      </c>
      <c r="E1" s="514" t="s">
        <v>882</v>
      </c>
      <c r="F1" s="514" t="s">
        <v>1071</v>
      </c>
      <c r="G1" s="514" t="s">
        <v>1072</v>
      </c>
      <c r="H1" s="514" t="s">
        <v>1077</v>
      </c>
      <c r="I1" s="514" t="s">
        <v>114</v>
      </c>
      <c r="J1" s="514" t="s">
        <v>1073</v>
      </c>
      <c r="K1" s="514" t="s">
        <v>1074</v>
      </c>
      <c r="L1" s="514" t="s">
        <v>1075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520"/>
      <c r="B6" s="520"/>
      <c r="C6" s="520"/>
      <c r="D6" s="520"/>
      <c r="E6" s="520"/>
      <c r="F6" s="520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1'!Print_Area</vt:lpstr>
      <vt:lpstr>PC!Print_Area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vitor rios</cp:lastModifiedBy>
  <cp:lastPrinted>2024-02-07T07:22:23Z</cp:lastPrinted>
  <dcterms:created xsi:type="dcterms:W3CDTF">2017-11-28T04:34:45Z</dcterms:created>
  <dcterms:modified xsi:type="dcterms:W3CDTF">2026-02-11T22:22:26Z</dcterms:modified>
</cp:coreProperties>
</file>