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ctrlProps/ctrlProp148.xml" ContentType="application/vnd.ms-excel.controlproperties+xml"/>
  <Override PartName="/xl/ctrlProps/ctrlProp149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xl/ctrlProps/ctrlProp152.xml" ContentType="application/vnd.ms-excel.controlproperties+xml"/>
  <Override PartName="/xl/ctrlProps/ctrlProp153.xml" ContentType="application/vnd.ms-excel.controlproperties+xml"/>
  <Override PartName="/xl/ctrlProps/ctrlProp154.xml" ContentType="application/vnd.ms-excel.controlproperties+xml"/>
  <Override PartName="/xl/ctrlProps/ctrlProp155.xml" ContentType="application/vnd.ms-excel.controlproperties+xml"/>
  <Override PartName="/xl/ctrlProps/ctrlProp156.xml" ContentType="application/vnd.ms-excel.controlproperties+xml"/>
  <Override PartName="/xl/ctrlProps/ctrlProp157.xml" ContentType="application/vnd.ms-excel.controlproperties+xml"/>
  <Override PartName="/xl/ctrlProps/ctrlProp158.xml" ContentType="application/vnd.ms-excel.controlproperties+xml"/>
  <Override PartName="/xl/ctrlProps/ctrlProp159.xml" ContentType="application/vnd.ms-excel.controlproperties+xml"/>
  <Override PartName="/xl/ctrlProps/ctrlProp160.xml" ContentType="application/vnd.ms-excel.controlproperties+xml"/>
  <Override PartName="/xl/ctrlProps/ctrlProp161.xml" ContentType="application/vnd.ms-excel.controlproperties+xml"/>
  <Override PartName="/xl/ctrlProps/ctrlProp162.xml" ContentType="application/vnd.ms-excel.controlproperties+xml"/>
  <Override PartName="/xl/ctrlProps/ctrlProp163.xml" ContentType="application/vnd.ms-excel.controlproperties+xml"/>
  <Override PartName="/xl/ctrlProps/ctrlProp164.xml" ContentType="application/vnd.ms-excel.controlproperties+xml"/>
  <Override PartName="/xl/ctrlProps/ctrlProp165.xml" ContentType="application/vnd.ms-excel.controlproperties+xml"/>
  <Override PartName="/xl/ctrlProps/ctrlProp166.xml" ContentType="application/vnd.ms-excel.controlproperties+xml"/>
  <Override PartName="/xl/ctrlProps/ctrlProp167.xml" ContentType="application/vnd.ms-excel.controlproperties+xml"/>
  <Override PartName="/xl/ctrlProps/ctrlProp168.xml" ContentType="application/vnd.ms-excel.controlproperties+xml"/>
  <Override PartName="/xl/ctrlProps/ctrlProp169.xml" ContentType="application/vnd.ms-excel.controlproperties+xml"/>
  <Override PartName="/xl/ctrlProps/ctrlProp170.xml" ContentType="application/vnd.ms-excel.controlproperties+xml"/>
  <Override PartName="/xl/ctrlProps/ctrlProp171.xml" ContentType="application/vnd.ms-excel.controlproperties+xml"/>
  <Override PartName="/xl/ctrlProps/ctrlProp172.xml" ContentType="application/vnd.ms-excel.controlproperties+xml"/>
  <Override PartName="/xl/ctrlProps/ctrlProp173.xml" ContentType="application/vnd.ms-excel.controlproperties+xml"/>
  <Override PartName="/xl/ctrlProps/ctrlProp174.xml" ContentType="application/vnd.ms-excel.controlproperties+xml"/>
  <Override PartName="/xl/ctrlProps/ctrlProp175.xml" ContentType="application/vnd.ms-excel.controlproperties+xml"/>
  <Override PartName="/xl/ctrlProps/ctrlProp176.xml" ContentType="application/vnd.ms-excel.controlproperties+xml"/>
  <Override PartName="/xl/ctrlProps/ctrlProp177.xml" ContentType="application/vnd.ms-excel.controlproperties+xml"/>
  <Override PartName="/xl/ctrlProps/ctrlProp178.xml" ContentType="application/vnd.ms-excel.controlproperties+xml"/>
  <Override PartName="/xl/ctrlProps/ctrlProp179.xml" ContentType="application/vnd.ms-excel.controlproperties+xml"/>
  <Override PartName="/xl/ctrlProps/ctrlProp180.xml" ContentType="application/vnd.ms-excel.controlproperties+xml"/>
  <Override PartName="/xl/ctrlProps/ctrlProp181.xml" ContentType="application/vnd.ms-excel.controlproperties+xml"/>
  <Override PartName="/xl/ctrlProps/ctrlProp182.xml" ContentType="application/vnd.ms-excel.controlproperties+xml"/>
  <Override PartName="/xl/ctrlProps/ctrlProp183.xml" ContentType="application/vnd.ms-excel.controlproperties+xml"/>
  <Override PartName="/xl/ctrlProps/ctrlProp184.xml" ContentType="application/vnd.ms-excel.controlproperties+xml"/>
  <Override PartName="/xl/ctrlProps/ctrlProp185.xml" ContentType="application/vnd.ms-excel.controlproperties+xml"/>
  <Override PartName="/xl/ctrlProps/ctrlProp186.xml" ContentType="application/vnd.ms-excel.controlproperties+xml"/>
  <Override PartName="/xl/ctrlProps/ctrlProp187.xml" ContentType="application/vnd.ms-excel.controlproperties+xml"/>
  <Override PartName="/xl/ctrlProps/ctrlProp188.xml" ContentType="application/vnd.ms-excel.controlproperties+xml"/>
  <Override PartName="/xl/ctrlProps/ctrlProp189.xml" ContentType="application/vnd.ms-excel.controlproperties+xml"/>
  <Override PartName="/xl/ctrlProps/ctrlProp190.xml" ContentType="application/vnd.ms-excel.controlproperties+xml"/>
  <Override PartName="/xl/ctrlProps/ctrlProp191.xml" ContentType="application/vnd.ms-excel.controlproperties+xml"/>
  <Override PartName="/xl/ctrlProps/ctrlProp192.xml" ContentType="application/vnd.ms-excel.controlproperties+xml"/>
  <Override PartName="/xl/ctrlProps/ctrlProp193.xml" ContentType="application/vnd.ms-excel.controlproperties+xml"/>
  <Override PartName="/xl/ctrlProps/ctrlProp194.xml" ContentType="application/vnd.ms-excel.controlproperties+xml"/>
  <Override PartName="/xl/ctrlProps/ctrlProp195.xml" ContentType="application/vnd.ms-excel.controlproperties+xml"/>
  <Override PartName="/xl/ctrlProps/ctrlProp196.xml" ContentType="application/vnd.ms-excel.controlproperties+xml"/>
  <Override PartName="/xl/ctrlProps/ctrlProp197.xml" ContentType="application/vnd.ms-excel.controlproperties+xml"/>
  <Override PartName="/xl/ctrlProps/ctrlProp198.xml" ContentType="application/vnd.ms-excel.controlproperties+xml"/>
  <Override PartName="/xl/ctrlProps/ctrlProp199.xml" ContentType="application/vnd.ms-excel.controlproperties+xml"/>
  <Override PartName="/xl/ctrlProps/ctrlProp200.xml" ContentType="application/vnd.ms-excel.controlproperties+xml"/>
  <Override PartName="/xl/ctrlProps/ctrlProp201.xml" ContentType="application/vnd.ms-excel.controlproperties+xml"/>
  <Override PartName="/xl/ctrlProps/ctrlProp202.xml" ContentType="application/vnd.ms-excel.controlproperties+xml"/>
  <Override PartName="/xl/ctrlProps/ctrlProp203.xml" ContentType="application/vnd.ms-excel.controlproperties+xml"/>
  <Override PartName="/xl/ctrlProps/ctrlProp204.xml" ContentType="application/vnd.ms-excel.controlproperties+xml"/>
  <Override PartName="/xl/ctrlProps/ctrlProp205.xml" ContentType="application/vnd.ms-excel.controlproperties+xml"/>
  <Override PartName="/xl/ctrlProps/ctrlProp206.xml" ContentType="application/vnd.ms-excel.controlproperties+xml"/>
  <Override PartName="/xl/ctrlProps/ctrlProp207.xml" ContentType="application/vnd.ms-excel.controlproperties+xml"/>
  <Override PartName="/xl/ctrlProps/ctrlProp208.xml" ContentType="application/vnd.ms-excel.controlproperties+xml"/>
  <Override PartName="/xl/ctrlProps/ctrlProp209.xml" ContentType="application/vnd.ms-excel.controlproperties+xml"/>
  <Override PartName="/xl/ctrlProps/ctrlProp210.xml" ContentType="application/vnd.ms-excel.controlproperties+xml"/>
  <Override PartName="/xl/ctrlProps/ctrlProp211.xml" ContentType="application/vnd.ms-excel.controlproperties+xml"/>
  <Override PartName="/xl/ctrlProps/ctrlProp212.xml" ContentType="application/vnd.ms-excel.controlproperties+xml"/>
  <Override PartName="/xl/ctrlProps/ctrlProp213.xml" ContentType="application/vnd.ms-excel.controlproperties+xml"/>
  <Override PartName="/xl/ctrlProps/ctrlProp214.xml" ContentType="application/vnd.ms-excel.controlproperties+xml"/>
  <Override PartName="/xl/ctrlProps/ctrlProp215.xml" ContentType="application/vnd.ms-excel.controlproperties+xml"/>
  <Override PartName="/xl/ctrlProps/ctrlProp216.xml" ContentType="application/vnd.ms-excel.controlproperties+xml"/>
  <Override PartName="/xl/ctrlProps/ctrlProp217.xml" ContentType="application/vnd.ms-excel.controlproperties+xml"/>
  <Override PartName="/xl/ctrlProps/ctrlProp218.xml" ContentType="application/vnd.ms-excel.controlproperties+xml"/>
  <Override PartName="/xl/ctrlProps/ctrlProp219.xml" ContentType="application/vnd.ms-excel.controlproperties+xml"/>
  <Override PartName="/xl/ctrlProps/ctrlProp220.xml" ContentType="application/vnd.ms-excel.controlproperties+xml"/>
  <Override PartName="/xl/ctrlProps/ctrlProp221.xml" ContentType="application/vnd.ms-excel.controlproperties+xml"/>
  <Override PartName="/xl/ctrlProps/ctrlProp222.xml" ContentType="application/vnd.ms-excel.controlproperties+xml"/>
  <Override PartName="/xl/ctrlProps/ctrlProp223.xml" ContentType="application/vnd.ms-excel.controlproperties+xml"/>
  <Override PartName="/xl/ctrlProps/ctrlProp224.xml" ContentType="application/vnd.ms-excel.controlproperties+xml"/>
  <Override PartName="/xl/ctrlProps/ctrlProp225.xml" ContentType="application/vnd.ms-excel.controlproperties+xml"/>
  <Override PartName="/xl/ctrlProps/ctrlProp226.xml" ContentType="application/vnd.ms-excel.controlproperties+xml"/>
  <Override PartName="/xl/ctrlProps/ctrlProp227.xml" ContentType="application/vnd.ms-excel.controlproperties+xml"/>
  <Override PartName="/xl/ctrlProps/ctrlProp228.xml" ContentType="application/vnd.ms-excel.controlproperties+xml"/>
  <Override PartName="/xl/ctrlProps/ctrlProp229.xml" ContentType="application/vnd.ms-excel.controlproperties+xml"/>
  <Override PartName="/xl/ctrlProps/ctrlProp230.xml" ContentType="application/vnd.ms-excel.controlproperties+xml"/>
  <Override PartName="/xl/ctrlProps/ctrlProp231.xml" ContentType="application/vnd.ms-excel.controlproperties+xml"/>
  <Override PartName="/xl/ctrlProps/ctrlProp232.xml" ContentType="application/vnd.ms-excel.controlproperties+xml"/>
  <Override PartName="/xl/ctrlProps/ctrlProp233.xml" ContentType="application/vnd.ms-excel.controlproperties+xml"/>
  <Override PartName="/xl/ctrlProps/ctrlProp234.xml" ContentType="application/vnd.ms-excel.controlproperties+xml"/>
  <Override PartName="/xl/ctrlProps/ctrlProp235.xml" ContentType="application/vnd.ms-excel.controlproperties+xml"/>
  <Override PartName="/xl/ctrlProps/ctrlProp236.xml" ContentType="application/vnd.ms-excel.controlproperties+xml"/>
  <Override PartName="/xl/ctrlProps/ctrlProp237.xml" ContentType="application/vnd.ms-excel.controlproperties+xml"/>
  <Override PartName="/xl/ctrlProps/ctrlProp238.xml" ContentType="application/vnd.ms-excel.controlproperties+xml"/>
  <Override PartName="/xl/ctrlProps/ctrlProp239.xml" ContentType="application/vnd.ms-excel.controlproperties+xml"/>
  <Override PartName="/xl/ctrlProps/ctrlProp240.xml" ContentType="application/vnd.ms-excel.controlproperties+xml"/>
  <Override PartName="/xl/ctrlProps/ctrlProp241.xml" ContentType="application/vnd.ms-excel.controlproperties+xml"/>
  <Override PartName="/xl/ctrlProps/ctrlProp242.xml" ContentType="application/vnd.ms-excel.controlproperties+xml"/>
  <Override PartName="/xl/ctrlProps/ctrlProp243.xml" ContentType="application/vnd.ms-excel.controlproperties+xml"/>
  <Override PartName="/xl/ctrlProps/ctrlProp244.xml" ContentType="application/vnd.ms-excel.controlproperties+xml"/>
  <Override PartName="/xl/ctrlProps/ctrlProp245.xml" ContentType="application/vnd.ms-excel.controlproperties+xml"/>
  <Override PartName="/xl/ctrlProps/ctrlProp246.xml" ContentType="application/vnd.ms-excel.controlproperties+xml"/>
  <Override PartName="/xl/ctrlProps/ctrlProp247.xml" ContentType="application/vnd.ms-excel.controlproperties+xml"/>
  <Override PartName="/xl/ctrlProps/ctrlProp248.xml" ContentType="application/vnd.ms-excel.controlproperties+xml"/>
  <Override PartName="/xl/ctrlProps/ctrlProp249.xml" ContentType="application/vnd.ms-excel.controlproperties+xml"/>
  <Override PartName="/xl/ctrlProps/ctrlProp250.xml" ContentType="application/vnd.ms-excel.controlproperties+xml"/>
  <Override PartName="/xl/ctrlProps/ctrlProp251.xml" ContentType="application/vnd.ms-excel.controlproperties+xml"/>
  <Override PartName="/xl/ctrlProps/ctrlProp252.xml" ContentType="application/vnd.ms-excel.controlproperties+xml"/>
  <Override PartName="/xl/ctrlProps/ctrlProp253.xml" ContentType="application/vnd.ms-excel.controlproperties+xml"/>
  <Override PartName="/xl/ctrlProps/ctrlProp254.xml" ContentType="application/vnd.ms-excel.controlproperties+xml"/>
  <Override PartName="/xl/ctrlProps/ctrlProp255.xml" ContentType="application/vnd.ms-excel.controlproperties+xml"/>
  <Override PartName="/xl/ctrlProps/ctrlProp256.xml" ContentType="application/vnd.ms-excel.controlproperties+xml"/>
  <Override PartName="/xl/ctrlProps/ctrlProp257.xml" ContentType="application/vnd.ms-excel.controlproperties+xml"/>
  <Override PartName="/xl/ctrlProps/ctrlProp258.xml" ContentType="application/vnd.ms-excel.controlproperties+xml"/>
  <Override PartName="/xl/ctrlProps/ctrlProp259.xml" ContentType="application/vnd.ms-excel.controlproperties+xml"/>
  <Override PartName="/xl/ctrlProps/ctrlProp260.xml" ContentType="application/vnd.ms-excel.controlproperties+xml"/>
  <Override PartName="/xl/ctrlProps/ctrlProp261.xml" ContentType="application/vnd.ms-excel.controlproperties+xml"/>
  <Override PartName="/xl/ctrlProps/ctrlProp262.xml" ContentType="application/vnd.ms-excel.controlproperties+xml"/>
  <Override PartName="/xl/ctrlProps/ctrlProp263.xml" ContentType="application/vnd.ms-excel.controlproperties+xml"/>
  <Override PartName="/xl/ctrlProps/ctrlProp264.xml" ContentType="application/vnd.ms-excel.controlproperties+xml"/>
  <Override PartName="/xl/ctrlProps/ctrlProp265.xml" ContentType="application/vnd.ms-excel.controlproperties+xml"/>
  <Override PartName="/xl/ctrlProps/ctrlProp266.xml" ContentType="application/vnd.ms-excel.controlproperties+xml"/>
  <Override PartName="/xl/ctrlProps/ctrlProp267.xml" ContentType="application/vnd.ms-excel.controlproperties+xml"/>
  <Override PartName="/xl/ctrlProps/ctrlProp268.xml" ContentType="application/vnd.ms-excel.controlproperties+xml"/>
  <Override PartName="/xl/ctrlProps/ctrlProp269.xml" ContentType="application/vnd.ms-excel.controlproperties+xml"/>
  <Override PartName="/xl/ctrlProps/ctrlProp270.xml" ContentType="application/vnd.ms-excel.controlproperties+xml"/>
  <Override PartName="/xl/ctrlProps/ctrlProp271.xml" ContentType="application/vnd.ms-excel.controlproperties+xml"/>
  <Override PartName="/xl/ctrlProps/ctrlProp272.xml" ContentType="application/vnd.ms-excel.controlproperties+xml"/>
  <Override PartName="/xl/ctrlProps/ctrlProp273.xml" ContentType="application/vnd.ms-excel.controlproperties+xml"/>
  <Override PartName="/xl/ctrlProps/ctrlProp274.xml" ContentType="application/vnd.ms-excel.controlproperties+xml"/>
  <Override PartName="/xl/ctrlProps/ctrlProp275.xml" ContentType="application/vnd.ms-excel.controlproperties+xml"/>
  <Override PartName="/xl/ctrlProps/ctrlProp276.xml" ContentType="application/vnd.ms-excel.controlproperties+xml"/>
  <Override PartName="/xl/ctrlProps/ctrlProp277.xml" ContentType="application/vnd.ms-excel.controlproperties+xml"/>
  <Override PartName="/xl/ctrlProps/ctrlProp278.xml" ContentType="application/vnd.ms-excel.controlproperties+xml"/>
  <Override PartName="/xl/ctrlProps/ctrlProp279.xml" ContentType="application/vnd.ms-excel.controlproperties+xml"/>
  <Override PartName="/xl/ctrlProps/ctrlProp280.xml" ContentType="application/vnd.ms-excel.controlproperties+xml"/>
  <Override PartName="/xl/ctrlProps/ctrlProp281.xml" ContentType="application/vnd.ms-excel.controlproperties+xml"/>
  <Override PartName="/xl/ctrlProps/ctrlProp282.xml" ContentType="application/vnd.ms-excel.controlproperties+xml"/>
  <Override PartName="/xl/ctrlProps/ctrlProp283.xml" ContentType="application/vnd.ms-excel.controlproperties+xml"/>
  <Override PartName="/xl/ctrlProps/ctrlProp284.xml" ContentType="application/vnd.ms-excel.controlproperties+xml"/>
  <Override PartName="/xl/ctrlProps/ctrlProp285.xml" ContentType="application/vnd.ms-excel.controlproperties+xml"/>
  <Override PartName="/xl/ctrlProps/ctrlProp286.xml" ContentType="application/vnd.ms-excel.controlproperties+xml"/>
  <Override PartName="/xl/ctrlProps/ctrlProp287.xml" ContentType="application/vnd.ms-excel.controlproperties+xml"/>
  <Override PartName="/xl/ctrlProps/ctrlProp288.xml" ContentType="application/vnd.ms-excel.controlproperties+xml"/>
  <Override PartName="/xl/ctrlProps/ctrlProp289.xml" ContentType="application/vnd.ms-excel.controlproperties+xml"/>
  <Override PartName="/xl/ctrlProps/ctrlProp290.xml" ContentType="application/vnd.ms-excel.controlproperties+xml"/>
  <Override PartName="/xl/ctrlProps/ctrlProp291.xml" ContentType="application/vnd.ms-excel.controlproperties+xml"/>
  <Override PartName="/xl/ctrlProps/ctrlProp292.xml" ContentType="application/vnd.ms-excel.controlproperties+xml"/>
  <Override PartName="/xl/ctrlProps/ctrlProp293.xml" ContentType="application/vnd.ms-excel.controlproperties+xml"/>
  <Override PartName="/xl/ctrlProps/ctrlProp294.xml" ContentType="application/vnd.ms-excel.controlproperties+xml"/>
  <Override PartName="/xl/ctrlProps/ctrlProp295.xml" ContentType="application/vnd.ms-excel.controlproperties+xml"/>
  <Override PartName="/xl/ctrlProps/ctrlProp296.xml" ContentType="application/vnd.ms-excel.controlproperties+xml"/>
  <Override PartName="/xl/ctrlProps/ctrlProp297.xml" ContentType="application/vnd.ms-excel.controlproperties+xml"/>
  <Override PartName="/xl/ctrlProps/ctrlProp298.xml" ContentType="application/vnd.ms-excel.controlproperties+xml"/>
  <Override PartName="/xl/ctrlProps/ctrlProp299.xml" ContentType="application/vnd.ms-excel.controlproperties+xml"/>
  <Override PartName="/xl/ctrlProps/ctrlProp300.xml" ContentType="application/vnd.ms-excel.controlproperties+xml"/>
  <Override PartName="/xl/ctrlProps/ctrlProp301.xml" ContentType="application/vnd.ms-excel.controlproperties+xml"/>
  <Override PartName="/xl/ctrlProps/ctrlProp302.xml" ContentType="application/vnd.ms-excel.controlproperties+xml"/>
  <Override PartName="/xl/ctrlProps/ctrlProp303.xml" ContentType="application/vnd.ms-excel.controlproperties+xml"/>
  <Override PartName="/xl/ctrlProps/ctrlProp304.xml" ContentType="application/vnd.ms-excel.controlproperties+xml"/>
  <Override PartName="/xl/ctrlProps/ctrlProp305.xml" ContentType="application/vnd.ms-excel.controlproperties+xml"/>
  <Override PartName="/xl/ctrlProps/ctrlProp306.xml" ContentType="application/vnd.ms-excel.controlproperties+xml"/>
  <Override PartName="/xl/ctrlProps/ctrlProp307.xml" ContentType="application/vnd.ms-excel.controlproperties+xml"/>
  <Override PartName="/xl/ctrlProps/ctrlProp308.xml" ContentType="application/vnd.ms-excel.controlproperties+xml"/>
  <Override PartName="/xl/ctrlProps/ctrlProp309.xml" ContentType="application/vnd.ms-excel.controlproperties+xml"/>
  <Override PartName="/xl/ctrlProps/ctrlProp310.xml" ContentType="application/vnd.ms-excel.controlproperties+xml"/>
  <Override PartName="/xl/ctrlProps/ctrlProp311.xml" ContentType="application/vnd.ms-excel.controlproperties+xml"/>
  <Override PartName="/xl/ctrlProps/ctrlProp312.xml" ContentType="application/vnd.ms-excel.controlproperties+xml"/>
  <Override PartName="/xl/ctrlProps/ctrlProp313.xml" ContentType="application/vnd.ms-excel.controlproperties+xml"/>
  <Override PartName="/xl/ctrlProps/ctrlProp314.xml" ContentType="application/vnd.ms-excel.controlproperties+xml"/>
  <Override PartName="/xl/ctrlProps/ctrlProp315.xml" ContentType="application/vnd.ms-excel.controlproperties+xml"/>
  <Override PartName="/xl/ctrlProps/ctrlProp316.xml" ContentType="application/vnd.ms-excel.controlproperties+xml"/>
  <Override PartName="/xl/ctrlProps/ctrlProp317.xml" ContentType="application/vnd.ms-excel.controlproperties+xml"/>
  <Override PartName="/xl/ctrlProps/ctrlProp318.xml" ContentType="application/vnd.ms-excel.controlproperties+xml"/>
  <Override PartName="/xl/ctrlProps/ctrlProp319.xml" ContentType="application/vnd.ms-excel.controlproperties+xml"/>
  <Override PartName="/xl/ctrlProps/ctrlProp320.xml" ContentType="application/vnd.ms-excel.controlproperties+xml"/>
  <Override PartName="/xl/ctrlProps/ctrlProp321.xml" ContentType="application/vnd.ms-excel.controlproperties+xml"/>
  <Override PartName="/xl/ctrlProps/ctrlProp322.xml" ContentType="application/vnd.ms-excel.controlproperties+xml"/>
  <Override PartName="/xl/ctrlProps/ctrlProp323.xml" ContentType="application/vnd.ms-excel.controlproperties+xml"/>
  <Override PartName="/xl/ctrlProps/ctrlProp324.xml" ContentType="application/vnd.ms-excel.controlproperties+xml"/>
  <Override PartName="/xl/ctrlProps/ctrlProp325.xml" ContentType="application/vnd.ms-excel.controlproperties+xml"/>
  <Override PartName="/xl/ctrlProps/ctrlProp326.xml" ContentType="application/vnd.ms-excel.controlproperties+xml"/>
  <Override PartName="/xl/ctrlProps/ctrlProp327.xml" ContentType="application/vnd.ms-excel.controlproperties+xml"/>
  <Override PartName="/xl/ctrlProps/ctrlProp328.xml" ContentType="application/vnd.ms-excel.controlproperties+xml"/>
  <Override PartName="/xl/ctrlProps/ctrlProp329.xml" ContentType="application/vnd.ms-excel.controlproperties+xml"/>
  <Override PartName="/xl/ctrlProps/ctrlProp330.xml" ContentType="application/vnd.ms-excel.controlproperties+xml"/>
  <Override PartName="/xl/ctrlProps/ctrlProp331.xml" ContentType="application/vnd.ms-excel.controlproperties+xml"/>
  <Override PartName="/xl/ctrlProps/ctrlProp332.xml" ContentType="application/vnd.ms-excel.controlproperties+xml"/>
  <Override PartName="/xl/ctrlProps/ctrlProp333.xml" ContentType="application/vnd.ms-excel.controlproperties+xml"/>
  <Override PartName="/xl/ctrlProps/ctrlProp334.xml" ContentType="application/vnd.ms-excel.controlproperties+xml"/>
  <Override PartName="/xl/ctrlProps/ctrlProp335.xml" ContentType="application/vnd.ms-excel.controlproperties+xml"/>
  <Override PartName="/xl/ctrlProps/ctrlProp336.xml" ContentType="application/vnd.ms-excel.controlproperties+xml"/>
  <Override PartName="/xl/ctrlProps/ctrlProp337.xml" ContentType="application/vnd.ms-excel.controlproperties+xml"/>
  <Override PartName="/xl/ctrlProps/ctrlProp338.xml" ContentType="application/vnd.ms-excel.controlproperties+xml"/>
  <Override PartName="/xl/ctrlProps/ctrlProp339.xml" ContentType="application/vnd.ms-excel.controlproperties+xml"/>
  <Override PartName="/xl/ctrlProps/ctrlProp340.xml" ContentType="application/vnd.ms-excel.controlproperties+xml"/>
  <Override PartName="/xl/ctrlProps/ctrlProp341.xml" ContentType="application/vnd.ms-excel.controlproperties+xml"/>
  <Override PartName="/xl/ctrlProps/ctrlProp342.xml" ContentType="application/vnd.ms-excel.controlproperties+xml"/>
  <Override PartName="/xl/ctrlProps/ctrlProp343.xml" ContentType="application/vnd.ms-excel.controlproperties+xml"/>
  <Override PartName="/xl/ctrlProps/ctrlProp344.xml" ContentType="application/vnd.ms-excel.controlproperties+xml"/>
  <Override PartName="/xl/ctrlProps/ctrlProp345.xml" ContentType="application/vnd.ms-excel.controlproperties+xml"/>
  <Override PartName="/xl/ctrlProps/ctrlProp346.xml" ContentType="application/vnd.ms-excel.controlproperties+xml"/>
  <Override PartName="/xl/ctrlProps/ctrlProp347.xml" ContentType="application/vnd.ms-excel.controlproperties+xml"/>
  <Override PartName="/xl/ctrlProps/ctrlProp348.xml" ContentType="application/vnd.ms-excel.controlproperties+xml"/>
  <Override PartName="/xl/ctrlProps/ctrlProp349.xml" ContentType="application/vnd.ms-excel.controlproperties+xml"/>
  <Override PartName="/xl/ctrlProps/ctrlProp350.xml" ContentType="application/vnd.ms-excel.controlproperties+xml"/>
  <Override PartName="/xl/ctrlProps/ctrlProp351.xml" ContentType="application/vnd.ms-excel.controlproperties+xml"/>
  <Override PartName="/xl/ctrlProps/ctrlProp352.xml" ContentType="application/vnd.ms-excel.controlproperties+xml"/>
  <Override PartName="/xl/ctrlProps/ctrlProp353.xml" ContentType="application/vnd.ms-excel.controlproperties+xml"/>
  <Override PartName="/xl/ctrlProps/ctrlProp354.xml" ContentType="application/vnd.ms-excel.controlproperties+xml"/>
  <Override PartName="/xl/ctrlProps/ctrlProp355.xml" ContentType="application/vnd.ms-excel.controlproperties+xml"/>
  <Override PartName="/xl/ctrlProps/ctrlProp356.xml" ContentType="application/vnd.ms-excel.controlproperties+xml"/>
  <Override PartName="/xl/ctrlProps/ctrlProp357.xml" ContentType="application/vnd.ms-excel.controlproperties+xml"/>
  <Override PartName="/xl/ctrlProps/ctrlProp358.xml" ContentType="application/vnd.ms-excel.controlproperties+xml"/>
  <Override PartName="/xl/ctrlProps/ctrlProp359.xml" ContentType="application/vnd.ms-excel.controlproperties+xml"/>
  <Override PartName="/xl/ctrlProps/ctrlProp360.xml" ContentType="application/vnd.ms-excel.controlproperties+xml"/>
  <Override PartName="/xl/ctrlProps/ctrlProp361.xml" ContentType="application/vnd.ms-excel.controlproperties+xml"/>
  <Override PartName="/xl/ctrlProps/ctrlProp362.xml" ContentType="application/vnd.ms-excel.controlproperties+xml"/>
  <Override PartName="/xl/ctrlProps/ctrlProp363.xml" ContentType="application/vnd.ms-excel.controlproperties+xml"/>
  <Override PartName="/xl/ctrlProps/ctrlProp364.xml" ContentType="application/vnd.ms-excel.controlproperties+xml"/>
  <Override PartName="/xl/ctrlProps/ctrlProp365.xml" ContentType="application/vnd.ms-excel.controlproperties+xml"/>
  <Override PartName="/xl/ctrlProps/ctrlProp366.xml" ContentType="application/vnd.ms-excel.controlproperties+xml"/>
  <Override PartName="/xl/ctrlProps/ctrlProp367.xml" ContentType="application/vnd.ms-excel.controlproperties+xml"/>
  <Override PartName="/xl/ctrlProps/ctrlProp368.xml" ContentType="application/vnd.ms-excel.controlproperties+xml"/>
  <Override PartName="/xl/ctrlProps/ctrlProp369.xml" ContentType="application/vnd.ms-excel.controlproperties+xml"/>
  <Override PartName="/xl/ctrlProps/ctrlProp370.xml" ContentType="application/vnd.ms-excel.controlproperties+xml"/>
  <Override PartName="/xl/ctrlProps/ctrlProp371.xml" ContentType="application/vnd.ms-excel.controlproperties+xml"/>
  <Override PartName="/xl/ctrlProps/ctrlProp372.xml" ContentType="application/vnd.ms-excel.controlproperties+xml"/>
  <Override PartName="/xl/ctrlProps/ctrlProp373.xml" ContentType="application/vnd.ms-excel.controlproperties+xml"/>
  <Override PartName="/xl/ctrlProps/ctrlProp374.xml" ContentType="application/vnd.ms-excel.controlproperties+xml"/>
  <Override PartName="/xl/ctrlProps/ctrlProp375.xml" ContentType="application/vnd.ms-excel.controlproperties+xml"/>
  <Override PartName="/xl/ctrlProps/ctrlProp376.xml" ContentType="application/vnd.ms-excel.controlproperties+xml"/>
  <Override PartName="/xl/ctrlProps/ctrlProp377.xml" ContentType="application/vnd.ms-excel.controlproperties+xml"/>
  <Override PartName="/xl/ctrlProps/ctrlProp378.xml" ContentType="application/vnd.ms-excel.controlproperties+xml"/>
  <Override PartName="/xl/ctrlProps/ctrlProp379.xml" ContentType="application/vnd.ms-excel.controlproperties+xml"/>
  <Override PartName="/xl/ctrlProps/ctrlProp380.xml" ContentType="application/vnd.ms-excel.controlproperties+xml"/>
  <Override PartName="/xl/ctrlProps/ctrlProp381.xml" ContentType="application/vnd.ms-excel.controlproperties+xml"/>
  <Override PartName="/xl/ctrlProps/ctrlProp382.xml" ContentType="application/vnd.ms-excel.controlproperties+xml"/>
  <Override PartName="/xl/ctrlProps/ctrlProp383.xml" ContentType="application/vnd.ms-excel.controlproperties+xml"/>
  <Override PartName="/xl/ctrlProps/ctrlProp384.xml" ContentType="application/vnd.ms-excel.controlproperties+xml"/>
  <Override PartName="/xl/ctrlProps/ctrlProp385.xml" ContentType="application/vnd.ms-excel.controlproperties+xml"/>
  <Override PartName="/xl/ctrlProps/ctrlProp386.xml" ContentType="application/vnd.ms-excel.controlproperties+xml"/>
  <Override PartName="/xl/ctrlProps/ctrlProp387.xml" ContentType="application/vnd.ms-excel.controlproperties+xml"/>
  <Override PartName="/xl/ctrlProps/ctrlProp388.xml" ContentType="application/vnd.ms-excel.controlproperties+xml"/>
  <Override PartName="/xl/ctrlProps/ctrlProp389.xml" ContentType="application/vnd.ms-excel.controlproperties+xml"/>
  <Override PartName="/xl/ctrlProps/ctrlProp390.xml" ContentType="application/vnd.ms-excel.controlproperties+xml"/>
  <Override PartName="/xl/ctrlProps/ctrlProp391.xml" ContentType="application/vnd.ms-excel.controlproperties+xml"/>
  <Override PartName="/xl/ctrlProps/ctrlProp392.xml" ContentType="application/vnd.ms-excel.controlproperties+xml"/>
  <Override PartName="/xl/ctrlProps/ctrlProp393.xml" ContentType="application/vnd.ms-excel.controlproperties+xml"/>
  <Override PartName="/xl/ctrlProps/ctrlProp394.xml" ContentType="application/vnd.ms-excel.controlproperties+xml"/>
  <Override PartName="/xl/ctrlProps/ctrlProp395.xml" ContentType="application/vnd.ms-excel.controlproperties+xml"/>
  <Override PartName="/xl/ctrlProps/ctrlProp396.xml" ContentType="application/vnd.ms-excel.controlproperties+xml"/>
  <Override PartName="/xl/ctrlProps/ctrlProp397.xml" ContentType="application/vnd.ms-excel.controlproperties+xml"/>
  <Override PartName="/xl/ctrlProps/ctrlProp398.xml" ContentType="application/vnd.ms-excel.controlproperties+xml"/>
  <Override PartName="/xl/ctrlProps/ctrlProp399.xml" ContentType="application/vnd.ms-excel.controlproperties+xml"/>
  <Override PartName="/xl/ctrlProps/ctrlProp400.xml" ContentType="application/vnd.ms-excel.controlproperties+xml"/>
  <Override PartName="/xl/ctrlProps/ctrlProp401.xml" ContentType="application/vnd.ms-excel.controlproperties+xml"/>
  <Override PartName="/xl/ctrlProps/ctrlProp402.xml" ContentType="application/vnd.ms-excel.controlproperties+xml"/>
  <Override PartName="/xl/ctrlProps/ctrlProp403.xml" ContentType="application/vnd.ms-excel.controlproperties+xml"/>
  <Override PartName="/xl/ctrlProps/ctrlProp404.xml" ContentType="application/vnd.ms-excel.controlproperties+xml"/>
  <Override PartName="/xl/ctrlProps/ctrlProp405.xml" ContentType="application/vnd.ms-excel.controlproperties+xml"/>
  <Override PartName="/xl/ctrlProps/ctrlProp406.xml" ContentType="application/vnd.ms-excel.controlproperties+xml"/>
  <Override PartName="/xl/ctrlProps/ctrlProp407.xml" ContentType="application/vnd.ms-excel.controlproperties+xml"/>
  <Override PartName="/xl/ctrlProps/ctrlProp408.xml" ContentType="application/vnd.ms-excel.controlproperties+xml"/>
  <Override PartName="/xl/ctrlProps/ctrlProp409.xml" ContentType="application/vnd.ms-excel.controlproperties+xml"/>
  <Override PartName="/xl/ctrlProps/ctrlProp410.xml" ContentType="application/vnd.ms-excel.controlproperties+xml"/>
  <Override PartName="/xl/ctrlProps/ctrlProp411.xml" ContentType="application/vnd.ms-excel.controlproperties+xml"/>
  <Override PartName="/xl/ctrlProps/ctrlProp412.xml" ContentType="application/vnd.ms-excel.controlproperties+xml"/>
  <Override PartName="/xl/ctrlProps/ctrlProp413.xml" ContentType="application/vnd.ms-excel.controlproperties+xml"/>
  <Override PartName="/xl/ctrlProps/ctrlProp414.xml" ContentType="application/vnd.ms-excel.controlproperties+xml"/>
  <Override PartName="/xl/ctrlProps/ctrlProp415.xml" ContentType="application/vnd.ms-excel.controlproperties+xml"/>
  <Override PartName="/xl/ctrlProps/ctrlProp416.xml" ContentType="application/vnd.ms-excel.controlproperties+xml"/>
  <Override PartName="/xl/ctrlProps/ctrlProp417.xml" ContentType="application/vnd.ms-excel.controlproperties+xml"/>
  <Override PartName="/xl/ctrlProps/ctrlProp418.xml" ContentType="application/vnd.ms-excel.controlproperties+xml"/>
  <Override PartName="/xl/ctrlProps/ctrlProp419.xml" ContentType="application/vnd.ms-excel.controlproperties+xml"/>
  <Override PartName="/xl/ctrlProps/ctrlProp420.xml" ContentType="application/vnd.ms-excel.controlproperties+xml"/>
  <Override PartName="/xl/ctrlProps/ctrlProp421.xml" ContentType="application/vnd.ms-excel.controlproperties+xml"/>
  <Override PartName="/xl/ctrlProps/ctrlProp422.xml" ContentType="application/vnd.ms-excel.controlproperties+xml"/>
  <Override PartName="/xl/ctrlProps/ctrlProp423.xml" ContentType="application/vnd.ms-excel.controlproperties+xml"/>
  <Override PartName="/xl/ctrlProps/ctrlProp424.xml" ContentType="application/vnd.ms-excel.controlproperties+xml"/>
  <Override PartName="/xl/ctrlProps/ctrlProp425.xml" ContentType="application/vnd.ms-excel.controlproperties+xml"/>
  <Override PartName="/xl/ctrlProps/ctrlProp426.xml" ContentType="application/vnd.ms-excel.controlproperties+xml"/>
  <Override PartName="/xl/ctrlProps/ctrlProp427.xml" ContentType="application/vnd.ms-excel.controlproperties+xml"/>
  <Override PartName="/xl/ctrlProps/ctrlProp428.xml" ContentType="application/vnd.ms-excel.controlproperties+xml"/>
  <Override PartName="/xl/ctrlProps/ctrlProp429.xml" ContentType="application/vnd.ms-excel.controlproperties+xml"/>
  <Override PartName="/xl/ctrlProps/ctrlProp430.xml" ContentType="application/vnd.ms-excel.controlproperties+xml"/>
  <Override PartName="/xl/ctrlProps/ctrlProp431.xml" ContentType="application/vnd.ms-excel.controlproperties+xml"/>
  <Override PartName="/xl/ctrlProps/ctrlProp432.xml" ContentType="application/vnd.ms-excel.controlproperties+xml"/>
  <Override PartName="/xl/ctrlProps/ctrlProp433.xml" ContentType="application/vnd.ms-excel.controlproperties+xml"/>
  <Override PartName="/xl/ctrlProps/ctrlProp434.xml" ContentType="application/vnd.ms-excel.controlproperties+xml"/>
  <Override PartName="/xl/ctrlProps/ctrlProp435.xml" ContentType="application/vnd.ms-excel.controlproperties+xml"/>
  <Override PartName="/xl/ctrlProps/ctrlProp436.xml" ContentType="application/vnd.ms-excel.controlproperties+xml"/>
  <Override PartName="/xl/ctrlProps/ctrlProp437.xml" ContentType="application/vnd.ms-excel.controlproperties+xml"/>
  <Override PartName="/xl/ctrlProps/ctrlProp438.xml" ContentType="application/vnd.ms-excel.controlproperties+xml"/>
  <Override PartName="/xl/ctrlProps/ctrlProp439.xml" ContentType="application/vnd.ms-excel.controlproperties+xml"/>
  <Override PartName="/xl/ctrlProps/ctrlProp440.xml" ContentType="application/vnd.ms-excel.controlproperties+xml"/>
  <Override PartName="/xl/ctrlProps/ctrlProp441.xml" ContentType="application/vnd.ms-excel.controlproperties+xml"/>
  <Override PartName="/xl/ctrlProps/ctrlProp442.xml" ContentType="application/vnd.ms-excel.controlproperties+xml"/>
  <Override PartName="/xl/ctrlProps/ctrlProp443.xml" ContentType="application/vnd.ms-excel.controlproperties+xml"/>
  <Override PartName="/xl/ctrlProps/ctrlProp444.xml" ContentType="application/vnd.ms-excel.controlproperties+xml"/>
  <Override PartName="/xl/ctrlProps/ctrlProp445.xml" ContentType="application/vnd.ms-excel.controlproperties+xml"/>
  <Override PartName="/xl/ctrlProps/ctrlProp446.xml" ContentType="application/vnd.ms-excel.controlproperties+xml"/>
  <Override PartName="/xl/ctrlProps/ctrlProp447.xml" ContentType="application/vnd.ms-excel.controlproperties+xml"/>
  <Override PartName="/xl/ctrlProps/ctrlProp448.xml" ContentType="application/vnd.ms-excel.controlproperties+xml"/>
  <Override PartName="/xl/ctrlProps/ctrlProp449.xml" ContentType="application/vnd.ms-excel.controlproperties+xml"/>
  <Override PartName="/xl/ctrlProps/ctrlProp450.xml" ContentType="application/vnd.ms-excel.controlproperties+xml"/>
  <Override PartName="/xl/ctrlProps/ctrlProp451.xml" ContentType="application/vnd.ms-excel.controlproperties+xml"/>
  <Override PartName="/xl/ctrlProps/ctrlProp452.xml" ContentType="application/vnd.ms-excel.controlproperties+xml"/>
  <Override PartName="/xl/ctrlProps/ctrlProp453.xml" ContentType="application/vnd.ms-excel.controlproperties+xml"/>
  <Override PartName="/xl/ctrlProps/ctrlProp454.xml" ContentType="application/vnd.ms-excel.controlproperties+xml"/>
  <Override PartName="/xl/ctrlProps/ctrlProp455.xml" ContentType="application/vnd.ms-excel.controlproperties+xml"/>
  <Override PartName="/xl/ctrlProps/ctrlProp456.xml" ContentType="application/vnd.ms-excel.controlproperties+xml"/>
  <Override PartName="/xl/ctrlProps/ctrlProp457.xml" ContentType="application/vnd.ms-excel.controlproperties+xml"/>
  <Override PartName="/xl/ctrlProps/ctrlProp458.xml" ContentType="application/vnd.ms-excel.controlproperties+xml"/>
  <Override PartName="/xl/ctrlProps/ctrlProp459.xml" ContentType="application/vnd.ms-excel.controlproperties+xml"/>
  <Override PartName="/xl/ctrlProps/ctrlProp460.xml" ContentType="application/vnd.ms-excel.controlproperties+xml"/>
  <Override PartName="/xl/ctrlProps/ctrlProp461.xml" ContentType="application/vnd.ms-excel.controlproperties+xml"/>
  <Override PartName="/xl/ctrlProps/ctrlProp462.xml" ContentType="application/vnd.ms-excel.controlproperties+xml"/>
  <Override PartName="/xl/ctrlProps/ctrlProp463.xml" ContentType="application/vnd.ms-excel.controlproperties+xml"/>
  <Override PartName="/xl/ctrlProps/ctrlProp464.xml" ContentType="application/vnd.ms-excel.controlproperties+xml"/>
  <Override PartName="/xl/ctrlProps/ctrlProp465.xml" ContentType="application/vnd.ms-excel.controlproperties+xml"/>
  <Override PartName="/xl/ctrlProps/ctrlProp466.xml" ContentType="application/vnd.ms-excel.controlproperties+xml"/>
  <Override PartName="/xl/ctrlProps/ctrlProp467.xml" ContentType="application/vnd.ms-excel.controlproperties+xml"/>
  <Override PartName="/xl/ctrlProps/ctrlProp468.xml" ContentType="application/vnd.ms-excel.controlproperties+xml"/>
  <Override PartName="/xl/ctrlProps/ctrlProp469.xml" ContentType="application/vnd.ms-excel.controlproperties+xml"/>
  <Override PartName="/xl/ctrlProps/ctrlProp470.xml" ContentType="application/vnd.ms-excel.controlproperties+xml"/>
  <Override PartName="/xl/ctrlProps/ctrlProp471.xml" ContentType="application/vnd.ms-excel.controlproperties+xml"/>
  <Override PartName="/xl/ctrlProps/ctrlProp472.xml" ContentType="application/vnd.ms-excel.controlproperties+xml"/>
  <Override PartName="/xl/ctrlProps/ctrlProp473.xml" ContentType="application/vnd.ms-excel.controlproperties+xml"/>
  <Override PartName="/xl/ctrlProps/ctrlProp474.xml" ContentType="application/vnd.ms-excel.controlproperties+xml"/>
  <Override PartName="/xl/ctrlProps/ctrlProp475.xml" ContentType="application/vnd.ms-excel.controlproperties+xml"/>
  <Override PartName="/xl/ctrlProps/ctrlProp476.xml" ContentType="application/vnd.ms-excel.controlproperties+xml"/>
  <Override PartName="/xl/ctrlProps/ctrlProp477.xml" ContentType="application/vnd.ms-excel.controlproperties+xml"/>
  <Override PartName="/xl/ctrlProps/ctrlProp478.xml" ContentType="application/vnd.ms-excel.controlproperties+xml"/>
  <Override PartName="/xl/ctrlProps/ctrlProp479.xml" ContentType="application/vnd.ms-excel.controlproperties+xml"/>
  <Override PartName="/xl/ctrlProps/ctrlProp480.xml" ContentType="application/vnd.ms-excel.controlproperties+xml"/>
  <Override PartName="/xl/ctrlProps/ctrlProp481.xml" ContentType="application/vnd.ms-excel.controlproperties+xml"/>
  <Override PartName="/xl/ctrlProps/ctrlProp482.xml" ContentType="application/vnd.ms-excel.controlproperties+xml"/>
  <Override PartName="/xl/ctrlProps/ctrlProp483.xml" ContentType="application/vnd.ms-excel.controlproperties+xml"/>
  <Override PartName="/xl/ctrlProps/ctrlProp484.xml" ContentType="application/vnd.ms-excel.controlproperties+xml"/>
  <Override PartName="/xl/ctrlProps/ctrlProp485.xml" ContentType="application/vnd.ms-excel.controlproperties+xml"/>
  <Override PartName="/xl/ctrlProps/ctrlProp486.xml" ContentType="application/vnd.ms-excel.controlproperties+xml"/>
  <Override PartName="/xl/ctrlProps/ctrlProp487.xml" ContentType="application/vnd.ms-excel.controlproperties+xml"/>
  <Override PartName="/xl/ctrlProps/ctrlProp488.xml" ContentType="application/vnd.ms-excel.controlproperties+xml"/>
  <Override PartName="/xl/ctrlProps/ctrlProp489.xml" ContentType="application/vnd.ms-excel.controlproperties+xml"/>
  <Override PartName="/xl/ctrlProps/ctrlProp490.xml" ContentType="application/vnd.ms-excel.controlproperties+xml"/>
  <Override PartName="/xl/ctrlProps/ctrlProp491.xml" ContentType="application/vnd.ms-excel.controlproperties+xml"/>
  <Override PartName="/xl/ctrlProps/ctrlProp492.xml" ContentType="application/vnd.ms-excel.controlproperties+xml"/>
  <Override PartName="/xl/ctrlProps/ctrlProp493.xml" ContentType="application/vnd.ms-excel.controlproperties+xml"/>
  <Override PartName="/xl/ctrlProps/ctrlProp494.xml" ContentType="application/vnd.ms-excel.controlproperties+xml"/>
  <Override PartName="/xl/ctrlProps/ctrlProp495.xml" ContentType="application/vnd.ms-excel.controlproperties+xml"/>
  <Override PartName="/xl/ctrlProps/ctrlProp496.xml" ContentType="application/vnd.ms-excel.controlproperties+xml"/>
  <Override PartName="/xl/ctrlProps/ctrlProp497.xml" ContentType="application/vnd.ms-excel.controlproperties+xml"/>
  <Override PartName="/xl/ctrlProps/ctrlProp498.xml" ContentType="application/vnd.ms-excel.controlproperties+xml"/>
  <Override PartName="/xl/ctrlProps/ctrlProp499.xml" ContentType="application/vnd.ms-excel.controlproperties+xml"/>
  <Override PartName="/xl/ctrlProps/ctrlProp500.xml" ContentType="application/vnd.ms-excel.controlproperties+xml"/>
  <Override PartName="/xl/ctrlProps/ctrlProp501.xml" ContentType="application/vnd.ms-excel.controlproperties+xml"/>
  <Override PartName="/xl/ctrlProps/ctrlProp502.xml" ContentType="application/vnd.ms-excel.controlproperties+xml"/>
  <Override PartName="/xl/ctrlProps/ctrlProp503.xml" ContentType="application/vnd.ms-excel.controlproperties+xml"/>
  <Override PartName="/xl/ctrlProps/ctrlProp504.xml" ContentType="application/vnd.ms-excel.controlproperties+xml"/>
  <Override PartName="/xl/ctrlProps/ctrlProp505.xml" ContentType="application/vnd.ms-excel.controlproperties+xml"/>
  <Override PartName="/xl/ctrlProps/ctrlProp506.xml" ContentType="application/vnd.ms-excel.controlproperties+xml"/>
  <Override PartName="/xl/ctrlProps/ctrlProp507.xml" ContentType="application/vnd.ms-excel.controlproperties+xml"/>
  <Override PartName="/xl/ctrlProps/ctrlProp508.xml" ContentType="application/vnd.ms-excel.controlproperties+xml"/>
  <Override PartName="/xl/ctrlProps/ctrlProp509.xml" ContentType="application/vnd.ms-excel.controlproperties+xml"/>
  <Override PartName="/xl/ctrlProps/ctrlProp510.xml" ContentType="application/vnd.ms-excel.controlproperties+xml"/>
  <Override PartName="/xl/ctrlProps/ctrlProp511.xml" ContentType="application/vnd.ms-excel.controlproperties+xml"/>
  <Override PartName="/xl/ctrlProps/ctrlProp512.xml" ContentType="application/vnd.ms-excel.controlproperties+xml"/>
  <Override PartName="/xl/ctrlProps/ctrlProp513.xml" ContentType="application/vnd.ms-excel.controlproperties+xml"/>
  <Override PartName="/xl/ctrlProps/ctrlProp514.xml" ContentType="application/vnd.ms-excel.controlproperties+xml"/>
  <Override PartName="/xl/ctrlProps/ctrlProp515.xml" ContentType="application/vnd.ms-excel.controlproperties+xml"/>
  <Override PartName="/xl/ctrlProps/ctrlProp516.xml" ContentType="application/vnd.ms-excel.controlproperties+xml"/>
  <Override PartName="/xl/ctrlProps/ctrlProp517.xml" ContentType="application/vnd.ms-excel.controlproperties+xml"/>
  <Override PartName="/xl/ctrlProps/ctrlProp518.xml" ContentType="application/vnd.ms-excel.controlproperties+xml"/>
  <Override PartName="/xl/ctrlProps/ctrlProp519.xml" ContentType="application/vnd.ms-excel.controlproperties+xml"/>
  <Override PartName="/xl/ctrlProps/ctrlProp520.xml" ContentType="application/vnd.ms-excel.controlproperties+xml"/>
  <Override PartName="/xl/ctrlProps/ctrlProp521.xml" ContentType="application/vnd.ms-excel.controlproperties+xml"/>
  <Override PartName="/xl/ctrlProps/ctrlProp522.xml" ContentType="application/vnd.ms-excel.controlproperties+xml"/>
  <Override PartName="/xl/ctrlProps/ctrlProp523.xml" ContentType="application/vnd.ms-excel.controlproperties+xml"/>
  <Override PartName="/xl/ctrlProps/ctrlProp524.xml" ContentType="application/vnd.ms-excel.controlproperties+xml"/>
  <Override PartName="/xl/ctrlProps/ctrlProp525.xml" ContentType="application/vnd.ms-excel.controlproperties+xml"/>
  <Override PartName="/xl/ctrlProps/ctrlProp526.xml" ContentType="application/vnd.ms-excel.controlproperties+xml"/>
  <Override PartName="/xl/ctrlProps/ctrlProp527.xml" ContentType="application/vnd.ms-excel.controlproperties+xml"/>
  <Override PartName="/xl/ctrlProps/ctrlProp528.xml" ContentType="application/vnd.ms-excel.controlproperties+xml"/>
  <Override PartName="/xl/ctrlProps/ctrlProp529.xml" ContentType="application/vnd.ms-excel.controlproperties+xml"/>
  <Override PartName="/xl/ctrlProps/ctrlProp530.xml" ContentType="application/vnd.ms-excel.controlproperties+xml"/>
  <Override PartName="/xl/ctrlProps/ctrlProp531.xml" ContentType="application/vnd.ms-excel.controlproperties+xml"/>
  <Override PartName="/xl/ctrlProps/ctrlProp532.xml" ContentType="application/vnd.ms-excel.controlproperties+xml"/>
  <Override PartName="/xl/ctrlProps/ctrlProp533.xml" ContentType="application/vnd.ms-excel.controlproperties+xml"/>
  <Override PartName="/xl/ctrlProps/ctrlProp534.xml" ContentType="application/vnd.ms-excel.controlproperties+xml"/>
  <Override PartName="/xl/ctrlProps/ctrlProp535.xml" ContentType="application/vnd.ms-excel.controlproperties+xml"/>
  <Override PartName="/xl/ctrlProps/ctrlProp536.xml" ContentType="application/vnd.ms-excel.controlproperties+xml"/>
  <Override PartName="/xl/ctrlProps/ctrlProp537.xml" ContentType="application/vnd.ms-excel.controlproperties+xml"/>
  <Override PartName="/xl/ctrlProps/ctrlProp538.xml" ContentType="application/vnd.ms-excel.controlproperties+xml"/>
  <Override PartName="/xl/ctrlProps/ctrlProp539.xml" ContentType="application/vnd.ms-excel.controlproperties+xml"/>
  <Override PartName="/xl/ctrlProps/ctrlProp540.xml" ContentType="application/vnd.ms-excel.controlproperties+xml"/>
  <Override PartName="/xl/ctrlProps/ctrlProp541.xml" ContentType="application/vnd.ms-excel.controlproperties+xml"/>
  <Override PartName="/xl/ctrlProps/ctrlProp542.xml" ContentType="application/vnd.ms-excel.controlproperties+xml"/>
  <Override PartName="/xl/ctrlProps/ctrlProp543.xml" ContentType="application/vnd.ms-excel.controlproperties+xml"/>
  <Override PartName="/xl/ctrlProps/ctrlProp544.xml" ContentType="application/vnd.ms-excel.controlproperties+xml"/>
  <Override PartName="/xl/ctrlProps/ctrlProp545.xml" ContentType="application/vnd.ms-excel.controlproperties+xml"/>
  <Override PartName="/xl/ctrlProps/ctrlProp546.xml" ContentType="application/vnd.ms-excel.controlproperties+xml"/>
  <Override PartName="/xl/ctrlProps/ctrlProp547.xml" ContentType="application/vnd.ms-excel.controlproperties+xml"/>
  <Override PartName="/xl/ctrlProps/ctrlProp548.xml" ContentType="application/vnd.ms-excel.controlproperties+xml"/>
  <Override PartName="/xl/ctrlProps/ctrlProp549.xml" ContentType="application/vnd.ms-excel.controlproperties+xml"/>
  <Override PartName="/xl/ctrlProps/ctrlProp550.xml" ContentType="application/vnd.ms-excel.controlproperties+xml"/>
  <Override PartName="/xl/ctrlProps/ctrlProp551.xml" ContentType="application/vnd.ms-excel.controlproperties+xml"/>
  <Override PartName="/xl/ctrlProps/ctrlProp552.xml" ContentType="application/vnd.ms-excel.controlproperties+xml"/>
  <Override PartName="/xl/ctrlProps/ctrlProp553.xml" ContentType="application/vnd.ms-excel.controlproperties+xml"/>
  <Override PartName="/xl/ctrlProps/ctrlProp554.xml" ContentType="application/vnd.ms-excel.controlproperties+xml"/>
  <Override PartName="/xl/ctrlProps/ctrlProp555.xml" ContentType="application/vnd.ms-excel.controlproperties+xml"/>
  <Override PartName="/xl/ctrlProps/ctrlProp556.xml" ContentType="application/vnd.ms-excel.controlproperties+xml"/>
  <Override PartName="/xl/ctrlProps/ctrlProp557.xml" ContentType="application/vnd.ms-excel.controlproperties+xml"/>
  <Override PartName="/xl/ctrlProps/ctrlProp558.xml" ContentType="application/vnd.ms-excel.controlproperties+xml"/>
  <Override PartName="/xl/ctrlProps/ctrlProp559.xml" ContentType="application/vnd.ms-excel.controlproperties+xml"/>
  <Override PartName="/xl/ctrlProps/ctrlProp560.xml" ContentType="application/vnd.ms-excel.controlproperties+xml"/>
  <Override PartName="/xl/ctrlProps/ctrlProp561.xml" ContentType="application/vnd.ms-excel.controlproperties+xml"/>
  <Override PartName="/xl/ctrlProps/ctrlProp562.xml" ContentType="application/vnd.ms-excel.controlproperties+xml"/>
  <Override PartName="/xl/ctrlProps/ctrlProp563.xml" ContentType="application/vnd.ms-excel.controlproperties+xml"/>
  <Override PartName="/xl/ctrlProps/ctrlProp564.xml" ContentType="application/vnd.ms-excel.controlproperties+xml"/>
  <Override PartName="/xl/ctrlProps/ctrlProp565.xml" ContentType="application/vnd.ms-excel.controlproperties+xml"/>
  <Override PartName="/xl/ctrlProps/ctrlProp566.xml" ContentType="application/vnd.ms-excel.controlproperties+xml"/>
  <Override PartName="/xl/ctrlProps/ctrlProp567.xml" ContentType="application/vnd.ms-excel.controlproperties+xml"/>
  <Override PartName="/xl/ctrlProps/ctrlProp568.xml" ContentType="application/vnd.ms-excel.controlproperties+xml"/>
  <Override PartName="/xl/ctrlProps/ctrlProp569.xml" ContentType="application/vnd.ms-excel.controlproperties+xml"/>
  <Override PartName="/xl/ctrlProps/ctrlProp570.xml" ContentType="application/vnd.ms-excel.controlproperties+xml"/>
  <Override PartName="/xl/ctrlProps/ctrlProp571.xml" ContentType="application/vnd.ms-excel.controlproperties+xml"/>
  <Override PartName="/xl/ctrlProps/ctrlProp572.xml" ContentType="application/vnd.ms-excel.controlproperties+xml"/>
  <Override PartName="/xl/ctrlProps/ctrlProp573.xml" ContentType="application/vnd.ms-excel.controlproperties+xml"/>
  <Override PartName="/xl/ctrlProps/ctrlProp574.xml" ContentType="application/vnd.ms-excel.controlproperties+xml"/>
  <Override PartName="/xl/ctrlProps/ctrlProp575.xml" ContentType="application/vnd.ms-excel.controlproperties+xml"/>
  <Override PartName="/xl/ctrlProps/ctrlProp576.xml" ContentType="application/vnd.ms-excel.controlproperties+xml"/>
  <Override PartName="/xl/ctrlProps/ctrlProp577.xml" ContentType="application/vnd.ms-excel.controlproperties+xml"/>
  <Override PartName="/xl/ctrlProps/ctrlProp578.xml" ContentType="application/vnd.ms-excel.controlproperties+xml"/>
  <Override PartName="/xl/ctrlProps/ctrlProp579.xml" ContentType="application/vnd.ms-excel.controlproperties+xml"/>
  <Override PartName="/xl/ctrlProps/ctrlProp580.xml" ContentType="application/vnd.ms-excel.controlproperties+xml"/>
  <Override PartName="/xl/ctrlProps/ctrlProp581.xml" ContentType="application/vnd.ms-excel.controlproperties+xml"/>
  <Override PartName="/xl/ctrlProps/ctrlProp582.xml" ContentType="application/vnd.ms-excel.controlproperties+xml"/>
  <Override PartName="/xl/ctrlProps/ctrlProp583.xml" ContentType="application/vnd.ms-excel.controlproperties+xml"/>
  <Override PartName="/xl/ctrlProps/ctrlProp584.xml" ContentType="application/vnd.ms-excel.controlproperties+xml"/>
  <Override PartName="/xl/ctrlProps/ctrlProp585.xml" ContentType="application/vnd.ms-excel.controlproperties+xml"/>
  <Override PartName="/xl/ctrlProps/ctrlProp586.xml" ContentType="application/vnd.ms-excel.controlproperties+xml"/>
  <Override PartName="/xl/ctrlProps/ctrlProp587.xml" ContentType="application/vnd.ms-excel.controlproperties+xml"/>
  <Override PartName="/xl/ctrlProps/ctrlProp588.xml" ContentType="application/vnd.ms-excel.controlproperties+xml"/>
  <Override PartName="/xl/ctrlProps/ctrlProp589.xml" ContentType="application/vnd.ms-excel.controlproperties+xml"/>
  <Override PartName="/xl/ctrlProps/ctrlProp590.xml" ContentType="application/vnd.ms-excel.controlproperties+xml"/>
  <Override PartName="/xl/ctrlProps/ctrlProp591.xml" ContentType="application/vnd.ms-excel.controlproperties+xml"/>
  <Override PartName="/xl/ctrlProps/ctrlProp592.xml" ContentType="application/vnd.ms-excel.controlproperties+xml"/>
  <Override PartName="/xl/ctrlProps/ctrlProp593.xml" ContentType="application/vnd.ms-excel.controlproperties+xml"/>
  <Override PartName="/xl/ctrlProps/ctrlProp594.xml" ContentType="application/vnd.ms-excel.controlproperties+xml"/>
  <Override PartName="/xl/ctrlProps/ctrlProp595.xml" ContentType="application/vnd.ms-excel.controlproperties+xml"/>
  <Override PartName="/xl/ctrlProps/ctrlProp596.xml" ContentType="application/vnd.ms-excel.controlproperties+xml"/>
  <Override PartName="/xl/ctrlProps/ctrlProp597.xml" ContentType="application/vnd.ms-excel.controlproperties+xml"/>
  <Override PartName="/xl/ctrlProps/ctrlProp598.xml" ContentType="application/vnd.ms-excel.controlproperties+xml"/>
  <Override PartName="/xl/ctrlProps/ctrlProp599.xml" ContentType="application/vnd.ms-excel.controlproperties+xml"/>
  <Override PartName="/xl/ctrlProps/ctrlProp600.xml" ContentType="application/vnd.ms-excel.controlproperties+xml"/>
  <Override PartName="/xl/ctrlProps/ctrlProp601.xml" ContentType="application/vnd.ms-excel.controlproperties+xml"/>
  <Override PartName="/xl/ctrlProps/ctrlProp602.xml" ContentType="application/vnd.ms-excel.controlproperties+xml"/>
  <Override PartName="/xl/ctrlProps/ctrlProp603.xml" ContentType="application/vnd.ms-excel.controlproperties+xml"/>
  <Override PartName="/xl/ctrlProps/ctrlProp604.xml" ContentType="application/vnd.ms-excel.controlproperties+xml"/>
  <Override PartName="/xl/ctrlProps/ctrlProp605.xml" ContentType="application/vnd.ms-excel.controlproperties+xml"/>
  <Override PartName="/xl/ctrlProps/ctrlProp606.xml" ContentType="application/vnd.ms-excel.controlproperties+xml"/>
  <Override PartName="/xl/ctrlProps/ctrlProp607.xml" ContentType="application/vnd.ms-excel.controlproperties+xml"/>
  <Override PartName="/xl/ctrlProps/ctrlProp608.xml" ContentType="application/vnd.ms-excel.controlproperties+xml"/>
  <Override PartName="/xl/ctrlProps/ctrlProp609.xml" ContentType="application/vnd.ms-excel.controlproperties+xml"/>
  <Override PartName="/xl/ctrlProps/ctrlProp610.xml" ContentType="application/vnd.ms-excel.controlproperties+xml"/>
  <Override PartName="/xl/ctrlProps/ctrlProp611.xml" ContentType="application/vnd.ms-excel.controlproperties+xml"/>
  <Override PartName="/xl/ctrlProps/ctrlProp612.xml" ContentType="application/vnd.ms-excel.controlproperties+xml"/>
  <Override PartName="/xl/ctrlProps/ctrlProp613.xml" ContentType="application/vnd.ms-excel.controlproperties+xml"/>
  <Override PartName="/xl/ctrlProps/ctrlProp614.xml" ContentType="application/vnd.ms-excel.controlproperties+xml"/>
  <Override PartName="/xl/ctrlProps/ctrlProp615.xml" ContentType="application/vnd.ms-excel.controlproperties+xml"/>
  <Override PartName="/xl/ctrlProps/ctrlProp616.xml" ContentType="application/vnd.ms-excel.controlproperties+xml"/>
  <Override PartName="/xl/ctrlProps/ctrlProp617.xml" ContentType="application/vnd.ms-excel.controlproperties+xml"/>
  <Override PartName="/xl/ctrlProps/ctrlProp618.xml" ContentType="application/vnd.ms-excel.controlproperties+xml"/>
  <Override PartName="/xl/ctrlProps/ctrlProp619.xml" ContentType="application/vnd.ms-excel.controlproperties+xml"/>
  <Override PartName="/xl/ctrlProps/ctrlProp620.xml" ContentType="application/vnd.ms-excel.controlproperties+xml"/>
  <Override PartName="/xl/ctrlProps/ctrlProp621.xml" ContentType="application/vnd.ms-excel.controlproperties+xml"/>
  <Override PartName="/xl/ctrlProps/ctrlProp622.xml" ContentType="application/vnd.ms-excel.controlproperties+xml"/>
  <Override PartName="/xl/ctrlProps/ctrlProp623.xml" ContentType="application/vnd.ms-excel.controlproperties+xml"/>
  <Override PartName="/xl/ctrlProps/ctrlProp624.xml" ContentType="application/vnd.ms-excel.controlproperties+xml"/>
  <Override PartName="/xl/ctrlProps/ctrlProp625.xml" ContentType="application/vnd.ms-excel.controlproperties+xml"/>
  <Override PartName="/xl/ctrlProps/ctrlProp626.xml" ContentType="application/vnd.ms-excel.controlproperties+xml"/>
  <Override PartName="/xl/ctrlProps/ctrlProp627.xml" ContentType="application/vnd.ms-excel.controlproperties+xml"/>
  <Override PartName="/xl/ctrlProps/ctrlProp628.xml" ContentType="application/vnd.ms-excel.controlproperties+xml"/>
  <Override PartName="/xl/ctrlProps/ctrlProp629.xml" ContentType="application/vnd.ms-excel.controlproperties+xml"/>
  <Override PartName="/xl/ctrlProps/ctrlProp630.xml" ContentType="application/vnd.ms-excel.controlproperties+xml"/>
  <Override PartName="/xl/ctrlProps/ctrlProp631.xml" ContentType="application/vnd.ms-excel.controlproperties+xml"/>
  <Override PartName="/xl/ctrlProps/ctrlProp632.xml" ContentType="application/vnd.ms-excel.controlproperties+xml"/>
  <Override PartName="/xl/ctrlProps/ctrlProp633.xml" ContentType="application/vnd.ms-excel.controlproperties+xml"/>
  <Override PartName="/xl/ctrlProps/ctrlProp634.xml" ContentType="application/vnd.ms-excel.controlproperties+xml"/>
  <Override PartName="/xl/ctrlProps/ctrlProp635.xml" ContentType="application/vnd.ms-excel.controlproperties+xml"/>
  <Override PartName="/xl/ctrlProps/ctrlProp636.xml" ContentType="application/vnd.ms-excel.controlproperties+xml"/>
  <Override PartName="/xl/ctrlProps/ctrlProp637.xml" ContentType="application/vnd.ms-excel.controlproperties+xml"/>
  <Override PartName="/xl/ctrlProps/ctrlProp638.xml" ContentType="application/vnd.ms-excel.controlproperties+xml"/>
  <Override PartName="/xl/ctrlProps/ctrlProp639.xml" ContentType="application/vnd.ms-excel.controlproperties+xml"/>
  <Override PartName="/xl/ctrlProps/ctrlProp640.xml" ContentType="application/vnd.ms-excel.controlproperties+xml"/>
  <Override PartName="/xl/ctrlProps/ctrlProp641.xml" ContentType="application/vnd.ms-excel.controlproperties+xml"/>
  <Override PartName="/xl/ctrlProps/ctrlProp642.xml" ContentType="application/vnd.ms-excel.controlproperties+xml"/>
  <Override PartName="/xl/ctrlProps/ctrlProp643.xml" ContentType="application/vnd.ms-excel.controlproperties+xml"/>
  <Override PartName="/xl/ctrlProps/ctrlProp644.xml" ContentType="application/vnd.ms-excel.controlproperties+xml"/>
  <Override PartName="/xl/ctrlProps/ctrlProp645.xml" ContentType="application/vnd.ms-excel.controlproperties+xml"/>
  <Override PartName="/xl/ctrlProps/ctrlProp646.xml" ContentType="application/vnd.ms-excel.controlproperties+xml"/>
  <Override PartName="/xl/ctrlProps/ctrlProp647.xml" ContentType="application/vnd.ms-excel.controlproperties+xml"/>
  <Override PartName="/xl/ctrlProps/ctrlProp648.xml" ContentType="application/vnd.ms-excel.controlproperties+xml"/>
  <Override PartName="/xl/ctrlProps/ctrlProp649.xml" ContentType="application/vnd.ms-excel.controlproperties+xml"/>
  <Override PartName="/xl/ctrlProps/ctrlProp650.xml" ContentType="application/vnd.ms-excel.controlproperties+xml"/>
  <Override PartName="/xl/ctrlProps/ctrlProp651.xml" ContentType="application/vnd.ms-excel.controlproperties+xml"/>
  <Override PartName="/xl/ctrlProps/ctrlProp652.xml" ContentType="application/vnd.ms-excel.controlproperties+xml"/>
  <Override PartName="/xl/ctrlProps/ctrlProp653.xml" ContentType="application/vnd.ms-excel.controlproperties+xml"/>
  <Override PartName="/xl/ctrlProps/ctrlProp654.xml" ContentType="application/vnd.ms-excel.controlproperties+xml"/>
  <Override PartName="/xl/ctrlProps/ctrlProp655.xml" ContentType="application/vnd.ms-excel.controlproperties+xml"/>
  <Override PartName="/xl/ctrlProps/ctrlProp656.xml" ContentType="application/vnd.ms-excel.controlproperties+xml"/>
  <Override PartName="/xl/ctrlProps/ctrlProp657.xml" ContentType="application/vnd.ms-excel.controlproperties+xml"/>
  <Override PartName="/xl/ctrlProps/ctrlProp658.xml" ContentType="application/vnd.ms-excel.controlproperties+xml"/>
  <Override PartName="/xl/ctrlProps/ctrlProp659.xml" ContentType="application/vnd.ms-excel.controlproperties+xml"/>
  <Override PartName="/xl/ctrlProps/ctrlProp660.xml" ContentType="application/vnd.ms-excel.controlproperties+xml"/>
  <Override PartName="/xl/ctrlProps/ctrlProp661.xml" ContentType="application/vnd.ms-excel.controlproperties+xml"/>
  <Override PartName="/xl/ctrlProps/ctrlProp662.xml" ContentType="application/vnd.ms-excel.controlproperties+xml"/>
  <Override PartName="/xl/ctrlProps/ctrlProp663.xml" ContentType="application/vnd.ms-excel.controlproperties+xml"/>
  <Override PartName="/xl/ctrlProps/ctrlProp664.xml" ContentType="application/vnd.ms-excel.controlproperties+xml"/>
  <Override PartName="/xl/ctrlProps/ctrlProp665.xml" ContentType="application/vnd.ms-excel.controlproperties+xml"/>
  <Override PartName="/xl/ctrlProps/ctrlProp666.xml" ContentType="application/vnd.ms-excel.controlproperties+xml"/>
  <Override PartName="/xl/ctrlProps/ctrlProp667.xml" ContentType="application/vnd.ms-excel.controlproperties+xml"/>
  <Override PartName="/xl/ctrlProps/ctrlProp668.xml" ContentType="application/vnd.ms-excel.controlproperties+xml"/>
  <Override PartName="/xl/ctrlProps/ctrlProp669.xml" ContentType="application/vnd.ms-excel.controlproperties+xml"/>
  <Override PartName="/xl/ctrlProps/ctrlProp670.xml" ContentType="application/vnd.ms-excel.controlproperties+xml"/>
  <Override PartName="/xl/ctrlProps/ctrlProp671.xml" ContentType="application/vnd.ms-excel.controlproperties+xml"/>
  <Override PartName="/xl/ctrlProps/ctrlProp672.xml" ContentType="application/vnd.ms-excel.controlproperties+xml"/>
  <Override PartName="/xl/ctrlProps/ctrlProp673.xml" ContentType="application/vnd.ms-excel.controlproperties+xml"/>
  <Override PartName="/xl/ctrlProps/ctrlProp674.xml" ContentType="application/vnd.ms-excel.controlproperties+xml"/>
  <Override PartName="/xl/ctrlProps/ctrlProp675.xml" ContentType="application/vnd.ms-excel.controlproperties+xml"/>
  <Override PartName="/xl/ctrlProps/ctrlProp676.xml" ContentType="application/vnd.ms-excel.controlproperties+xml"/>
  <Override PartName="/xl/ctrlProps/ctrlProp677.xml" ContentType="application/vnd.ms-excel.controlproperties+xml"/>
  <Override PartName="/xl/ctrlProps/ctrlProp678.xml" ContentType="application/vnd.ms-excel.controlproperties+xml"/>
  <Override PartName="/xl/ctrlProps/ctrlProp679.xml" ContentType="application/vnd.ms-excel.controlproperties+xml"/>
  <Override PartName="/xl/ctrlProps/ctrlProp680.xml" ContentType="application/vnd.ms-excel.controlproperties+xml"/>
  <Override PartName="/xl/ctrlProps/ctrlProp681.xml" ContentType="application/vnd.ms-excel.controlproperties+xml"/>
  <Override PartName="/xl/ctrlProps/ctrlProp682.xml" ContentType="application/vnd.ms-excel.controlproperties+xml"/>
  <Override PartName="/xl/ctrlProps/ctrlProp683.xml" ContentType="application/vnd.ms-excel.controlproperties+xml"/>
  <Override PartName="/xl/ctrlProps/ctrlProp684.xml" ContentType="application/vnd.ms-excel.controlproperties+xml"/>
  <Override PartName="/xl/ctrlProps/ctrlProp685.xml" ContentType="application/vnd.ms-excel.controlproperties+xml"/>
  <Override PartName="/xl/ctrlProps/ctrlProp686.xml" ContentType="application/vnd.ms-excel.controlproperties+xml"/>
  <Override PartName="/xl/ctrlProps/ctrlProp687.xml" ContentType="application/vnd.ms-excel.controlproperties+xml"/>
  <Override PartName="/xl/ctrlProps/ctrlProp688.xml" ContentType="application/vnd.ms-excel.controlproperties+xml"/>
  <Override PartName="/xl/ctrlProps/ctrlProp689.xml" ContentType="application/vnd.ms-excel.controlproperties+xml"/>
  <Override PartName="/xl/ctrlProps/ctrlProp690.xml" ContentType="application/vnd.ms-excel.controlproperties+xml"/>
  <Override PartName="/xl/ctrlProps/ctrlProp691.xml" ContentType="application/vnd.ms-excel.controlproperties+xml"/>
  <Override PartName="/xl/ctrlProps/ctrlProp692.xml" ContentType="application/vnd.ms-excel.controlproperties+xml"/>
  <Override PartName="/xl/ctrlProps/ctrlProp693.xml" ContentType="application/vnd.ms-excel.controlproperties+xml"/>
  <Override PartName="/xl/ctrlProps/ctrlProp694.xml" ContentType="application/vnd.ms-excel.controlproperties+xml"/>
  <Override PartName="/xl/ctrlProps/ctrlProp695.xml" ContentType="application/vnd.ms-excel.controlproperties+xml"/>
  <Override PartName="/xl/ctrlProps/ctrlProp696.xml" ContentType="application/vnd.ms-excel.controlproperties+xml"/>
  <Override PartName="/xl/ctrlProps/ctrlProp697.xml" ContentType="application/vnd.ms-excel.controlproperties+xml"/>
  <Override PartName="/xl/ctrlProps/ctrlProp698.xml" ContentType="application/vnd.ms-excel.controlproperties+xml"/>
  <Override PartName="/xl/ctrlProps/ctrlProp699.xml" ContentType="application/vnd.ms-excel.controlproperties+xml"/>
  <Override PartName="/xl/ctrlProps/ctrlProp700.xml" ContentType="application/vnd.ms-excel.controlproperties+xml"/>
  <Override PartName="/xl/ctrlProps/ctrlProp701.xml" ContentType="application/vnd.ms-excel.controlproperties+xml"/>
  <Override PartName="/xl/ctrlProps/ctrlProp702.xml" ContentType="application/vnd.ms-excel.controlproperties+xml"/>
  <Override PartName="/xl/ctrlProps/ctrlProp703.xml" ContentType="application/vnd.ms-excel.controlproperties+xml"/>
  <Override PartName="/xl/ctrlProps/ctrlProp704.xml" ContentType="application/vnd.ms-excel.controlproperties+xml"/>
  <Override PartName="/xl/ctrlProps/ctrlProp705.xml" ContentType="application/vnd.ms-excel.controlproperties+xml"/>
  <Override PartName="/xl/ctrlProps/ctrlProp706.xml" ContentType="application/vnd.ms-excel.controlproperties+xml"/>
  <Override PartName="/xl/ctrlProps/ctrlProp707.xml" ContentType="application/vnd.ms-excel.controlproperties+xml"/>
  <Override PartName="/xl/ctrlProps/ctrlProp708.xml" ContentType="application/vnd.ms-excel.controlproperties+xml"/>
  <Override PartName="/xl/ctrlProps/ctrlProp709.xml" ContentType="application/vnd.ms-excel.controlproperties+xml"/>
  <Override PartName="/xl/ctrlProps/ctrlProp710.xml" ContentType="application/vnd.ms-excel.controlproperties+xml"/>
  <Override PartName="/xl/ctrlProps/ctrlProp711.xml" ContentType="application/vnd.ms-excel.controlproperties+xml"/>
  <Override PartName="/xl/ctrlProps/ctrlProp712.xml" ContentType="application/vnd.ms-excel.controlproperties+xml"/>
  <Override PartName="/xl/ctrlProps/ctrlProp713.xml" ContentType="application/vnd.ms-excel.controlproperties+xml"/>
  <Override PartName="/xl/ctrlProps/ctrlProp714.xml" ContentType="application/vnd.ms-excel.controlproperties+xml"/>
  <Override PartName="/xl/ctrlProps/ctrlProp715.xml" ContentType="application/vnd.ms-excel.controlproperties+xml"/>
  <Override PartName="/xl/ctrlProps/ctrlProp716.xml" ContentType="application/vnd.ms-excel.controlproperties+xml"/>
  <Override PartName="/xl/ctrlProps/ctrlProp717.xml" ContentType="application/vnd.ms-excel.controlproperties+xml"/>
  <Override PartName="/xl/ctrlProps/ctrlProp718.xml" ContentType="application/vnd.ms-excel.controlproperties+xml"/>
  <Override PartName="/xl/ctrlProps/ctrlProp719.xml" ContentType="application/vnd.ms-excel.controlproperties+xml"/>
  <Override PartName="/xl/ctrlProps/ctrlProp720.xml" ContentType="application/vnd.ms-excel.controlproperties+xml"/>
  <Override PartName="/xl/ctrlProps/ctrlProp721.xml" ContentType="application/vnd.ms-excel.controlproperties+xml"/>
  <Override PartName="/xl/ctrlProps/ctrlProp722.xml" ContentType="application/vnd.ms-excel.controlproperties+xml"/>
  <Override PartName="/xl/ctrlProps/ctrlProp723.xml" ContentType="application/vnd.ms-excel.controlproperties+xml"/>
  <Override PartName="/xl/ctrlProps/ctrlProp724.xml" ContentType="application/vnd.ms-excel.controlproperties+xml"/>
  <Override PartName="/xl/ctrlProps/ctrlProp725.xml" ContentType="application/vnd.ms-excel.controlproperties+xml"/>
  <Override PartName="/xl/ctrlProps/ctrlProp726.xml" ContentType="application/vnd.ms-excel.controlproperties+xml"/>
  <Override PartName="/xl/ctrlProps/ctrlProp727.xml" ContentType="application/vnd.ms-excel.controlproperties+xml"/>
  <Override PartName="/xl/ctrlProps/ctrlProp728.xml" ContentType="application/vnd.ms-excel.controlproperties+xml"/>
  <Override PartName="/xl/ctrlProps/ctrlProp729.xml" ContentType="application/vnd.ms-excel.controlproperties+xml"/>
  <Override PartName="/xl/ctrlProps/ctrlProp730.xml" ContentType="application/vnd.ms-excel.controlproperties+xml"/>
  <Override PartName="/xl/ctrlProps/ctrlProp731.xml" ContentType="application/vnd.ms-excel.controlproperties+xml"/>
  <Override PartName="/xl/ctrlProps/ctrlProp732.xml" ContentType="application/vnd.ms-excel.controlproperties+xml"/>
  <Override PartName="/xl/ctrlProps/ctrlProp733.xml" ContentType="application/vnd.ms-excel.controlproperties+xml"/>
  <Override PartName="/xl/ctrlProps/ctrlProp734.xml" ContentType="application/vnd.ms-excel.controlproperties+xml"/>
  <Override PartName="/xl/ctrlProps/ctrlProp735.xml" ContentType="application/vnd.ms-excel.controlproperties+xml"/>
  <Override PartName="/xl/ctrlProps/ctrlProp736.xml" ContentType="application/vnd.ms-excel.controlproperties+xml"/>
  <Override PartName="/xl/ctrlProps/ctrlProp737.xml" ContentType="application/vnd.ms-excel.controlproperties+xml"/>
  <Override PartName="/xl/ctrlProps/ctrlProp738.xml" ContentType="application/vnd.ms-excel.controlproperties+xml"/>
  <Override PartName="/xl/ctrlProps/ctrlProp739.xml" ContentType="application/vnd.ms-excel.controlproperties+xml"/>
  <Override PartName="/xl/ctrlProps/ctrlProp740.xml" ContentType="application/vnd.ms-excel.controlproperties+xml"/>
  <Override PartName="/xl/ctrlProps/ctrlProp741.xml" ContentType="application/vnd.ms-excel.controlproperties+xml"/>
  <Override PartName="/xl/ctrlProps/ctrlProp742.xml" ContentType="application/vnd.ms-excel.controlproperties+xml"/>
  <Override PartName="/xl/ctrlProps/ctrlProp743.xml" ContentType="application/vnd.ms-excel.controlproperties+xml"/>
  <Override PartName="/xl/ctrlProps/ctrlProp744.xml" ContentType="application/vnd.ms-excel.controlproperties+xml"/>
  <Override PartName="/xl/ctrlProps/ctrlProp745.xml" ContentType="application/vnd.ms-excel.controlproperties+xml"/>
  <Override PartName="/xl/ctrlProps/ctrlProp746.xml" ContentType="application/vnd.ms-excel.controlproperties+xml"/>
  <Override PartName="/xl/ctrlProps/ctrlProp747.xml" ContentType="application/vnd.ms-excel.controlproperties+xml"/>
  <Override PartName="/xl/ctrlProps/ctrlProp748.xml" ContentType="application/vnd.ms-excel.controlproperties+xml"/>
  <Override PartName="/xl/ctrlProps/ctrlProp749.xml" ContentType="application/vnd.ms-excel.controlproperties+xml"/>
  <Override PartName="/xl/ctrlProps/ctrlProp750.xml" ContentType="application/vnd.ms-excel.controlproperties+xml"/>
  <Override PartName="/xl/ctrlProps/ctrlProp751.xml" ContentType="application/vnd.ms-excel.controlproperties+xml"/>
  <Override PartName="/xl/ctrlProps/ctrlProp752.xml" ContentType="application/vnd.ms-excel.controlproperties+xml"/>
  <Override PartName="/xl/ctrlProps/ctrlProp753.xml" ContentType="application/vnd.ms-excel.controlproperties+xml"/>
  <Override PartName="/xl/ctrlProps/ctrlProp754.xml" ContentType="application/vnd.ms-excel.controlproperties+xml"/>
  <Override PartName="/xl/ctrlProps/ctrlProp755.xml" ContentType="application/vnd.ms-excel.controlproperties+xml"/>
  <Override PartName="/xl/ctrlProps/ctrlProp756.xml" ContentType="application/vnd.ms-excel.controlproperties+xml"/>
  <Override PartName="/xl/ctrlProps/ctrlProp757.xml" ContentType="application/vnd.ms-excel.controlproperties+xml"/>
  <Override PartName="/xl/ctrlProps/ctrlProp758.xml" ContentType="application/vnd.ms-excel.controlproperties+xml"/>
  <Override PartName="/xl/ctrlProps/ctrlProp759.xml" ContentType="application/vnd.ms-excel.controlproperties+xml"/>
  <Override PartName="/xl/ctrlProps/ctrlProp760.xml" ContentType="application/vnd.ms-excel.controlproperties+xml"/>
  <Override PartName="/xl/ctrlProps/ctrlProp761.xml" ContentType="application/vnd.ms-excel.controlproperties+xml"/>
  <Override PartName="/xl/ctrlProps/ctrlProp762.xml" ContentType="application/vnd.ms-excel.controlproperties+xml"/>
  <Override PartName="/xl/ctrlProps/ctrlProp763.xml" ContentType="application/vnd.ms-excel.controlproperties+xml"/>
  <Override PartName="/xl/ctrlProps/ctrlProp764.xml" ContentType="application/vnd.ms-excel.controlproperties+xml"/>
  <Override PartName="/xl/ctrlProps/ctrlProp765.xml" ContentType="application/vnd.ms-excel.controlproperties+xml"/>
  <Override PartName="/xl/ctrlProps/ctrlProp766.xml" ContentType="application/vnd.ms-excel.controlproperties+xml"/>
  <Override PartName="/xl/ctrlProps/ctrlProp767.xml" ContentType="application/vnd.ms-excel.controlproperties+xml"/>
  <Override PartName="/xl/ctrlProps/ctrlProp768.xml" ContentType="application/vnd.ms-excel.controlproperties+xml"/>
  <Override PartName="/xl/ctrlProps/ctrlProp769.xml" ContentType="application/vnd.ms-excel.controlproperties+xml"/>
  <Override PartName="/xl/ctrlProps/ctrlProp770.xml" ContentType="application/vnd.ms-excel.controlproperties+xml"/>
  <Override PartName="/xl/ctrlProps/ctrlProp771.xml" ContentType="application/vnd.ms-excel.controlproperties+xml"/>
  <Override PartName="/xl/ctrlProps/ctrlProp772.xml" ContentType="application/vnd.ms-excel.controlproperties+xml"/>
  <Override PartName="/xl/ctrlProps/ctrlProp773.xml" ContentType="application/vnd.ms-excel.controlproperties+xml"/>
  <Override PartName="/xl/ctrlProps/ctrlProp774.xml" ContentType="application/vnd.ms-excel.controlproperties+xml"/>
  <Override PartName="/xl/ctrlProps/ctrlProp775.xml" ContentType="application/vnd.ms-excel.controlproperties+xml"/>
  <Override PartName="/xl/ctrlProps/ctrlProp776.xml" ContentType="application/vnd.ms-excel.controlproperties+xml"/>
  <Override PartName="/xl/ctrlProps/ctrlProp777.xml" ContentType="application/vnd.ms-excel.controlproperties+xml"/>
  <Override PartName="/xl/ctrlProps/ctrlProp778.xml" ContentType="application/vnd.ms-excel.controlproperties+xml"/>
  <Override PartName="/xl/ctrlProps/ctrlProp779.xml" ContentType="application/vnd.ms-excel.controlproperties+xml"/>
  <Override PartName="/xl/ctrlProps/ctrlProp780.xml" ContentType="application/vnd.ms-excel.controlproperties+xml"/>
  <Override PartName="/xl/ctrlProps/ctrlProp781.xml" ContentType="application/vnd.ms-excel.controlproperties+xml"/>
  <Override PartName="/xl/ctrlProps/ctrlProp782.xml" ContentType="application/vnd.ms-excel.controlproperties+xml"/>
  <Override PartName="/xl/ctrlProps/ctrlProp783.xml" ContentType="application/vnd.ms-excel.controlproperties+xml"/>
  <Override PartName="/xl/ctrlProps/ctrlProp784.xml" ContentType="application/vnd.ms-excel.controlproperties+xml"/>
  <Override PartName="/xl/ctrlProps/ctrlProp785.xml" ContentType="application/vnd.ms-excel.controlproperties+xml"/>
  <Override PartName="/xl/ctrlProps/ctrlProp786.xml" ContentType="application/vnd.ms-excel.controlproperties+xml"/>
  <Override PartName="/xl/ctrlProps/ctrlProp787.xml" ContentType="application/vnd.ms-excel.controlproperties+xml"/>
  <Override PartName="/xl/ctrlProps/ctrlProp788.xml" ContentType="application/vnd.ms-excel.controlproperties+xml"/>
  <Override PartName="/xl/ctrlProps/ctrlProp789.xml" ContentType="application/vnd.ms-excel.controlproperties+xml"/>
  <Override PartName="/xl/ctrlProps/ctrlProp790.xml" ContentType="application/vnd.ms-excel.controlproperties+xml"/>
  <Override PartName="/xl/ctrlProps/ctrlProp791.xml" ContentType="application/vnd.ms-excel.controlproperties+xml"/>
  <Override PartName="/xl/ctrlProps/ctrlProp792.xml" ContentType="application/vnd.ms-excel.controlproperties+xml"/>
  <Override PartName="/xl/ctrlProps/ctrlProp793.xml" ContentType="application/vnd.ms-excel.controlproperties+xml"/>
  <Override PartName="/xl/ctrlProps/ctrlProp794.xml" ContentType="application/vnd.ms-excel.controlproperties+xml"/>
  <Override PartName="/xl/ctrlProps/ctrlProp795.xml" ContentType="application/vnd.ms-excel.controlproperties+xml"/>
  <Override PartName="/xl/ctrlProps/ctrlProp796.xml" ContentType="application/vnd.ms-excel.controlproperties+xml"/>
  <Override PartName="/xl/ctrlProps/ctrlProp797.xml" ContentType="application/vnd.ms-excel.controlproperties+xml"/>
  <Override PartName="/xl/ctrlProps/ctrlProp798.xml" ContentType="application/vnd.ms-excel.controlproperties+xml"/>
  <Override PartName="/xl/ctrlProps/ctrlProp799.xml" ContentType="application/vnd.ms-excel.controlproperties+xml"/>
  <Override PartName="/xl/ctrlProps/ctrlProp800.xml" ContentType="application/vnd.ms-excel.controlproperties+xml"/>
  <Override PartName="/xl/ctrlProps/ctrlProp801.xml" ContentType="application/vnd.ms-excel.controlproperties+xml"/>
  <Override PartName="/xl/ctrlProps/ctrlProp802.xml" ContentType="application/vnd.ms-excel.controlproperties+xml"/>
  <Override PartName="/xl/ctrlProps/ctrlProp803.xml" ContentType="application/vnd.ms-excel.controlproperties+xml"/>
  <Override PartName="/xl/ctrlProps/ctrlProp804.xml" ContentType="application/vnd.ms-excel.controlproperties+xml"/>
  <Override PartName="/xl/ctrlProps/ctrlProp805.xml" ContentType="application/vnd.ms-excel.controlproperties+xml"/>
  <Override PartName="/xl/ctrlProps/ctrlProp806.xml" ContentType="application/vnd.ms-excel.controlproperties+xml"/>
  <Override PartName="/xl/ctrlProps/ctrlProp807.xml" ContentType="application/vnd.ms-excel.controlproperties+xml"/>
  <Override PartName="/xl/ctrlProps/ctrlProp808.xml" ContentType="application/vnd.ms-excel.controlproperties+xml"/>
  <Override PartName="/xl/ctrlProps/ctrlProp809.xml" ContentType="application/vnd.ms-excel.controlproperties+xml"/>
  <Override PartName="/xl/ctrlProps/ctrlProp810.xml" ContentType="application/vnd.ms-excel.controlproperties+xml"/>
  <Override PartName="/xl/ctrlProps/ctrlProp811.xml" ContentType="application/vnd.ms-excel.controlproperties+xml"/>
  <Override PartName="/xl/ctrlProps/ctrlProp812.xml" ContentType="application/vnd.ms-excel.controlproperties+xml"/>
  <Override PartName="/xl/ctrlProps/ctrlProp813.xml" ContentType="application/vnd.ms-excel.controlproperties+xml"/>
  <Override PartName="/xl/ctrlProps/ctrlProp814.xml" ContentType="application/vnd.ms-excel.controlproperties+xml"/>
  <Override PartName="/xl/ctrlProps/ctrlProp815.xml" ContentType="application/vnd.ms-excel.controlproperties+xml"/>
  <Override PartName="/xl/ctrlProps/ctrlProp816.xml" ContentType="application/vnd.ms-excel.controlproperties+xml"/>
  <Override PartName="/xl/ctrlProps/ctrlProp817.xml" ContentType="application/vnd.ms-excel.controlproperties+xml"/>
  <Override PartName="/xl/ctrlProps/ctrlProp818.xml" ContentType="application/vnd.ms-excel.controlproperties+xml"/>
  <Override PartName="/xl/ctrlProps/ctrlProp819.xml" ContentType="application/vnd.ms-excel.controlproperties+xml"/>
  <Override PartName="/xl/ctrlProps/ctrlProp820.xml" ContentType="application/vnd.ms-excel.controlproperties+xml"/>
  <Override PartName="/xl/ctrlProps/ctrlProp821.xml" ContentType="application/vnd.ms-excel.controlproperties+xml"/>
  <Override PartName="/xl/ctrlProps/ctrlProp822.xml" ContentType="application/vnd.ms-excel.controlproperties+xml"/>
  <Override PartName="/xl/ctrlProps/ctrlProp823.xml" ContentType="application/vnd.ms-excel.controlproperties+xml"/>
  <Override PartName="/xl/ctrlProps/ctrlProp824.xml" ContentType="application/vnd.ms-excel.controlproperties+xml"/>
  <Override PartName="/xl/ctrlProps/ctrlProp825.xml" ContentType="application/vnd.ms-excel.controlproperties+xml"/>
  <Override PartName="/xl/ctrlProps/ctrlProp826.xml" ContentType="application/vnd.ms-excel.controlproperties+xml"/>
  <Override PartName="/xl/ctrlProps/ctrlProp827.xml" ContentType="application/vnd.ms-excel.controlproperties+xml"/>
  <Override PartName="/xl/ctrlProps/ctrlProp828.xml" ContentType="application/vnd.ms-excel.controlproperties+xml"/>
  <Override PartName="/xl/ctrlProps/ctrlProp829.xml" ContentType="application/vnd.ms-excel.controlproperties+xml"/>
  <Override PartName="/xl/ctrlProps/ctrlProp830.xml" ContentType="application/vnd.ms-excel.controlproperties+xml"/>
  <Override PartName="/xl/ctrlProps/ctrlProp831.xml" ContentType="application/vnd.ms-excel.controlproperties+xml"/>
  <Override PartName="/xl/ctrlProps/ctrlProp832.xml" ContentType="application/vnd.ms-excel.controlproperties+xml"/>
  <Override PartName="/xl/ctrlProps/ctrlProp833.xml" ContentType="application/vnd.ms-excel.controlproperties+xml"/>
  <Override PartName="/xl/ctrlProps/ctrlProp834.xml" ContentType="application/vnd.ms-excel.controlproperties+xml"/>
  <Override PartName="/xl/ctrlProps/ctrlProp835.xml" ContentType="application/vnd.ms-excel.controlproperties+xml"/>
  <Override PartName="/xl/ctrlProps/ctrlProp836.xml" ContentType="application/vnd.ms-excel.controlproperties+xml"/>
  <Override PartName="/xl/ctrlProps/ctrlProp837.xml" ContentType="application/vnd.ms-excel.controlproperties+xml"/>
  <Override PartName="/xl/ctrlProps/ctrlProp838.xml" ContentType="application/vnd.ms-excel.controlproperties+xml"/>
  <Override PartName="/xl/ctrlProps/ctrlProp839.xml" ContentType="application/vnd.ms-excel.controlproperties+xml"/>
  <Override PartName="/xl/ctrlProps/ctrlProp840.xml" ContentType="application/vnd.ms-excel.controlproperties+xml"/>
  <Override PartName="/xl/ctrlProps/ctrlProp841.xml" ContentType="application/vnd.ms-excel.controlproperties+xml"/>
  <Override PartName="/xl/ctrlProps/ctrlProp842.xml" ContentType="application/vnd.ms-excel.controlproperties+xml"/>
  <Override PartName="/xl/ctrlProps/ctrlProp843.xml" ContentType="application/vnd.ms-excel.controlproperties+xml"/>
  <Override PartName="/xl/ctrlProps/ctrlProp844.xml" ContentType="application/vnd.ms-excel.controlproperties+xml"/>
  <Override PartName="/xl/ctrlProps/ctrlProp845.xml" ContentType="application/vnd.ms-excel.controlproperties+xml"/>
  <Override PartName="/xl/ctrlProps/ctrlProp846.xml" ContentType="application/vnd.ms-excel.controlproperties+xml"/>
  <Override PartName="/xl/ctrlProps/ctrlProp847.xml" ContentType="application/vnd.ms-excel.controlproperties+xml"/>
  <Override PartName="/xl/ctrlProps/ctrlProp848.xml" ContentType="application/vnd.ms-excel.controlproperties+xml"/>
  <Override PartName="/xl/ctrlProps/ctrlProp849.xml" ContentType="application/vnd.ms-excel.controlproperties+xml"/>
  <Override PartName="/xl/ctrlProps/ctrlProp850.xml" ContentType="application/vnd.ms-excel.controlproperties+xml"/>
  <Override PartName="/xl/ctrlProps/ctrlProp851.xml" ContentType="application/vnd.ms-excel.controlproperties+xml"/>
  <Override PartName="/xl/ctrlProps/ctrlProp852.xml" ContentType="application/vnd.ms-excel.controlproperties+xml"/>
  <Override PartName="/xl/ctrlProps/ctrlProp853.xml" ContentType="application/vnd.ms-excel.controlproperties+xml"/>
  <Override PartName="/xl/ctrlProps/ctrlProp854.xml" ContentType="application/vnd.ms-excel.controlproperties+xml"/>
  <Override PartName="/xl/ctrlProps/ctrlProp855.xml" ContentType="application/vnd.ms-excel.controlproperties+xml"/>
  <Override PartName="/xl/ctrlProps/ctrlProp856.xml" ContentType="application/vnd.ms-excel.controlproperties+xml"/>
  <Override PartName="/xl/ctrlProps/ctrlProp857.xml" ContentType="application/vnd.ms-excel.controlproperties+xml"/>
  <Override PartName="/xl/ctrlProps/ctrlProp858.xml" ContentType="application/vnd.ms-excel.controlproperties+xml"/>
  <Override PartName="/xl/ctrlProps/ctrlProp859.xml" ContentType="application/vnd.ms-excel.controlproperties+xml"/>
  <Override PartName="/xl/ctrlProps/ctrlProp860.xml" ContentType="application/vnd.ms-excel.controlproperties+xml"/>
  <Override PartName="/xl/ctrlProps/ctrlProp861.xml" ContentType="application/vnd.ms-excel.controlproperties+xml"/>
  <Override PartName="/xl/ctrlProps/ctrlProp862.xml" ContentType="application/vnd.ms-excel.controlproperties+xml"/>
  <Override PartName="/xl/ctrlProps/ctrlProp863.xml" ContentType="application/vnd.ms-excel.controlproperties+xml"/>
  <Override PartName="/xl/ctrlProps/ctrlProp864.xml" ContentType="application/vnd.ms-excel.controlproperties+xml"/>
  <Override PartName="/xl/ctrlProps/ctrlProp865.xml" ContentType="application/vnd.ms-excel.controlproperties+xml"/>
  <Override PartName="/xl/ctrlProps/ctrlProp866.xml" ContentType="application/vnd.ms-excel.controlproperties+xml"/>
  <Override PartName="/xl/ctrlProps/ctrlProp867.xml" ContentType="application/vnd.ms-excel.controlproperties+xml"/>
  <Override PartName="/xl/ctrlProps/ctrlProp868.xml" ContentType="application/vnd.ms-excel.controlproperties+xml"/>
  <Override PartName="/xl/ctrlProps/ctrlProp869.xml" ContentType="application/vnd.ms-excel.controlproperties+xml"/>
  <Override PartName="/xl/ctrlProps/ctrlProp870.xml" ContentType="application/vnd.ms-excel.controlproperties+xml"/>
  <Override PartName="/xl/ctrlProps/ctrlProp871.xml" ContentType="application/vnd.ms-excel.controlproperties+xml"/>
  <Override PartName="/xl/ctrlProps/ctrlProp872.xml" ContentType="application/vnd.ms-excel.controlproperties+xml"/>
  <Override PartName="/xl/ctrlProps/ctrlProp873.xml" ContentType="application/vnd.ms-excel.controlproperties+xml"/>
  <Override PartName="/xl/ctrlProps/ctrlProp874.xml" ContentType="application/vnd.ms-excel.controlproperties+xml"/>
  <Override PartName="/xl/ctrlProps/ctrlProp875.xml" ContentType="application/vnd.ms-excel.controlproperties+xml"/>
  <Override PartName="/xl/ctrlProps/ctrlProp876.xml" ContentType="application/vnd.ms-excel.controlproperties+xml"/>
  <Override PartName="/xl/ctrlProps/ctrlProp877.xml" ContentType="application/vnd.ms-excel.controlproperties+xml"/>
  <Override PartName="/xl/ctrlProps/ctrlProp878.xml" ContentType="application/vnd.ms-excel.controlproperties+xml"/>
  <Override PartName="/xl/ctrlProps/ctrlProp879.xml" ContentType="application/vnd.ms-excel.controlproperties+xml"/>
  <Override PartName="/xl/ctrlProps/ctrlProp880.xml" ContentType="application/vnd.ms-excel.controlproperties+xml"/>
  <Override PartName="/xl/ctrlProps/ctrlProp881.xml" ContentType="application/vnd.ms-excel.controlproperties+xml"/>
  <Override PartName="/xl/ctrlProps/ctrlProp882.xml" ContentType="application/vnd.ms-excel.controlproperties+xml"/>
  <Override PartName="/xl/ctrlProps/ctrlProp883.xml" ContentType="application/vnd.ms-excel.controlproperties+xml"/>
  <Override PartName="/xl/ctrlProps/ctrlProp884.xml" ContentType="application/vnd.ms-excel.controlproperties+xml"/>
  <Override PartName="/xl/ctrlProps/ctrlProp885.xml" ContentType="application/vnd.ms-excel.controlproperties+xml"/>
  <Override PartName="/xl/ctrlProps/ctrlProp886.xml" ContentType="application/vnd.ms-excel.controlproperties+xml"/>
  <Override PartName="/xl/ctrlProps/ctrlProp887.xml" ContentType="application/vnd.ms-excel.controlproperties+xml"/>
  <Override PartName="/xl/ctrlProps/ctrlProp888.xml" ContentType="application/vnd.ms-excel.controlproperties+xml"/>
  <Override PartName="/xl/ctrlProps/ctrlProp889.xml" ContentType="application/vnd.ms-excel.controlproperties+xml"/>
  <Override PartName="/xl/ctrlProps/ctrlProp890.xml" ContentType="application/vnd.ms-excel.controlproperties+xml"/>
  <Override PartName="/xl/ctrlProps/ctrlProp891.xml" ContentType="application/vnd.ms-excel.controlproperties+xml"/>
  <Override PartName="/xl/ctrlProps/ctrlProp892.xml" ContentType="application/vnd.ms-excel.controlproperties+xml"/>
  <Override PartName="/xl/ctrlProps/ctrlProp893.xml" ContentType="application/vnd.ms-excel.controlproperties+xml"/>
  <Override PartName="/xl/ctrlProps/ctrlProp894.xml" ContentType="application/vnd.ms-excel.controlproperties+xml"/>
  <Override PartName="/xl/ctrlProps/ctrlProp895.xml" ContentType="application/vnd.ms-excel.controlproperties+xml"/>
  <Override PartName="/xl/ctrlProps/ctrlProp896.xml" ContentType="application/vnd.ms-excel.controlproperties+xml"/>
  <Override PartName="/xl/ctrlProps/ctrlProp897.xml" ContentType="application/vnd.ms-excel.controlproperties+xml"/>
  <Override PartName="/xl/ctrlProps/ctrlProp898.xml" ContentType="application/vnd.ms-excel.controlproperties+xml"/>
  <Override PartName="/xl/ctrlProps/ctrlProp899.xml" ContentType="application/vnd.ms-excel.controlproperties+xml"/>
  <Override PartName="/xl/ctrlProps/ctrlProp900.xml" ContentType="application/vnd.ms-excel.controlproperties+xml"/>
  <Override PartName="/xl/ctrlProps/ctrlProp901.xml" ContentType="application/vnd.ms-excel.controlproperties+xml"/>
  <Override PartName="/xl/ctrlProps/ctrlProp902.xml" ContentType="application/vnd.ms-excel.controlproperties+xml"/>
  <Override PartName="/xl/ctrlProps/ctrlProp903.xml" ContentType="application/vnd.ms-excel.controlproperties+xml"/>
  <Override PartName="/xl/ctrlProps/ctrlProp904.xml" ContentType="application/vnd.ms-excel.controlproperties+xml"/>
  <Override PartName="/xl/ctrlProps/ctrlProp905.xml" ContentType="application/vnd.ms-excel.controlproperties+xml"/>
  <Override PartName="/xl/ctrlProps/ctrlProp906.xml" ContentType="application/vnd.ms-excel.controlproperties+xml"/>
  <Override PartName="/xl/ctrlProps/ctrlProp907.xml" ContentType="application/vnd.ms-excel.controlproperties+xml"/>
  <Override PartName="/xl/ctrlProps/ctrlProp908.xml" ContentType="application/vnd.ms-excel.controlproperties+xml"/>
  <Override PartName="/xl/ctrlProps/ctrlProp909.xml" ContentType="application/vnd.ms-excel.controlproperties+xml"/>
  <Override PartName="/xl/ctrlProps/ctrlProp910.xml" ContentType="application/vnd.ms-excel.controlproperties+xml"/>
  <Override PartName="/xl/ctrlProps/ctrlProp911.xml" ContentType="application/vnd.ms-excel.controlproperties+xml"/>
  <Override PartName="/xl/ctrlProps/ctrlProp912.xml" ContentType="application/vnd.ms-excel.controlproperties+xml"/>
  <Override PartName="/xl/ctrlProps/ctrlProp913.xml" ContentType="application/vnd.ms-excel.controlproperties+xml"/>
  <Override PartName="/xl/ctrlProps/ctrlProp914.xml" ContentType="application/vnd.ms-excel.controlproperties+xml"/>
  <Override PartName="/xl/ctrlProps/ctrlProp915.xml" ContentType="application/vnd.ms-excel.controlproperties+xml"/>
  <Override PartName="/xl/ctrlProps/ctrlProp916.xml" ContentType="application/vnd.ms-excel.controlproperties+xml"/>
  <Override PartName="/xl/ctrlProps/ctrlProp917.xml" ContentType="application/vnd.ms-excel.controlproperties+xml"/>
  <Override PartName="/xl/ctrlProps/ctrlProp918.xml" ContentType="application/vnd.ms-excel.controlproperties+xml"/>
  <Override PartName="/xl/ctrlProps/ctrlProp919.xml" ContentType="application/vnd.ms-excel.controlproperties+xml"/>
  <Override PartName="/xl/ctrlProps/ctrlProp920.xml" ContentType="application/vnd.ms-excel.controlproperties+xml"/>
  <Override PartName="/xl/ctrlProps/ctrlProp921.xml" ContentType="application/vnd.ms-excel.controlproperties+xml"/>
  <Override PartName="/xl/ctrlProps/ctrlProp922.xml" ContentType="application/vnd.ms-excel.controlproperties+xml"/>
  <Override PartName="/xl/ctrlProps/ctrlProp923.xml" ContentType="application/vnd.ms-excel.controlproperties+xml"/>
  <Override PartName="/xl/ctrlProps/ctrlProp924.xml" ContentType="application/vnd.ms-excel.controlproperties+xml"/>
  <Override PartName="/xl/ctrlProps/ctrlProp925.xml" ContentType="application/vnd.ms-excel.controlproperties+xml"/>
  <Override PartName="/xl/ctrlProps/ctrlProp926.xml" ContentType="application/vnd.ms-excel.controlproperties+xml"/>
  <Override PartName="/xl/ctrlProps/ctrlProp927.xml" ContentType="application/vnd.ms-excel.controlproperties+xml"/>
  <Override PartName="/xl/ctrlProps/ctrlProp928.xml" ContentType="application/vnd.ms-excel.controlproperties+xml"/>
  <Override PartName="/xl/ctrlProps/ctrlProp929.xml" ContentType="application/vnd.ms-excel.controlproperties+xml"/>
  <Override PartName="/xl/ctrlProps/ctrlProp930.xml" ContentType="application/vnd.ms-excel.controlproperties+xml"/>
  <Override PartName="/xl/ctrlProps/ctrlProp931.xml" ContentType="application/vnd.ms-excel.controlproperties+xml"/>
  <Override PartName="/xl/ctrlProps/ctrlProp932.xml" ContentType="application/vnd.ms-excel.controlproperties+xml"/>
  <Override PartName="/xl/ctrlProps/ctrlProp933.xml" ContentType="application/vnd.ms-excel.controlproperties+xml"/>
  <Override PartName="/xl/ctrlProps/ctrlProp934.xml" ContentType="application/vnd.ms-excel.controlproperties+xml"/>
  <Override PartName="/xl/ctrlProps/ctrlProp935.xml" ContentType="application/vnd.ms-excel.controlproperties+xml"/>
  <Override PartName="/xl/ctrlProps/ctrlProp936.xml" ContentType="application/vnd.ms-excel.controlproperties+xml"/>
  <Override PartName="/xl/ctrlProps/ctrlProp937.xml" ContentType="application/vnd.ms-excel.controlproperties+xml"/>
  <Override PartName="/xl/ctrlProps/ctrlProp938.xml" ContentType="application/vnd.ms-excel.controlproperties+xml"/>
  <Override PartName="/xl/ctrlProps/ctrlProp939.xml" ContentType="application/vnd.ms-excel.controlproperties+xml"/>
  <Override PartName="/xl/ctrlProps/ctrlProp940.xml" ContentType="application/vnd.ms-excel.controlproperties+xml"/>
  <Override PartName="/xl/ctrlProps/ctrlProp941.xml" ContentType="application/vnd.ms-excel.controlproperties+xml"/>
  <Override PartName="/xl/ctrlProps/ctrlProp942.xml" ContentType="application/vnd.ms-excel.controlproperties+xml"/>
  <Override PartName="/xl/ctrlProps/ctrlProp943.xml" ContentType="application/vnd.ms-excel.controlproperties+xml"/>
  <Override PartName="/xl/ctrlProps/ctrlProp944.xml" ContentType="application/vnd.ms-excel.controlproperties+xml"/>
  <Override PartName="/xl/ctrlProps/ctrlProp945.xml" ContentType="application/vnd.ms-excel.controlproperties+xml"/>
  <Override PartName="/xl/ctrlProps/ctrlProp946.xml" ContentType="application/vnd.ms-excel.controlproperties+xml"/>
  <Override PartName="/xl/ctrlProps/ctrlProp947.xml" ContentType="application/vnd.ms-excel.controlproperties+xml"/>
  <Override PartName="/xl/ctrlProps/ctrlProp948.xml" ContentType="application/vnd.ms-excel.controlproperties+xml"/>
  <Override PartName="/xl/ctrlProps/ctrlProp949.xml" ContentType="application/vnd.ms-excel.controlproperties+xml"/>
  <Override PartName="/xl/ctrlProps/ctrlProp950.xml" ContentType="application/vnd.ms-excel.controlproperties+xml"/>
  <Override PartName="/xl/ctrlProps/ctrlProp951.xml" ContentType="application/vnd.ms-excel.controlproperties+xml"/>
  <Override PartName="/xl/ctrlProps/ctrlProp952.xml" ContentType="application/vnd.ms-excel.controlproperties+xml"/>
  <Override PartName="/xl/ctrlProps/ctrlProp953.xml" ContentType="application/vnd.ms-excel.controlproperties+xml"/>
  <Override PartName="/xl/ctrlProps/ctrlProp954.xml" ContentType="application/vnd.ms-excel.controlproperties+xml"/>
  <Override PartName="/xl/ctrlProps/ctrlProp955.xml" ContentType="application/vnd.ms-excel.controlproperties+xml"/>
  <Override PartName="/xl/ctrlProps/ctrlProp956.xml" ContentType="application/vnd.ms-excel.controlproperties+xml"/>
  <Override PartName="/xl/ctrlProps/ctrlProp957.xml" ContentType="application/vnd.ms-excel.controlproperties+xml"/>
  <Override PartName="/xl/ctrlProps/ctrlProp958.xml" ContentType="application/vnd.ms-excel.controlproperties+xml"/>
  <Override PartName="/xl/ctrlProps/ctrlProp959.xml" ContentType="application/vnd.ms-excel.controlproperties+xml"/>
  <Override PartName="/xl/ctrlProps/ctrlProp960.xml" ContentType="application/vnd.ms-excel.controlproperties+xml"/>
  <Override PartName="/xl/ctrlProps/ctrlProp961.xml" ContentType="application/vnd.ms-excel.controlproperties+xml"/>
  <Override PartName="/xl/ctrlProps/ctrlProp962.xml" ContentType="application/vnd.ms-excel.controlproperties+xml"/>
  <Override PartName="/xl/ctrlProps/ctrlProp963.xml" ContentType="application/vnd.ms-excel.controlproperties+xml"/>
  <Override PartName="/xl/ctrlProps/ctrlProp964.xml" ContentType="application/vnd.ms-excel.controlproperties+xml"/>
  <Override PartName="/xl/ctrlProps/ctrlProp965.xml" ContentType="application/vnd.ms-excel.controlproperties+xml"/>
  <Override PartName="/xl/ctrlProps/ctrlProp966.xml" ContentType="application/vnd.ms-excel.controlproperties+xml"/>
  <Override PartName="/xl/ctrlProps/ctrlProp967.xml" ContentType="application/vnd.ms-excel.controlproperties+xml"/>
  <Override PartName="/xl/ctrlProps/ctrlProp968.xml" ContentType="application/vnd.ms-excel.controlproperties+xml"/>
  <Override PartName="/xl/ctrlProps/ctrlProp969.xml" ContentType="application/vnd.ms-excel.controlproperties+xml"/>
  <Override PartName="/xl/ctrlProps/ctrlProp970.xml" ContentType="application/vnd.ms-excel.controlproperties+xml"/>
  <Override PartName="/xl/ctrlProps/ctrlProp971.xml" ContentType="application/vnd.ms-excel.controlproperties+xml"/>
  <Override PartName="/xl/ctrlProps/ctrlProp972.xml" ContentType="application/vnd.ms-excel.controlproperties+xml"/>
  <Override PartName="/xl/ctrlProps/ctrlProp973.xml" ContentType="application/vnd.ms-excel.controlproperties+xml"/>
  <Override PartName="/xl/ctrlProps/ctrlProp974.xml" ContentType="application/vnd.ms-excel.controlproperties+xml"/>
  <Override PartName="/xl/ctrlProps/ctrlProp975.xml" ContentType="application/vnd.ms-excel.controlproperties+xml"/>
  <Override PartName="/xl/ctrlProps/ctrlProp976.xml" ContentType="application/vnd.ms-excel.controlproperties+xml"/>
  <Override PartName="/xl/ctrlProps/ctrlProp977.xml" ContentType="application/vnd.ms-excel.controlproperties+xml"/>
  <Override PartName="/xl/ctrlProps/ctrlProp978.xml" ContentType="application/vnd.ms-excel.controlproperties+xml"/>
  <Override PartName="/xl/ctrlProps/ctrlProp979.xml" ContentType="application/vnd.ms-excel.controlproperties+xml"/>
  <Override PartName="/xl/ctrlProps/ctrlProp980.xml" ContentType="application/vnd.ms-excel.controlproperties+xml"/>
  <Override PartName="/xl/ctrlProps/ctrlProp981.xml" ContentType="application/vnd.ms-excel.controlproperties+xml"/>
  <Override PartName="/xl/ctrlProps/ctrlProp982.xml" ContentType="application/vnd.ms-excel.controlproperties+xml"/>
  <Override PartName="/xl/ctrlProps/ctrlProp983.xml" ContentType="application/vnd.ms-excel.controlproperties+xml"/>
  <Override PartName="/xl/ctrlProps/ctrlProp984.xml" ContentType="application/vnd.ms-excel.controlproperties+xml"/>
  <Override PartName="/xl/ctrlProps/ctrlProp985.xml" ContentType="application/vnd.ms-excel.controlproperties+xml"/>
  <Override PartName="/xl/ctrlProps/ctrlProp986.xml" ContentType="application/vnd.ms-excel.controlproperties+xml"/>
  <Override PartName="/xl/ctrlProps/ctrlProp987.xml" ContentType="application/vnd.ms-excel.controlproperties+xml"/>
  <Override PartName="/xl/ctrlProps/ctrlProp988.xml" ContentType="application/vnd.ms-excel.controlproperties+xml"/>
  <Override PartName="/xl/ctrlProps/ctrlProp989.xml" ContentType="application/vnd.ms-excel.controlproperties+xml"/>
  <Override PartName="/xl/ctrlProps/ctrlProp990.xml" ContentType="application/vnd.ms-excel.controlproperties+xml"/>
  <Override PartName="/xl/ctrlProps/ctrlProp991.xml" ContentType="application/vnd.ms-excel.controlproperties+xml"/>
  <Override PartName="/xl/ctrlProps/ctrlProp992.xml" ContentType="application/vnd.ms-excel.controlproperties+xml"/>
  <Override PartName="/xl/ctrlProps/ctrlProp993.xml" ContentType="application/vnd.ms-excel.controlproperties+xml"/>
  <Override PartName="/xl/ctrlProps/ctrlProp994.xml" ContentType="application/vnd.ms-excel.controlproperties+xml"/>
  <Override PartName="/xl/ctrlProps/ctrlProp995.xml" ContentType="application/vnd.ms-excel.controlproperties+xml"/>
  <Override PartName="/xl/ctrlProps/ctrlProp996.xml" ContentType="application/vnd.ms-excel.controlproperties+xml"/>
  <Override PartName="/xl/ctrlProps/ctrlProp997.xml" ContentType="application/vnd.ms-excel.controlproperties+xml"/>
  <Override PartName="/xl/ctrlProps/ctrlProp998.xml" ContentType="application/vnd.ms-excel.controlproperties+xml"/>
  <Override PartName="/xl/ctrlProps/ctrlProp999.xml" ContentType="application/vnd.ms-excel.controlproperties+xml"/>
  <Override PartName="/xl/ctrlProps/ctrlProp1000.xml" ContentType="application/vnd.ms-excel.controlproperties+xml"/>
  <Override PartName="/xl/ctrlProps/ctrlProp1001.xml" ContentType="application/vnd.ms-excel.controlproperties+xml"/>
  <Override PartName="/xl/ctrlProps/ctrlProp1002.xml" ContentType="application/vnd.ms-excel.controlproperties+xml"/>
  <Override PartName="/xl/ctrlProps/ctrlProp1003.xml" ContentType="application/vnd.ms-excel.controlproperties+xml"/>
  <Override PartName="/xl/ctrlProps/ctrlProp1004.xml" ContentType="application/vnd.ms-excel.controlproperties+xml"/>
  <Override PartName="/xl/ctrlProps/ctrlProp1005.xml" ContentType="application/vnd.ms-excel.controlproperties+xml"/>
  <Override PartName="/xl/ctrlProps/ctrlProp1006.xml" ContentType="application/vnd.ms-excel.controlproperties+xml"/>
  <Override PartName="/xl/ctrlProps/ctrlProp1007.xml" ContentType="application/vnd.ms-excel.controlproperties+xml"/>
  <Override PartName="/xl/ctrlProps/ctrlProp1008.xml" ContentType="application/vnd.ms-excel.controlproperties+xml"/>
  <Override PartName="/xl/ctrlProps/ctrlProp1009.xml" ContentType="application/vnd.ms-excel.controlproperties+xml"/>
  <Override PartName="/xl/ctrlProps/ctrlProp1010.xml" ContentType="application/vnd.ms-excel.controlproperties+xml"/>
  <Override PartName="/xl/ctrlProps/ctrlProp1011.xml" ContentType="application/vnd.ms-excel.controlproperties+xml"/>
  <Override PartName="/xl/ctrlProps/ctrlProp1012.xml" ContentType="application/vnd.ms-excel.controlproperties+xml"/>
  <Override PartName="/xl/ctrlProps/ctrlProp1013.xml" ContentType="application/vnd.ms-excel.controlproperties+xml"/>
  <Override PartName="/xl/ctrlProps/ctrlProp1014.xml" ContentType="application/vnd.ms-excel.controlproperties+xml"/>
  <Override PartName="/xl/ctrlProps/ctrlProp1015.xml" ContentType="application/vnd.ms-excel.controlproperties+xml"/>
  <Override PartName="/xl/ctrlProps/ctrlProp1016.xml" ContentType="application/vnd.ms-excel.controlproperties+xml"/>
  <Override PartName="/xl/ctrlProps/ctrlProp1017.xml" ContentType="application/vnd.ms-excel.controlproperties+xml"/>
  <Override PartName="/xl/ctrlProps/ctrlProp1018.xml" ContentType="application/vnd.ms-excel.controlproperties+xml"/>
  <Override PartName="/xl/ctrlProps/ctrlProp1019.xml" ContentType="application/vnd.ms-excel.controlproperties+xml"/>
  <Override PartName="/xl/ctrlProps/ctrlProp1020.xml" ContentType="application/vnd.ms-excel.controlproperties+xml"/>
  <Override PartName="/xl/ctrlProps/ctrlProp1021.xml" ContentType="application/vnd.ms-excel.controlproperties+xml"/>
  <Override PartName="/xl/ctrlProps/ctrlProp1022.xml" ContentType="application/vnd.ms-excel.controlproperties+xml"/>
  <Override PartName="/xl/ctrlProps/ctrlProp1023.xml" ContentType="application/vnd.ms-excel.controlproperties+xml"/>
  <Override PartName="/xl/ctrlProps/ctrlProp1024.xml" ContentType="application/vnd.ms-excel.controlproperties+xml"/>
  <Override PartName="/xl/ctrlProps/ctrlProp1025.xml" ContentType="application/vnd.ms-excel.controlproperties+xml"/>
  <Override PartName="/xl/ctrlProps/ctrlProp1026.xml" ContentType="application/vnd.ms-excel.controlproperties+xml"/>
  <Override PartName="/xl/ctrlProps/ctrlProp1027.xml" ContentType="application/vnd.ms-excel.controlproperties+xml"/>
  <Override PartName="/xl/ctrlProps/ctrlProp1028.xml" ContentType="application/vnd.ms-excel.controlproperties+xml"/>
  <Override PartName="/xl/ctrlProps/ctrlProp1029.xml" ContentType="application/vnd.ms-excel.controlproperties+xml"/>
  <Override PartName="/xl/ctrlProps/ctrlProp1030.xml" ContentType="application/vnd.ms-excel.controlproperties+xml"/>
  <Override PartName="/xl/ctrlProps/ctrlProp1031.xml" ContentType="application/vnd.ms-excel.controlproperties+xml"/>
  <Override PartName="/xl/ctrlProps/ctrlProp1032.xml" ContentType="application/vnd.ms-excel.controlproperties+xml"/>
  <Override PartName="/xl/ctrlProps/ctrlProp1033.xml" ContentType="application/vnd.ms-excel.controlproperties+xml"/>
  <Override PartName="/xl/ctrlProps/ctrlProp1034.xml" ContentType="application/vnd.ms-excel.controlproperties+xml"/>
  <Override PartName="/xl/ctrlProps/ctrlProp1035.xml" ContentType="application/vnd.ms-excel.controlproperties+xml"/>
  <Override PartName="/xl/ctrlProps/ctrlProp1036.xml" ContentType="application/vnd.ms-excel.controlproperties+xml"/>
  <Override PartName="/xl/ctrlProps/ctrlProp1037.xml" ContentType="application/vnd.ms-excel.controlproperties+xml"/>
  <Override PartName="/xl/ctrlProps/ctrlProp1038.xml" ContentType="application/vnd.ms-excel.controlproperties+xml"/>
  <Override PartName="/xl/ctrlProps/ctrlProp1039.xml" ContentType="application/vnd.ms-excel.controlproperties+xml"/>
  <Override PartName="/xl/ctrlProps/ctrlProp1040.xml" ContentType="application/vnd.ms-excel.controlproperties+xml"/>
  <Override PartName="/xl/ctrlProps/ctrlProp1041.xml" ContentType="application/vnd.ms-excel.controlproperties+xml"/>
  <Override PartName="/xl/ctrlProps/ctrlProp1042.xml" ContentType="application/vnd.ms-excel.controlproperties+xml"/>
  <Override PartName="/xl/ctrlProps/ctrlProp1043.xml" ContentType="application/vnd.ms-excel.controlproperties+xml"/>
  <Override PartName="/xl/ctrlProps/ctrlProp1044.xml" ContentType="application/vnd.ms-excel.controlproperties+xml"/>
  <Override PartName="/xl/ctrlProps/ctrlProp1045.xml" ContentType="application/vnd.ms-excel.controlproperties+xml"/>
  <Override PartName="/xl/ctrlProps/ctrlProp1046.xml" ContentType="application/vnd.ms-excel.controlproperties+xml"/>
  <Override PartName="/xl/ctrlProps/ctrlProp1047.xml" ContentType="application/vnd.ms-excel.controlproperties+xml"/>
  <Override PartName="/xl/ctrlProps/ctrlProp1048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4.xml" ContentType="application/vnd.openxmlformats-officedocument.drawing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drawings/drawing5.xml" ContentType="application/vnd.openxmlformats-officedocument.drawing+xml"/>
  <Override PartName="/xl/ctrlProps/ctrlProp1049.xml" ContentType="application/vnd.ms-excel.controlproperties+xml"/>
  <Override PartName="/xl/ctrlProps/ctrlProp1050.xml" ContentType="application/vnd.ms-excel.controlproperties+xml"/>
  <Override PartName="/xl/ctrlProps/ctrlProp1051.xml" ContentType="application/vnd.ms-excel.controlpropertie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omments5.xml" ContentType="application/vnd.openxmlformats-officedocument.spreadsheetml.comments+xml"/>
  <Override PartName="/xl/drawings/drawing9.xml" ContentType="application/vnd.openxmlformats-officedocument.drawing+xml"/>
  <Override PartName="/xl/comments6.xml" ContentType="application/vnd.openxmlformats-officedocument.spreadsheetml.comments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codeName="EstaPastaDeTrabalho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c0c8436bbcd5584/Repositórios/Processos-de-automatiza-o-de-empresa/"/>
    </mc:Choice>
  </mc:AlternateContent>
  <xr:revisionPtr revIDLastSave="0" documentId="8_{9CE9E9D8-4381-4E9C-8200-4C46ED7677EC}" xr6:coauthVersionLast="47" xr6:coauthVersionMax="47" xr10:uidLastSave="{00000000-0000-0000-0000-000000000000}"/>
  <bookViews>
    <workbookView xWindow="-19320" yWindow="-120" windowWidth="19440" windowHeight="15150" tabRatio="754" firstSheet="8" activeTab="8" xr2:uid="{CCC3692E-2320-453F-AC08-16D39B45A739}"/>
  </bookViews>
  <sheets>
    <sheet name="CARGA ESTIMADA 1" sheetId="48" r:id="rId1"/>
    <sheet name="FD" sheetId="47" r:id="rId2"/>
    <sheet name="FD EQUIP 1" sheetId="52" r:id="rId3"/>
    <sheet name="REDE DE DUTOS" sheetId="20" r:id="rId4"/>
    <sheet name="PC" sheetId="26" r:id="rId5"/>
    <sheet name="CADASTRO EQUIPAMENTOS" sheetId="30" r:id="rId6"/>
    <sheet name="INDUSTRIAL" sheetId="31" r:id="rId7"/>
    <sheet name="CARGAS ELÉTRICAS" sheetId="54" r:id="rId8"/>
    <sheet name="AUX5-CUSTOS" sheetId="34" r:id="rId9"/>
    <sheet name="LM" sheetId="17" r:id="rId10"/>
    <sheet name="AUX-CARGA ESTIMADA" sheetId="50" r:id="rId11"/>
    <sheet name="AUX-Interligação Frigorígena" sheetId="25" r:id="rId12"/>
    <sheet name="AUX1 - Pressurização OK" sheetId="4" r:id="rId13"/>
    <sheet name="AUX2 - Termodinâmica" sheetId="19" r:id="rId14"/>
    <sheet name="AUX3 - Prop. dos Materiais" sheetId="9" r:id="rId15"/>
    <sheet name="AUX4 - Dados Ambientais" sheetId="12" r:id="rId16"/>
    <sheet name="AUX4 - Dados Ambientais (2)" sheetId="27" r:id="rId17"/>
    <sheet name="BATERIAS" sheetId="42" r:id="rId18"/>
    <sheet name="VENTILADO" sheetId="43" r:id="rId19"/>
  </sheets>
  <externalReferences>
    <externalReference r:id="rId20"/>
    <externalReference r:id="rId21"/>
  </externalReferences>
  <definedNames>
    <definedName name="_xlnm._FilterDatabase" localSheetId="4" hidden="1">PC!$A$19:$CG$54</definedName>
    <definedName name="Categoria">[1]Auxiliar!$K$2:$S$2</definedName>
    <definedName name="Categoria_Ambiente">[1]Auxiliar!$K$2:$S$12</definedName>
    <definedName name="_xlnm.Print_Area" localSheetId="0">'CARGA ESTIMADA 1'!$A$1:$C$124</definedName>
    <definedName name="_xlnm.Print_Area" localSheetId="4">PC!$A$1:$Q$123</definedName>
    <definedName name="Tipos_Ambiente" localSheetId="11">OFFSET([0]!Categoria_Ambiente,1,MATCH('[1]Carga Térmica'!XFD1,[0]!Categoria,0)-1,INDEX([1]Auxiliar!$K$14:$S$14,1,MATCH('[1]Carga Térmica'!XFD1,[0]!Categoria,0)),1)</definedName>
    <definedName name="Tipos_Ambiente" localSheetId="7">OFFSET(Categoria_Ambiente,1,MATCH('[1]Carga Térmica'!XFD1,Categoria,0)-1,INDEX([1]Auxiliar!$K$14:$S$14,1,MATCH('[1]Carga Térmica'!XFD1,Categoria,0)),1)</definedName>
    <definedName name="Tipos_Ambiente" localSheetId="1">OFFSET(Categoria_Ambiente,1,MATCH('[1]Carga Térmica'!XFD1,Categoria,0)-1,INDEX([1]Auxiliar!$K$14:$S$14,1,MATCH('[1]Carga Térmica'!XFD1,Categoria,0)),1)</definedName>
    <definedName name="Tipos_Ambiente" localSheetId="9">OFFSET(Categoria_Ambiente,1,MATCH('[1]Carga Térmica'!XFD1,Categoria,0)-1,INDEX([1]Auxiliar!$K$14:$S$14,1,MATCH('[1]Carga Térmica'!XFD1,Categoria,0)),1)</definedName>
    <definedName name="Tipos_Ambiente" localSheetId="4">OFFSET(Categoria_Ambiente,1,MATCH('[1]Carga Térmica'!XFD1,Categoria,0)-1,INDEX([1]Auxiliar!$K$14:$S$14,1,MATCH('[1]Carga Térmica'!XFD1,Categoria,0)),1)</definedName>
    <definedName name="Tipos_Ambiente">OFFSET(Categoria_Ambiente,1,MATCH('[1]Carga Térmica'!XFD1,Categoria,0)-1,INDEX([1]Auxiliar!$K$14:$S$14,1,MATCH('[1]Carga Térmica'!XFD1,Categoria,0)),1)</definedName>
    <definedName name="Tipos_Ambiente2" localSheetId="7">OFFSET(Categoria_Ambiente,1,MATCH('[1]Carga Térmica'!XFD1,Categoria,0)-1,INDEX([1]Auxiliar!$K$14:$S$14,1,MATCH('[1]Carga Térmica'!XFD1,Categoria,0)),1)</definedName>
    <definedName name="Tipos_Ambiente2" localSheetId="1">OFFSET(Categoria_Ambiente,1,MATCH('[1]Carga Térmica'!XFD1,Categoria,0)-1,INDEX([1]Auxiliar!$K$14:$S$14,1,MATCH('[1]Carga Térmica'!XFD1,Categoria,0)),1)</definedName>
    <definedName name="Tipos_Ambiente2">OFFSET(Categoria_Ambiente,1,MATCH('[1]Carga Térmica'!XFD1,Categoria,0)-1,INDEX([1]Auxiliar!$K$14:$S$14,1,MATCH('[1]Carga Térmica'!XFD1,Categoria,0)),1)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3" i="34" l="1"/>
  <c r="B8" i="48"/>
  <c r="G17" i="47" l="1"/>
  <c r="C13" i="34"/>
  <c r="C12" i="34"/>
  <c r="C11" i="34"/>
  <c r="C10" i="34"/>
  <c r="C9" i="34"/>
  <c r="C8" i="34"/>
  <c r="C7" i="34"/>
  <c r="C6" i="34"/>
  <c r="C5" i="34"/>
  <c r="C4" i="34"/>
  <c r="Z34" i="31"/>
  <c r="Z35" i="31"/>
  <c r="Z36" i="31"/>
  <c r="Z37" i="31"/>
  <c r="Z38" i="31"/>
  <c r="Z39" i="31"/>
  <c r="Z40" i="31"/>
  <c r="Z41" i="31"/>
  <c r="Z42" i="31"/>
  <c r="Z43" i="31"/>
  <c r="Z44" i="31"/>
  <c r="Z45" i="31"/>
  <c r="Z46" i="31"/>
  <c r="Z47" i="31"/>
  <c r="Y34" i="31"/>
  <c r="Y35" i="31"/>
  <c r="Y36" i="31"/>
  <c r="Y37" i="31"/>
  <c r="Y38" i="31"/>
  <c r="Y39" i="31"/>
  <c r="Y40" i="31"/>
  <c r="Y41" i="31"/>
  <c r="Y42" i="31"/>
  <c r="Y43" i="31"/>
  <c r="Y44" i="31"/>
  <c r="Y45" i="31"/>
  <c r="Y46" i="31"/>
  <c r="Y47" i="31"/>
  <c r="X29" i="31"/>
  <c r="X34" i="31"/>
  <c r="X35" i="31"/>
  <c r="X36" i="31"/>
  <c r="X37" i="31"/>
  <c r="X38" i="31"/>
  <c r="X39" i="31"/>
  <c r="X40" i="31"/>
  <c r="X41" i="31"/>
  <c r="X42" i="31"/>
  <c r="X43" i="31"/>
  <c r="X44" i="31"/>
  <c r="X45" i="31"/>
  <c r="X46" i="31"/>
  <c r="X47" i="31"/>
  <c r="W28" i="31"/>
  <c r="W34" i="31"/>
  <c r="W35" i="31"/>
  <c r="W36" i="31"/>
  <c r="W37" i="31"/>
  <c r="W38" i="31"/>
  <c r="W39" i="31"/>
  <c r="W40" i="31"/>
  <c r="W41" i="31"/>
  <c r="W42" i="31"/>
  <c r="W43" i="31"/>
  <c r="W44" i="31"/>
  <c r="W45" i="31"/>
  <c r="W46" i="31"/>
  <c r="W47" i="31"/>
  <c r="V34" i="31"/>
  <c r="V35" i="31"/>
  <c r="V36" i="31"/>
  <c r="V37" i="31"/>
  <c r="V38" i="31"/>
  <c r="V39" i="31"/>
  <c r="V40" i="31"/>
  <c r="V41" i="31"/>
  <c r="V42" i="31"/>
  <c r="V43" i="31"/>
  <c r="V44" i="31"/>
  <c r="V45" i="31"/>
  <c r="V46" i="31"/>
  <c r="V47" i="31"/>
  <c r="U34" i="31"/>
  <c r="U35" i="31"/>
  <c r="U36" i="31"/>
  <c r="U37" i="31"/>
  <c r="U38" i="31"/>
  <c r="U39" i="31"/>
  <c r="U40" i="31"/>
  <c r="U41" i="31"/>
  <c r="U42" i="31"/>
  <c r="U43" i="31"/>
  <c r="U44" i="31"/>
  <c r="U45" i="31"/>
  <c r="U46" i="31"/>
  <c r="U47" i="31"/>
  <c r="T47" i="31"/>
  <c r="T29" i="31"/>
  <c r="T34" i="31"/>
  <c r="T35" i="31"/>
  <c r="T36" i="31"/>
  <c r="T37" i="31"/>
  <c r="T38" i="31"/>
  <c r="T39" i="31"/>
  <c r="T40" i="31"/>
  <c r="T41" i="31"/>
  <c r="T42" i="31"/>
  <c r="T43" i="31"/>
  <c r="T44" i="31"/>
  <c r="T45" i="31"/>
  <c r="T46" i="31"/>
  <c r="S28" i="31"/>
  <c r="S34" i="31"/>
  <c r="S35" i="31"/>
  <c r="S36" i="31"/>
  <c r="S37" i="31"/>
  <c r="S38" i="31"/>
  <c r="S39" i="31"/>
  <c r="S40" i="31"/>
  <c r="S41" i="31"/>
  <c r="S42" i="31"/>
  <c r="S43" i="31"/>
  <c r="S44" i="31"/>
  <c r="S45" i="31"/>
  <c r="S46" i="31"/>
  <c r="S47" i="31"/>
  <c r="R34" i="31"/>
  <c r="R35" i="31"/>
  <c r="R36" i="31"/>
  <c r="R37" i="31"/>
  <c r="R38" i="31"/>
  <c r="R39" i="31"/>
  <c r="R40" i="31"/>
  <c r="R41" i="31"/>
  <c r="R42" i="31"/>
  <c r="R43" i="31"/>
  <c r="R44" i="31"/>
  <c r="R45" i="31"/>
  <c r="R46" i="31"/>
  <c r="R47" i="31"/>
  <c r="Q34" i="31"/>
  <c r="Q35" i="31"/>
  <c r="Q36" i="31"/>
  <c r="Q37" i="31"/>
  <c r="Q38" i="31"/>
  <c r="Q39" i="31"/>
  <c r="Q40" i="31"/>
  <c r="Q41" i="31"/>
  <c r="Q42" i="31"/>
  <c r="Q43" i="31"/>
  <c r="Q44" i="31"/>
  <c r="Q45" i="31"/>
  <c r="Q46" i="31"/>
  <c r="Q47" i="31"/>
  <c r="P31" i="31"/>
  <c r="P34" i="31"/>
  <c r="P35" i="31"/>
  <c r="P36" i="31"/>
  <c r="P37" i="31"/>
  <c r="P38" i="31"/>
  <c r="P39" i="31"/>
  <c r="P40" i="31"/>
  <c r="P41" i="31"/>
  <c r="P42" i="31"/>
  <c r="P43" i="31"/>
  <c r="P44" i="31"/>
  <c r="P45" i="31"/>
  <c r="P46" i="31"/>
  <c r="P47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28" i="31"/>
  <c r="AC34" i="31"/>
  <c r="M51" i="26"/>
  <c r="AD34" i="31"/>
  <c r="N51" i="26"/>
  <c r="AE34" i="31"/>
  <c r="O51" i="26"/>
  <c r="AF34" i="31"/>
  <c r="P51" i="26"/>
  <c r="AG34" i="31"/>
  <c r="Q51" i="26"/>
  <c r="AC35" i="31"/>
  <c r="AD35" i="31"/>
  <c r="AE35" i="31"/>
  <c r="AF35" i="31"/>
  <c r="AG35" i="31"/>
  <c r="AC36" i="31"/>
  <c r="AD36" i="31"/>
  <c r="AE36" i="31"/>
  <c r="AF36" i="31"/>
  <c r="AG36" i="31"/>
  <c r="AC37" i="31"/>
  <c r="AD37" i="31"/>
  <c r="AE37" i="31"/>
  <c r="AF37" i="31"/>
  <c r="AG37" i="31"/>
  <c r="AC38" i="31"/>
  <c r="AD38" i="31"/>
  <c r="AE38" i="31"/>
  <c r="AF38" i="31"/>
  <c r="AG38" i="31"/>
  <c r="AC39" i="31"/>
  <c r="AD39" i="31"/>
  <c r="AE39" i="31"/>
  <c r="AF39" i="31"/>
  <c r="AG39" i="31"/>
  <c r="AC40" i="31"/>
  <c r="AD40" i="31"/>
  <c r="AE40" i="31"/>
  <c r="AF40" i="31"/>
  <c r="AG40" i="31"/>
  <c r="AC41" i="31"/>
  <c r="AD41" i="31"/>
  <c r="AE41" i="31"/>
  <c r="AF41" i="31"/>
  <c r="AG41" i="31"/>
  <c r="AC42" i="31"/>
  <c r="AD42" i="31"/>
  <c r="AE42" i="31"/>
  <c r="AF42" i="31"/>
  <c r="AG42" i="31"/>
  <c r="AC43" i="31"/>
  <c r="AD43" i="31"/>
  <c r="AE43" i="31"/>
  <c r="AF43" i="31"/>
  <c r="AG43" i="31"/>
  <c r="AC44" i="31"/>
  <c r="AD44" i="31"/>
  <c r="AE44" i="31"/>
  <c r="AF44" i="31"/>
  <c r="AG44" i="31"/>
  <c r="AC45" i="31"/>
  <c r="AD45" i="31"/>
  <c r="AE45" i="31"/>
  <c r="AF45" i="31"/>
  <c r="AG45" i="31"/>
  <c r="AC46" i="31"/>
  <c r="AD46" i="31"/>
  <c r="AE46" i="31"/>
  <c r="AF46" i="31"/>
  <c r="AG46" i="31"/>
  <c r="AC47" i="31"/>
  <c r="AD47" i="31"/>
  <c r="AE47" i="31"/>
  <c r="AF47" i="31"/>
  <c r="AG47" i="31"/>
  <c r="M42" i="31"/>
  <c r="N42" i="31"/>
  <c r="M43" i="31"/>
  <c r="N43" i="31"/>
  <c r="M44" i="31"/>
  <c r="N44" i="31"/>
  <c r="M45" i="31"/>
  <c r="N45" i="31"/>
  <c r="M46" i="31"/>
  <c r="N46" i="31"/>
  <c r="M47" i="31"/>
  <c r="N47" i="31"/>
  <c r="M28" i="31"/>
  <c r="M29" i="31"/>
  <c r="M30" i="31"/>
  <c r="M31" i="31"/>
  <c r="M32" i="31"/>
  <c r="M33" i="31"/>
  <c r="M34" i="31"/>
  <c r="B51" i="26"/>
  <c r="M35" i="31"/>
  <c r="M36" i="31"/>
  <c r="M37" i="31"/>
  <c r="M38" i="31"/>
  <c r="M39" i="31"/>
  <c r="M40" i="31"/>
  <c r="M41" i="31"/>
  <c r="N34" i="31"/>
  <c r="N35" i="31"/>
  <c r="N36" i="31"/>
  <c r="N37" i="31"/>
  <c r="N38" i="31"/>
  <c r="N39" i="31"/>
  <c r="N40" i="31"/>
  <c r="N41" i="31"/>
  <c r="N28" i="31"/>
  <c r="AF28" i="31"/>
  <c r="P45" i="26"/>
  <c r="N29" i="31"/>
  <c r="AE29" i="31"/>
  <c r="O46" i="26"/>
  <c r="N30" i="31"/>
  <c r="Z30" i="31"/>
  <c r="N31" i="31"/>
  <c r="T31" i="31"/>
  <c r="N32" i="31"/>
  <c r="AE32" i="31"/>
  <c r="O49" i="26"/>
  <c r="N33" i="31"/>
  <c r="Y33" i="31"/>
  <c r="G23" i="26"/>
  <c r="G30" i="26"/>
  <c r="K30" i="26"/>
  <c r="N49" i="47"/>
  <c r="Q49" i="47"/>
  <c r="G51" i="26"/>
  <c r="K51" i="26"/>
  <c r="N50" i="47"/>
  <c r="Q50" i="47"/>
  <c r="S50" i="47"/>
  <c r="T50" i="47"/>
  <c r="N51" i="47"/>
  <c r="Q51" i="47"/>
  <c r="B62" i="48"/>
  <c r="C62" i="48" s="1"/>
  <c r="D46" i="47"/>
  <c r="A46" i="47"/>
  <c r="B48" i="26"/>
  <c r="E46" i="47"/>
  <c r="F46" i="47"/>
  <c r="G46" i="47"/>
  <c r="H46" i="47"/>
  <c r="I46" i="47"/>
  <c r="K46" i="47"/>
  <c r="L46" i="47"/>
  <c r="N46" i="47"/>
  <c r="Q46" i="47"/>
  <c r="A47" i="47"/>
  <c r="D47" i="47"/>
  <c r="E47" i="47"/>
  <c r="F47" i="47"/>
  <c r="G47" i="47"/>
  <c r="H47" i="47"/>
  <c r="I47" i="47"/>
  <c r="K47" i="47"/>
  <c r="L47" i="47"/>
  <c r="N47" i="47"/>
  <c r="Q47" i="47"/>
  <c r="R47" i="47"/>
  <c r="A48" i="47"/>
  <c r="D48" i="47"/>
  <c r="E48" i="47"/>
  <c r="F48" i="47"/>
  <c r="G48" i="47"/>
  <c r="H48" i="47"/>
  <c r="I48" i="47"/>
  <c r="K48" i="47"/>
  <c r="L48" i="47"/>
  <c r="N48" i="47"/>
  <c r="Q48" i="47"/>
  <c r="R48" i="47"/>
  <c r="D43" i="47"/>
  <c r="D40" i="47"/>
  <c r="D39" i="47"/>
  <c r="A37" i="47"/>
  <c r="E37" i="47"/>
  <c r="F37" i="47"/>
  <c r="G37" i="47"/>
  <c r="G39" i="26"/>
  <c r="K39" i="26"/>
  <c r="H37" i="47"/>
  <c r="I37" i="47"/>
  <c r="K37" i="47"/>
  <c r="L37" i="47"/>
  <c r="N37" i="47"/>
  <c r="Q37" i="47"/>
  <c r="A38" i="47"/>
  <c r="D38" i="47"/>
  <c r="E38" i="47"/>
  <c r="F38" i="47"/>
  <c r="G38" i="47"/>
  <c r="H38" i="47"/>
  <c r="I38" i="47"/>
  <c r="K38" i="47"/>
  <c r="L38" i="47"/>
  <c r="N38" i="47"/>
  <c r="Q38" i="47"/>
  <c r="S38" i="47"/>
  <c r="T38" i="47"/>
  <c r="A39" i="47"/>
  <c r="E39" i="47"/>
  <c r="F39" i="47"/>
  <c r="G39" i="47"/>
  <c r="H39" i="47"/>
  <c r="I39" i="47"/>
  <c r="K39" i="47"/>
  <c r="L39" i="47"/>
  <c r="N39" i="47"/>
  <c r="Q39" i="47"/>
  <c r="A40" i="47"/>
  <c r="E40" i="47"/>
  <c r="F40" i="47"/>
  <c r="G40" i="47"/>
  <c r="H40" i="47"/>
  <c r="I40" i="47"/>
  <c r="K40" i="47"/>
  <c r="L40" i="47"/>
  <c r="N40" i="47"/>
  <c r="Q40" i="47"/>
  <c r="A41" i="47"/>
  <c r="D41" i="47"/>
  <c r="E41" i="47"/>
  <c r="F41" i="47"/>
  <c r="G41" i="47"/>
  <c r="H41" i="47"/>
  <c r="I41" i="47"/>
  <c r="K41" i="47"/>
  <c r="L41" i="47"/>
  <c r="N41" i="47"/>
  <c r="Q41" i="47"/>
  <c r="A42" i="47"/>
  <c r="D42" i="47"/>
  <c r="E42" i="47"/>
  <c r="F42" i="47"/>
  <c r="G42" i="47"/>
  <c r="G44" i="26"/>
  <c r="K44" i="26"/>
  <c r="H42" i="47"/>
  <c r="I42" i="47"/>
  <c r="K42" i="47"/>
  <c r="L42" i="47"/>
  <c r="N42" i="47"/>
  <c r="Q42" i="47"/>
  <c r="S42" i="47"/>
  <c r="T42" i="47"/>
  <c r="A43" i="47"/>
  <c r="E43" i="47"/>
  <c r="F43" i="47"/>
  <c r="G43" i="47"/>
  <c r="G45" i="26"/>
  <c r="K45" i="26"/>
  <c r="H43" i="47"/>
  <c r="I43" i="47"/>
  <c r="K43" i="47"/>
  <c r="L43" i="47"/>
  <c r="N43" i="47"/>
  <c r="Q43" i="47"/>
  <c r="A44" i="47"/>
  <c r="D44" i="47"/>
  <c r="E44" i="47"/>
  <c r="F44" i="47"/>
  <c r="G44" i="47"/>
  <c r="H44" i="47"/>
  <c r="I44" i="47"/>
  <c r="K44" i="47"/>
  <c r="L44" i="47"/>
  <c r="N44" i="47"/>
  <c r="Q44" i="47"/>
  <c r="G46" i="26"/>
  <c r="K46" i="26"/>
  <c r="A45" i="47"/>
  <c r="D45" i="47"/>
  <c r="E45" i="47"/>
  <c r="F45" i="47"/>
  <c r="G45" i="47"/>
  <c r="H45" i="47"/>
  <c r="I45" i="47"/>
  <c r="K45" i="47"/>
  <c r="L45" i="47"/>
  <c r="N45" i="47"/>
  <c r="Q45" i="47"/>
  <c r="G47" i="26"/>
  <c r="K47" i="26"/>
  <c r="D35" i="47"/>
  <c r="D32" i="47"/>
  <c r="D28" i="47"/>
  <c r="D25" i="47"/>
  <c r="D22" i="47"/>
  <c r="A24" i="47"/>
  <c r="D24" i="47"/>
  <c r="E24" i="47"/>
  <c r="F24" i="47"/>
  <c r="G24" i="47"/>
  <c r="H24" i="47"/>
  <c r="I24" i="47"/>
  <c r="K24" i="47"/>
  <c r="L24" i="47"/>
  <c r="N24" i="47"/>
  <c r="Q24" i="47"/>
  <c r="A25" i="47"/>
  <c r="E25" i="47"/>
  <c r="F25" i="47"/>
  <c r="G25" i="47"/>
  <c r="H25" i="47"/>
  <c r="I25" i="47"/>
  <c r="K25" i="47"/>
  <c r="L25" i="47"/>
  <c r="N25" i="47"/>
  <c r="Q25" i="47"/>
  <c r="A26" i="47"/>
  <c r="D26" i="47"/>
  <c r="E26" i="47"/>
  <c r="F26" i="47"/>
  <c r="G26" i="47"/>
  <c r="H26" i="47"/>
  <c r="I26" i="47"/>
  <c r="K26" i="47"/>
  <c r="L26" i="47"/>
  <c r="N26" i="47"/>
  <c r="Q26" i="47"/>
  <c r="A27" i="47"/>
  <c r="D27" i="47"/>
  <c r="E27" i="47"/>
  <c r="F27" i="47"/>
  <c r="G27" i="47"/>
  <c r="G29" i="26"/>
  <c r="K29" i="26"/>
  <c r="H27" i="47"/>
  <c r="I27" i="47"/>
  <c r="K27" i="47"/>
  <c r="L27" i="47"/>
  <c r="N27" i="47"/>
  <c r="Q27" i="47"/>
  <c r="R27" i="47"/>
  <c r="A28" i="47"/>
  <c r="E28" i="47"/>
  <c r="F28" i="47"/>
  <c r="G28" i="47"/>
  <c r="H28" i="47"/>
  <c r="I28" i="47"/>
  <c r="K28" i="47"/>
  <c r="L28" i="47"/>
  <c r="N28" i="47"/>
  <c r="Q28" i="47"/>
  <c r="A29" i="47"/>
  <c r="D29" i="47"/>
  <c r="E29" i="47"/>
  <c r="F29" i="47"/>
  <c r="G29" i="47"/>
  <c r="H29" i="47"/>
  <c r="I29" i="47"/>
  <c r="K29" i="47"/>
  <c r="L29" i="47"/>
  <c r="N29" i="47"/>
  <c r="Q29" i="47"/>
  <c r="G31" i="26"/>
  <c r="K31" i="26"/>
  <c r="A30" i="47"/>
  <c r="D30" i="47"/>
  <c r="E30" i="47"/>
  <c r="F30" i="47"/>
  <c r="G30" i="47"/>
  <c r="H30" i="47"/>
  <c r="I30" i="47"/>
  <c r="K30" i="47"/>
  <c r="L30" i="47"/>
  <c r="N30" i="47"/>
  <c r="Q30" i="47"/>
  <c r="A31" i="47"/>
  <c r="D31" i="47"/>
  <c r="E31" i="47"/>
  <c r="F31" i="47"/>
  <c r="G31" i="47"/>
  <c r="G33" i="26"/>
  <c r="K33" i="26"/>
  <c r="H31" i="47"/>
  <c r="I31" i="47"/>
  <c r="K31" i="47"/>
  <c r="L31" i="47"/>
  <c r="N31" i="47"/>
  <c r="Q31" i="47"/>
  <c r="R31" i="47"/>
  <c r="A32" i="47"/>
  <c r="E32" i="47"/>
  <c r="F32" i="47"/>
  <c r="G32" i="47"/>
  <c r="G34" i="26"/>
  <c r="K34" i="26"/>
  <c r="H32" i="47"/>
  <c r="I32" i="47"/>
  <c r="K32" i="47"/>
  <c r="L32" i="47"/>
  <c r="N32" i="47"/>
  <c r="Q32" i="47"/>
  <c r="A33" i="47"/>
  <c r="D33" i="47"/>
  <c r="E33" i="47"/>
  <c r="F33" i="47"/>
  <c r="G33" i="47"/>
  <c r="H33" i="47"/>
  <c r="I33" i="47"/>
  <c r="K33" i="47"/>
  <c r="L33" i="47"/>
  <c r="N33" i="47"/>
  <c r="Q33" i="47"/>
  <c r="A34" i="47"/>
  <c r="D34" i="47"/>
  <c r="E34" i="47"/>
  <c r="F34" i="47"/>
  <c r="G34" i="47"/>
  <c r="G36" i="26"/>
  <c r="K36" i="26"/>
  <c r="H34" i="47"/>
  <c r="I34" i="47"/>
  <c r="K34" i="47"/>
  <c r="L34" i="47"/>
  <c r="N34" i="47"/>
  <c r="Q34" i="47"/>
  <c r="A35" i="47"/>
  <c r="E35" i="47"/>
  <c r="F35" i="47"/>
  <c r="G35" i="47"/>
  <c r="H35" i="47"/>
  <c r="I35" i="47"/>
  <c r="K35" i="47"/>
  <c r="L35" i="47"/>
  <c r="N35" i="47"/>
  <c r="Q35" i="47"/>
  <c r="R35" i="47"/>
  <c r="A36" i="47"/>
  <c r="D36" i="47"/>
  <c r="E36" i="47"/>
  <c r="F36" i="47"/>
  <c r="G36" i="47"/>
  <c r="G38" i="26"/>
  <c r="K38" i="26"/>
  <c r="H36" i="47"/>
  <c r="I36" i="47"/>
  <c r="K36" i="47"/>
  <c r="L36" i="47"/>
  <c r="N36" i="47"/>
  <c r="Q36" i="47"/>
  <c r="K17" i="47"/>
  <c r="K51" i="47"/>
  <c r="L51" i="47"/>
  <c r="N13" i="34"/>
  <c r="N14" i="34"/>
  <c r="N12" i="34"/>
  <c r="N10" i="34"/>
  <c r="N11" i="34"/>
  <c r="N9" i="34"/>
  <c r="N4" i="34"/>
  <c r="N5" i="34"/>
  <c r="N6" i="34"/>
  <c r="N7" i="34"/>
  <c r="N8" i="34"/>
  <c r="N3" i="34"/>
  <c r="D4" i="34"/>
  <c r="D5" i="34"/>
  <c r="D6" i="34"/>
  <c r="D7" i="34"/>
  <c r="D8" i="34"/>
  <c r="D9" i="34"/>
  <c r="D10" i="34"/>
  <c r="D3" i="34"/>
  <c r="C14" i="34"/>
  <c r="N21" i="47"/>
  <c r="Q21" i="47"/>
  <c r="N22" i="47"/>
  <c r="Q22" i="47"/>
  <c r="N23" i="47"/>
  <c r="Q23" i="47"/>
  <c r="A21" i="47"/>
  <c r="D21" i="47"/>
  <c r="E21" i="47"/>
  <c r="F21" i="47"/>
  <c r="G21" i="47"/>
  <c r="H21" i="47"/>
  <c r="I21" i="47"/>
  <c r="K21" i="47"/>
  <c r="L21" i="47"/>
  <c r="A22" i="47"/>
  <c r="E22" i="47"/>
  <c r="F22" i="47"/>
  <c r="G22" i="47"/>
  <c r="G24" i="26"/>
  <c r="H22" i="47"/>
  <c r="I22" i="47"/>
  <c r="K22" i="47"/>
  <c r="L22" i="47"/>
  <c r="A23" i="47"/>
  <c r="D23" i="47"/>
  <c r="E23" i="47"/>
  <c r="F23" i="47"/>
  <c r="G23" i="47"/>
  <c r="H23" i="47"/>
  <c r="I23" i="47"/>
  <c r="K23" i="47"/>
  <c r="L23" i="47"/>
  <c r="G49" i="26"/>
  <c r="K49" i="26"/>
  <c r="G28" i="26"/>
  <c r="G48" i="26"/>
  <c r="K48" i="26"/>
  <c r="G27" i="26"/>
  <c r="G37" i="26"/>
  <c r="K37" i="26"/>
  <c r="G32" i="26"/>
  <c r="K32" i="26"/>
  <c r="G43" i="26"/>
  <c r="K43" i="26"/>
  <c r="G25" i="26"/>
  <c r="G26" i="26"/>
  <c r="G42" i="26"/>
  <c r="K42" i="26"/>
  <c r="G50" i="26"/>
  <c r="K50" i="26"/>
  <c r="G41" i="26"/>
  <c r="K41" i="26"/>
  <c r="G35" i="26"/>
  <c r="K35" i="26"/>
  <c r="G40" i="26"/>
  <c r="K40" i="26"/>
  <c r="B50" i="26"/>
  <c r="B49" i="26"/>
  <c r="B47" i="26"/>
  <c r="B46" i="26"/>
  <c r="B45" i="26"/>
  <c r="AC32" i="31"/>
  <c r="M49" i="26"/>
  <c r="AD32" i="31"/>
  <c r="N49" i="26"/>
  <c r="P33" i="31"/>
  <c r="S29" i="31"/>
  <c r="T33" i="31"/>
  <c r="W29" i="31"/>
  <c r="AE28" i="31"/>
  <c r="O45" i="26"/>
  <c r="O29" i="31"/>
  <c r="P29" i="31"/>
  <c r="T28" i="31"/>
  <c r="X28" i="31"/>
  <c r="Y29" i="31"/>
  <c r="P28" i="31"/>
  <c r="AB28" i="31"/>
  <c r="U29" i="31"/>
  <c r="Y28" i="31"/>
  <c r="Z33" i="31"/>
  <c r="U28" i="31"/>
  <c r="V33" i="31"/>
  <c r="Z32" i="31"/>
  <c r="Q29" i="31"/>
  <c r="R32" i="31"/>
  <c r="V29" i="31"/>
  <c r="Z29" i="31"/>
  <c r="AG33" i="31"/>
  <c r="Q50" i="26"/>
  <c r="Q28" i="31"/>
  <c r="Q32" i="31"/>
  <c r="R29" i="31"/>
  <c r="V28" i="31"/>
  <c r="W33" i="31"/>
  <c r="Z28" i="31"/>
  <c r="AC33" i="31"/>
  <c r="M50" i="26"/>
  <c r="R28" i="31"/>
  <c r="S33" i="31"/>
  <c r="W32" i="31"/>
  <c r="AB42" i="31"/>
  <c r="AB34" i="31"/>
  <c r="H51" i="26"/>
  <c r="J51" i="26"/>
  <c r="L51" i="26"/>
  <c r="AB46" i="31"/>
  <c r="AB38" i="31"/>
  <c r="AB44" i="31"/>
  <c r="AB36" i="31"/>
  <c r="AB41" i="31"/>
  <c r="AB40" i="31"/>
  <c r="AB47" i="31"/>
  <c r="AB39" i="31"/>
  <c r="AB45" i="31"/>
  <c r="AB37" i="31"/>
  <c r="AB43" i="31"/>
  <c r="AB35" i="31"/>
  <c r="AF33" i="31"/>
  <c r="P50" i="26"/>
  <c r="X33" i="31"/>
  <c r="AE33" i="31"/>
  <c r="O50" i="26"/>
  <c r="U33" i="31"/>
  <c r="AD33" i="31"/>
  <c r="N50" i="26"/>
  <c r="Q33" i="31"/>
  <c r="R33" i="31"/>
  <c r="O32" i="31"/>
  <c r="P32" i="31"/>
  <c r="U32" i="31"/>
  <c r="X32" i="31"/>
  <c r="S32" i="31"/>
  <c r="AG32" i="31"/>
  <c r="Q49" i="26"/>
  <c r="V32" i="31"/>
  <c r="AF32" i="31"/>
  <c r="P49" i="26"/>
  <c r="T32" i="31"/>
  <c r="Y32" i="31"/>
  <c r="R31" i="31"/>
  <c r="V31" i="31"/>
  <c r="X31" i="31"/>
  <c r="Z31" i="31"/>
  <c r="AG31" i="31"/>
  <c r="Q48" i="26"/>
  <c r="AF31" i="31"/>
  <c r="P48" i="26"/>
  <c r="AE31" i="31"/>
  <c r="O48" i="26"/>
  <c r="AD31" i="31"/>
  <c r="N48" i="26"/>
  <c r="S31" i="31"/>
  <c r="U31" i="31"/>
  <c r="W31" i="31"/>
  <c r="Y31" i="31"/>
  <c r="AC31" i="31"/>
  <c r="M48" i="26"/>
  <c r="O31" i="31"/>
  <c r="Q31" i="31"/>
  <c r="AC30" i="31"/>
  <c r="M47" i="26"/>
  <c r="T30" i="31"/>
  <c r="W30" i="31"/>
  <c r="O30" i="31"/>
  <c r="V30" i="31"/>
  <c r="AG30" i="31"/>
  <c r="Q47" i="26"/>
  <c r="S30" i="31"/>
  <c r="Y30" i="31"/>
  <c r="AF30" i="31"/>
  <c r="P47" i="26"/>
  <c r="P30" i="31"/>
  <c r="Q30" i="31"/>
  <c r="X30" i="31"/>
  <c r="AE30" i="31"/>
  <c r="O47" i="26"/>
  <c r="U30" i="31"/>
  <c r="AD30" i="31"/>
  <c r="N47" i="26"/>
  <c r="R30" i="31"/>
  <c r="AC29" i="31"/>
  <c r="M46" i="26"/>
  <c r="AD29" i="31"/>
  <c r="N46" i="26"/>
  <c r="AG29" i="31"/>
  <c r="Q46" i="26"/>
  <c r="AF29" i="31"/>
  <c r="P46" i="26"/>
  <c r="AD28" i="31"/>
  <c r="N45" i="26"/>
  <c r="AC28" i="31"/>
  <c r="M45" i="26"/>
  <c r="AG28" i="31"/>
  <c r="Q45" i="26"/>
  <c r="R51" i="47"/>
  <c r="S51" i="47"/>
  <c r="T51" i="47"/>
  <c r="R49" i="47"/>
  <c r="S49" i="47"/>
  <c r="T49" i="47"/>
  <c r="R50" i="47"/>
  <c r="S48" i="47"/>
  <c r="T48" i="47"/>
  <c r="R46" i="47"/>
  <c r="S46" i="47"/>
  <c r="T46" i="47"/>
  <c r="S47" i="47"/>
  <c r="T47" i="47"/>
  <c r="D37" i="47"/>
  <c r="R42" i="47"/>
  <c r="R38" i="47"/>
  <c r="S39" i="47"/>
  <c r="T39" i="47"/>
  <c r="R39" i="47"/>
  <c r="R44" i="47"/>
  <c r="S44" i="47"/>
  <c r="T44" i="47"/>
  <c r="R41" i="47"/>
  <c r="S41" i="47"/>
  <c r="T41" i="47"/>
  <c r="R45" i="47"/>
  <c r="S45" i="47"/>
  <c r="T45" i="47"/>
  <c r="S43" i="47"/>
  <c r="T43" i="47"/>
  <c r="R43" i="47"/>
  <c r="R40" i="47"/>
  <c r="S40" i="47"/>
  <c r="T40" i="47"/>
  <c r="R37" i="47"/>
  <c r="S37" i="47"/>
  <c r="T37" i="47"/>
  <c r="S33" i="47"/>
  <c r="T33" i="47"/>
  <c r="R33" i="47"/>
  <c r="S30" i="47"/>
  <c r="T30" i="47"/>
  <c r="R30" i="47"/>
  <c r="S26" i="47"/>
  <c r="T26" i="47"/>
  <c r="R26" i="47"/>
  <c r="S29" i="47"/>
  <c r="T29" i="47"/>
  <c r="R29" i="47"/>
  <c r="S32" i="47"/>
  <c r="T32" i="47"/>
  <c r="R32" i="47"/>
  <c r="S25" i="47"/>
  <c r="T25" i="47"/>
  <c r="R25" i="47"/>
  <c r="S28" i="47"/>
  <c r="T28" i="47"/>
  <c r="R28" i="47"/>
  <c r="S36" i="47"/>
  <c r="T36" i="47"/>
  <c r="R36" i="47"/>
  <c r="R34" i="47"/>
  <c r="S34" i="47"/>
  <c r="T34" i="47"/>
  <c r="S24" i="47"/>
  <c r="T24" i="47"/>
  <c r="R24" i="47"/>
  <c r="S35" i="47"/>
  <c r="T35" i="47"/>
  <c r="S31" i="47"/>
  <c r="T31" i="47"/>
  <c r="S27" i="47"/>
  <c r="T27" i="47"/>
  <c r="R22" i="47"/>
  <c r="R21" i="47"/>
  <c r="R23" i="47"/>
  <c r="S23" i="47"/>
  <c r="T23" i="47"/>
  <c r="S22" i="47"/>
  <c r="T22" i="47"/>
  <c r="S21" i="47"/>
  <c r="T21" i="47"/>
  <c r="AB29" i="31"/>
  <c r="H46" i="26"/>
  <c r="J46" i="26"/>
  <c r="L46" i="26"/>
  <c r="AB33" i="31"/>
  <c r="H50" i="26"/>
  <c r="J50" i="26"/>
  <c r="L50" i="26"/>
  <c r="AB32" i="31"/>
  <c r="H49" i="26"/>
  <c r="J49" i="26"/>
  <c r="L49" i="26"/>
  <c r="AB31" i="31"/>
  <c r="H48" i="26"/>
  <c r="J48" i="26"/>
  <c r="L48" i="26"/>
  <c r="AB30" i="31"/>
  <c r="H47" i="26"/>
  <c r="J47" i="26"/>
  <c r="L47" i="26"/>
  <c r="H45" i="26"/>
  <c r="J45" i="26"/>
  <c r="L45" i="26"/>
  <c r="A33" i="17"/>
  <c r="B44" i="52"/>
  <c r="AH4" i="34"/>
  <c r="AH5" i="34"/>
  <c r="AH6" i="34"/>
  <c r="AH7" i="34"/>
  <c r="AH8" i="34"/>
  <c r="AH9" i="34"/>
  <c r="AH10" i="34"/>
  <c r="AH11" i="34"/>
  <c r="AH12" i="34"/>
  <c r="AH13" i="34"/>
  <c r="AH14" i="34"/>
  <c r="AH3" i="34"/>
  <c r="AG4" i="34"/>
  <c r="AG5" i="34"/>
  <c r="AG6" i="34"/>
  <c r="AG7" i="34"/>
  <c r="AG8" i="34"/>
  <c r="AG9" i="34"/>
  <c r="AG10" i="34"/>
  <c r="AG11" i="34"/>
  <c r="AG12" i="34"/>
  <c r="AG13" i="34"/>
  <c r="AG14" i="34"/>
  <c r="AG3" i="34"/>
  <c r="AF4" i="34"/>
  <c r="AF5" i="34"/>
  <c r="AF6" i="34"/>
  <c r="AF7" i="34"/>
  <c r="AF8" i="34"/>
  <c r="AF9" i="34"/>
  <c r="AF10" i="34"/>
  <c r="AF11" i="34"/>
  <c r="AF12" i="34"/>
  <c r="AF13" i="34"/>
  <c r="AF14" i="34"/>
  <c r="AF3" i="34"/>
  <c r="AE4" i="34"/>
  <c r="AE5" i="34"/>
  <c r="AE6" i="34"/>
  <c r="AE7" i="34"/>
  <c r="AE8" i="34"/>
  <c r="AE9" i="34"/>
  <c r="AE10" i="34"/>
  <c r="AE11" i="34"/>
  <c r="AE12" i="34"/>
  <c r="AE13" i="34"/>
  <c r="AE14" i="34"/>
  <c r="AE3" i="34"/>
  <c r="AD4" i="34"/>
  <c r="AD5" i="34"/>
  <c r="AD6" i="34"/>
  <c r="AD7" i="34"/>
  <c r="AD8" i="34"/>
  <c r="AD9" i="34"/>
  <c r="AD10" i="34"/>
  <c r="AD11" i="34"/>
  <c r="AD12" i="34"/>
  <c r="AD13" i="34"/>
  <c r="AD14" i="34"/>
  <c r="AD3" i="34"/>
  <c r="AC11" i="34"/>
  <c r="AC12" i="34"/>
  <c r="AC13" i="34"/>
  <c r="AC14" i="34"/>
  <c r="AB4" i="34" a="1"/>
  <c r="AB4" i="34"/>
  <c r="AB5" i="34" a="1"/>
  <c r="AB5" i="34"/>
  <c r="AB6" i="34" a="1"/>
  <c r="AB6" i="34"/>
  <c r="AB7" i="34" a="1"/>
  <c r="AB7" i="34"/>
  <c r="AB8" i="34" a="1"/>
  <c r="AB8" i="34"/>
  <c r="AB9" i="34" a="1"/>
  <c r="AB9" i="34"/>
  <c r="AB10" i="34" a="1"/>
  <c r="AB10" i="34"/>
  <c r="AB11" i="34" a="1"/>
  <c r="AB11" i="34"/>
  <c r="AB12" i="34" a="1"/>
  <c r="AB12" i="34"/>
  <c r="AB13" i="34" a="1"/>
  <c r="AB13" i="34"/>
  <c r="AB14" i="34" a="1"/>
  <c r="AB14" i="34"/>
  <c r="AB3" i="34" a="1"/>
  <c r="AB3" i="34"/>
  <c r="Z4" i="34"/>
  <c r="Z5" i="34"/>
  <c r="Z6" i="34"/>
  <c r="Z7" i="34"/>
  <c r="Z8" i="34"/>
  <c r="Z9" i="34"/>
  <c r="Z10" i="34"/>
  <c r="Z11" i="34"/>
  <c r="Z12" i="34"/>
  <c r="Z13" i="34"/>
  <c r="Z14" i="34"/>
  <c r="Z3" i="34"/>
  <c r="W4" i="34"/>
  <c r="W5" i="34"/>
  <c r="W6" i="34"/>
  <c r="W7" i="34"/>
  <c r="W8" i="34"/>
  <c r="W9" i="34"/>
  <c r="W10" i="34"/>
  <c r="W11" i="34"/>
  <c r="W12" i="34"/>
  <c r="W13" i="34"/>
  <c r="W14" i="34"/>
  <c r="W3" i="34"/>
  <c r="A12" i="27"/>
  <c r="K12" i="27" s="1"/>
  <c r="K11" i="47" s="1"/>
  <c r="N18" i="47"/>
  <c r="Q18" i="47" s="1"/>
  <c r="N19" i="47"/>
  <c r="Q19" i="47" s="1"/>
  <c r="N20" i="47"/>
  <c r="Q20" i="47"/>
  <c r="N17" i="47"/>
  <c r="Q17" i="47" s="1"/>
  <c r="K49" i="47"/>
  <c r="K50" i="47"/>
  <c r="H18" i="47"/>
  <c r="I18" i="47"/>
  <c r="H19" i="47"/>
  <c r="I19" i="47"/>
  <c r="H20" i="47"/>
  <c r="I20" i="47"/>
  <c r="K18" i="47"/>
  <c r="K19" i="47"/>
  <c r="K20" i="47"/>
  <c r="L18" i="47"/>
  <c r="L19" i="47"/>
  <c r="L20" i="47"/>
  <c r="L49" i="47"/>
  <c r="L50" i="47"/>
  <c r="L17" i="47"/>
  <c r="I17" i="47"/>
  <c r="H17" i="47"/>
  <c r="G18" i="47"/>
  <c r="G20" i="26" s="1"/>
  <c r="G19" i="47"/>
  <c r="G20" i="47"/>
  <c r="G22" i="26"/>
  <c r="F18" i="47"/>
  <c r="F19" i="47"/>
  <c r="F20" i="47"/>
  <c r="F17" i="47"/>
  <c r="E18" i="47"/>
  <c r="E19" i="47"/>
  <c r="E20" i="47"/>
  <c r="E17" i="47"/>
  <c r="D18" i="47"/>
  <c r="D19" i="47"/>
  <c r="D20" i="47"/>
  <c r="D17" i="47"/>
  <c r="A20" i="47"/>
  <c r="A19" i="47"/>
  <c r="B21" i="26" s="1"/>
  <c r="A18" i="47"/>
  <c r="A17" i="47"/>
  <c r="B40" i="48"/>
  <c r="B39" i="48"/>
  <c r="B37" i="48"/>
  <c r="D71" i="48" s="1"/>
  <c r="B38" i="48"/>
  <c r="D60" i="48" s="1"/>
  <c r="R20" i="47"/>
  <c r="S20" i="47"/>
  <c r="T20" i="47"/>
  <c r="E95" i="48"/>
  <c r="G95" i="48" s="1"/>
  <c r="C96" i="48" s="1"/>
  <c r="C119" i="48" s="1"/>
  <c r="D90" i="48"/>
  <c r="F90" i="48" s="1"/>
  <c r="C91" i="48" s="1"/>
  <c r="C118" i="48" s="1"/>
  <c r="B73" i="48"/>
  <c r="C73" i="48" s="1"/>
  <c r="B72" i="48"/>
  <c r="C72" i="48" s="1"/>
  <c r="B71" i="48"/>
  <c r="C71" i="48" s="1"/>
  <c r="B70" i="48"/>
  <c r="C70" i="48" s="1"/>
  <c r="B64" i="48"/>
  <c r="C64" i="48" s="1"/>
  <c r="B63" i="48"/>
  <c r="C63" i="48" s="1"/>
  <c r="B61" i="48"/>
  <c r="C61" i="48" s="1"/>
  <c r="C60" i="48"/>
  <c r="C134" i="48"/>
  <c r="K130" i="48"/>
  <c r="K129" i="48"/>
  <c r="C127" i="48"/>
  <c r="G109" i="48"/>
  <c r="C110" i="48"/>
  <c r="L14" i="20"/>
  <c r="C85" i="48"/>
  <c r="F85" i="48" s="1"/>
  <c r="C86" i="48" s="1"/>
  <c r="C117" i="48" s="1"/>
  <c r="C79" i="48"/>
  <c r="F79" i="48" s="1"/>
  <c r="C80" i="48" s="1"/>
  <c r="C116" i="48" s="1"/>
  <c r="K131" i="48"/>
  <c r="L8" i="47"/>
  <c r="D5" i="47"/>
  <c r="Q71" i="26"/>
  <c r="Q70" i="26"/>
  <c r="P71" i="26"/>
  <c r="P70" i="26"/>
  <c r="Q68" i="26"/>
  <c r="Q65" i="26"/>
  <c r="Q66" i="26"/>
  <c r="Q67" i="26"/>
  <c r="P65" i="26"/>
  <c r="P66" i="26"/>
  <c r="P67" i="26"/>
  <c r="P68" i="26"/>
  <c r="Q64" i="26"/>
  <c r="P64" i="26"/>
  <c r="B64" i="26"/>
  <c r="B72" i="26"/>
  <c r="B73" i="26"/>
  <c r="B74" i="26"/>
  <c r="B70" i="26"/>
  <c r="B67" i="26"/>
  <c r="B68" i="26"/>
  <c r="K68" i="26"/>
  <c r="J68" i="26"/>
  <c r="K67" i="26"/>
  <c r="J67" i="26"/>
  <c r="K66" i="26"/>
  <c r="J66" i="26"/>
  <c r="K65" i="26"/>
  <c r="J65" i="26"/>
  <c r="K64" i="26"/>
  <c r="H64" i="26"/>
  <c r="J64" i="26"/>
  <c r="M3" i="31"/>
  <c r="M4" i="31"/>
  <c r="M5" i="31"/>
  <c r="B22" i="26"/>
  <c r="M6" i="31"/>
  <c r="B23" i="26"/>
  <c r="M7" i="31"/>
  <c r="B24" i="26"/>
  <c r="M8" i="31"/>
  <c r="M9" i="31"/>
  <c r="M10" i="31"/>
  <c r="M11" i="31"/>
  <c r="B28" i="26"/>
  <c r="M12" i="31"/>
  <c r="B29" i="26"/>
  <c r="M13" i="31"/>
  <c r="B30" i="26"/>
  <c r="M14" i="31"/>
  <c r="B31" i="26"/>
  <c r="M15" i="31"/>
  <c r="B32" i="26"/>
  <c r="M16" i="31"/>
  <c r="B33" i="26"/>
  <c r="M17" i="31"/>
  <c r="B34" i="26"/>
  <c r="M18" i="31"/>
  <c r="B35" i="26"/>
  <c r="M19" i="31"/>
  <c r="B36" i="26"/>
  <c r="M20" i="31"/>
  <c r="B37" i="26"/>
  <c r="M21" i="31"/>
  <c r="B38" i="26"/>
  <c r="M22" i="31"/>
  <c r="B39" i="26"/>
  <c r="M23" i="31"/>
  <c r="B40" i="26"/>
  <c r="M24" i="31"/>
  <c r="B41" i="26"/>
  <c r="M25" i="31"/>
  <c r="B42" i="26"/>
  <c r="M26" i="31"/>
  <c r="B43" i="26"/>
  <c r="M27" i="31"/>
  <c r="B44" i="26"/>
  <c r="M2" i="31"/>
  <c r="B19" i="26" s="1"/>
  <c r="B27" i="26"/>
  <c r="B26" i="26"/>
  <c r="B25" i="26"/>
  <c r="L65" i="26"/>
  <c r="L66" i="26"/>
  <c r="L64" i="26"/>
  <c r="L67" i="26"/>
  <c r="L68" i="26"/>
  <c r="B66" i="26"/>
  <c r="B65" i="26"/>
  <c r="B71" i="26"/>
  <c r="L63" i="26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22" i="20"/>
  <c r="C145" i="34"/>
  <c r="P23" i="20"/>
  <c r="P24" i="20"/>
  <c r="P25" i="20"/>
  <c r="P26" i="20"/>
  <c r="P27" i="20"/>
  <c r="P28" i="20"/>
  <c r="P29" i="20"/>
  <c r="P30" i="20"/>
  <c r="P31" i="20"/>
  <c r="P32" i="20"/>
  <c r="P33" i="20"/>
  <c r="P34" i="20"/>
  <c r="P35" i="20"/>
  <c r="P36" i="20"/>
  <c r="P37" i="20"/>
  <c r="P38" i="20"/>
  <c r="P39" i="20"/>
  <c r="P40" i="20"/>
  <c r="P41" i="20"/>
  <c r="P42" i="20"/>
  <c r="P43" i="20"/>
  <c r="P44" i="20"/>
  <c r="P45" i="20"/>
  <c r="P46" i="20"/>
  <c r="P47" i="20"/>
  <c r="P48" i="20"/>
  <c r="P49" i="20"/>
  <c r="P50" i="20"/>
  <c r="P51" i="20"/>
  <c r="P52" i="20"/>
  <c r="P53" i="20"/>
  <c r="P54" i="20"/>
  <c r="P55" i="20"/>
  <c r="P56" i="20"/>
  <c r="P57" i="20"/>
  <c r="P58" i="20"/>
  <c r="P59" i="20"/>
  <c r="P60" i="20"/>
  <c r="P61" i="20"/>
  <c r="P62" i="20"/>
  <c r="P63" i="20"/>
  <c r="P64" i="20"/>
  <c r="P65" i="20"/>
  <c r="P66" i="20"/>
  <c r="P67" i="20"/>
  <c r="P68" i="20"/>
  <c r="P69" i="20"/>
  <c r="P70" i="20"/>
  <c r="P71" i="20"/>
  <c r="P72" i="20"/>
  <c r="P73" i="20"/>
  <c r="P74" i="20"/>
  <c r="P75" i="20"/>
  <c r="P76" i="20"/>
  <c r="P77" i="20"/>
  <c r="P78" i="20"/>
  <c r="P79" i="20"/>
  <c r="P80" i="20"/>
  <c r="P22" i="20"/>
  <c r="C144" i="34"/>
  <c r="H102" i="26"/>
  <c r="V11" i="34"/>
  <c r="V12" i="34"/>
  <c r="V14" i="34"/>
  <c r="V13" i="34"/>
  <c r="C62" i="34"/>
  <c r="C59" i="34"/>
  <c r="C61" i="34"/>
  <c r="C58" i="34"/>
  <c r="C60" i="34"/>
  <c r="C57" i="34"/>
  <c r="I121" i="26"/>
  <c r="G115" i="26"/>
  <c r="G113" i="26"/>
  <c r="G102" i="26"/>
  <c r="G101" i="26"/>
  <c r="H81" i="26"/>
  <c r="H80" i="26"/>
  <c r="U48" i="27"/>
  <c r="U47" i="27"/>
  <c r="S48" i="27"/>
  <c r="S47" i="27"/>
  <c r="R48" i="27"/>
  <c r="R47" i="27"/>
  <c r="Q48" i="27"/>
  <c r="Q47" i="27"/>
  <c r="P48" i="27"/>
  <c r="P47" i="27"/>
  <c r="O48" i="27"/>
  <c r="O47" i="27"/>
  <c r="I56" i="26"/>
  <c r="K56" i="26" s="1"/>
  <c r="I57" i="26"/>
  <c r="K57" i="26" s="1"/>
  <c r="I58" i="26"/>
  <c r="K58" i="26" s="1"/>
  <c r="I59" i="26"/>
  <c r="K59" i="26" s="1"/>
  <c r="I60" i="26"/>
  <c r="K60" i="26" s="1"/>
  <c r="I61" i="26"/>
  <c r="K61" i="26" s="1"/>
  <c r="I62" i="26"/>
  <c r="K62" i="26" s="1"/>
  <c r="H56" i="26"/>
  <c r="H57" i="26"/>
  <c r="J57" i="26" s="1"/>
  <c r="L57" i="26" s="1"/>
  <c r="H58" i="26"/>
  <c r="J58" i="26" s="1"/>
  <c r="L58" i="26" s="1"/>
  <c r="H59" i="26"/>
  <c r="J59" i="26" s="1"/>
  <c r="L59" i="26" s="1"/>
  <c r="H60" i="26"/>
  <c r="J60" i="26" s="1"/>
  <c r="L60" i="26" s="1"/>
  <c r="H61" i="26"/>
  <c r="J61" i="26" s="1"/>
  <c r="L61" i="26" s="1"/>
  <c r="H62" i="26"/>
  <c r="J62" i="26" s="1"/>
  <c r="L62" i="26" s="1"/>
  <c r="D58" i="34"/>
  <c r="X57" i="27"/>
  <c r="W57" i="27"/>
  <c r="V57" i="27"/>
  <c r="U57" i="27"/>
  <c r="T57" i="27"/>
  <c r="S57" i="27"/>
  <c r="R57" i="27"/>
  <c r="Q57" i="27"/>
  <c r="P57" i="27"/>
  <c r="O57" i="27"/>
  <c r="V51" i="12"/>
  <c r="U51" i="12"/>
  <c r="T51" i="12"/>
  <c r="S51" i="12"/>
  <c r="R51" i="12"/>
  <c r="Q51" i="12"/>
  <c r="P51" i="12"/>
  <c r="O51" i="12"/>
  <c r="N51" i="12"/>
  <c r="M51" i="12"/>
  <c r="E76" i="34"/>
  <c r="C76" i="34"/>
  <c r="F70" i="34"/>
  <c r="F71" i="34"/>
  <c r="D61" i="34"/>
  <c r="D57" i="34"/>
  <c r="C63" i="34"/>
  <c r="D63" i="34"/>
  <c r="I54" i="26"/>
  <c r="K54" i="26" s="1"/>
  <c r="I55" i="26"/>
  <c r="K55" i="26" s="1"/>
  <c r="I53" i="26"/>
  <c r="K53" i="26" s="1"/>
  <c r="AC8" i="31"/>
  <c r="M25" i="26"/>
  <c r="AC11" i="31"/>
  <c r="M28" i="26"/>
  <c r="AC19" i="31"/>
  <c r="M36" i="26"/>
  <c r="C49" i="34"/>
  <c r="C48" i="34"/>
  <c r="C47" i="34"/>
  <c r="C46" i="34"/>
  <c r="C45" i="34"/>
  <c r="C44" i="34"/>
  <c r="C43" i="34"/>
  <c r="C42" i="34"/>
  <c r="C41" i="34"/>
  <c r="C40" i="34"/>
  <c r="C38" i="34"/>
  <c r="C37" i="34"/>
  <c r="N3" i="31"/>
  <c r="Z3" i="31" s="1"/>
  <c r="N4" i="31"/>
  <c r="N5" i="31"/>
  <c r="N6" i="31"/>
  <c r="N7" i="31"/>
  <c r="Y7" i="31"/>
  <c r="N8" i="31"/>
  <c r="W8" i="31"/>
  <c r="N9" i="31"/>
  <c r="X9" i="31"/>
  <c r="N10" i="31"/>
  <c r="Z10" i="31"/>
  <c r="N11" i="31"/>
  <c r="Y11" i="31"/>
  <c r="N12" i="31"/>
  <c r="W12" i="31"/>
  <c r="N13" i="31"/>
  <c r="X13" i="31"/>
  <c r="N14" i="31"/>
  <c r="Z14" i="31"/>
  <c r="N15" i="31"/>
  <c r="Y15" i="31"/>
  <c r="N16" i="31"/>
  <c r="W16" i="31"/>
  <c r="N17" i="31"/>
  <c r="X17" i="31"/>
  <c r="N18" i="31"/>
  <c r="Z18" i="31"/>
  <c r="N19" i="31"/>
  <c r="Y19" i="31"/>
  <c r="N20" i="31"/>
  <c r="W20" i="31"/>
  <c r="N21" i="31"/>
  <c r="X21" i="31"/>
  <c r="N22" i="31"/>
  <c r="Z22" i="31"/>
  <c r="N23" i="31"/>
  <c r="Y23" i="31"/>
  <c r="N24" i="31"/>
  <c r="W24" i="31"/>
  <c r="N25" i="31"/>
  <c r="X25" i="31"/>
  <c r="N26" i="31"/>
  <c r="Z26" i="31"/>
  <c r="N27" i="31"/>
  <c r="N2" i="31"/>
  <c r="Z2" i="31" s="1"/>
  <c r="B56" i="26"/>
  <c r="B57" i="26"/>
  <c r="B58" i="26"/>
  <c r="B59" i="26"/>
  <c r="B60" i="26"/>
  <c r="B61" i="26"/>
  <c r="B62" i="26"/>
  <c r="B54" i="26"/>
  <c r="B55" i="26"/>
  <c r="B53" i="26"/>
  <c r="K74" i="26"/>
  <c r="J74" i="26"/>
  <c r="K73" i="26"/>
  <c r="J73" i="26"/>
  <c r="K72" i="26"/>
  <c r="J72" i="26"/>
  <c r="K71" i="26"/>
  <c r="J71" i="26"/>
  <c r="K70" i="26"/>
  <c r="J70" i="26"/>
  <c r="D3" i="26"/>
  <c r="D2" i="26"/>
  <c r="J56" i="26"/>
  <c r="L56" i="26" s="1"/>
  <c r="K23" i="26"/>
  <c r="K24" i="26"/>
  <c r="K25" i="26"/>
  <c r="K26" i="26"/>
  <c r="K27" i="26"/>
  <c r="K28" i="26"/>
  <c r="O14" i="34"/>
  <c r="M14" i="34"/>
  <c r="I14" i="34"/>
  <c r="J14" i="34"/>
  <c r="H14" i="34"/>
  <c r="O13" i="34"/>
  <c r="M13" i="34"/>
  <c r="I13" i="34"/>
  <c r="J13" i="34"/>
  <c r="H13" i="34"/>
  <c r="O12" i="34"/>
  <c r="M12" i="34"/>
  <c r="I12" i="34"/>
  <c r="J12" i="34"/>
  <c r="H12" i="34"/>
  <c r="O11" i="34"/>
  <c r="M11" i="34"/>
  <c r="J11" i="34"/>
  <c r="H11" i="34"/>
  <c r="O10" i="34"/>
  <c r="M10" i="34"/>
  <c r="J10" i="34"/>
  <c r="AC10" i="34"/>
  <c r="V10" i="34"/>
  <c r="H10" i="34"/>
  <c r="O9" i="34"/>
  <c r="M9" i="34"/>
  <c r="J9" i="34"/>
  <c r="AC9" i="34"/>
  <c r="V9" i="34"/>
  <c r="H9" i="34"/>
  <c r="O8" i="34"/>
  <c r="M8" i="34"/>
  <c r="J8" i="34"/>
  <c r="AC8" i="34"/>
  <c r="V8" i="34"/>
  <c r="H8" i="34"/>
  <c r="O7" i="34"/>
  <c r="M7" i="34"/>
  <c r="J7" i="34"/>
  <c r="AC7" i="34"/>
  <c r="V7" i="34"/>
  <c r="H7" i="34"/>
  <c r="O6" i="34"/>
  <c r="M6" i="34"/>
  <c r="J6" i="34"/>
  <c r="AC6" i="34"/>
  <c r="V6" i="34"/>
  <c r="H6" i="34"/>
  <c r="O5" i="34"/>
  <c r="M5" i="34"/>
  <c r="J5" i="34"/>
  <c r="AC5" i="34"/>
  <c r="V5" i="34"/>
  <c r="H5" i="34"/>
  <c r="O4" i="34"/>
  <c r="M4" i="34"/>
  <c r="J4" i="34"/>
  <c r="AC4" i="34"/>
  <c r="V4" i="34"/>
  <c r="H4" i="34"/>
  <c r="O3" i="34"/>
  <c r="M3" i="34"/>
  <c r="J3" i="34"/>
  <c r="AC3" i="34"/>
  <c r="H3" i="34"/>
  <c r="AF9" i="31"/>
  <c r="AE17" i="31"/>
  <c r="O34" i="26"/>
  <c r="AE9" i="31"/>
  <c r="O26" i="26"/>
  <c r="AD17" i="31"/>
  <c r="N34" i="26"/>
  <c r="AD9" i="31"/>
  <c r="N26" i="26"/>
  <c r="AF24" i="31"/>
  <c r="AE16" i="31"/>
  <c r="O33" i="26"/>
  <c r="AG16" i="31"/>
  <c r="Q33" i="26"/>
  <c r="AE21" i="31"/>
  <c r="O38" i="26"/>
  <c r="AF13" i="31"/>
  <c r="P30" i="26"/>
  <c r="AF17" i="31"/>
  <c r="AG26" i="31"/>
  <c r="Z27" i="31"/>
  <c r="V27" i="31"/>
  <c r="Q27" i="31"/>
  <c r="AC27" i="31"/>
  <c r="M44" i="26"/>
  <c r="AD27" i="31"/>
  <c r="N44" i="26"/>
  <c r="U27" i="31"/>
  <c r="AE27" i="31"/>
  <c r="O44" i="26"/>
  <c r="Y27" i="31"/>
  <c r="P27" i="31"/>
  <c r="AF27" i="31"/>
  <c r="P44" i="26"/>
  <c r="X27" i="31"/>
  <c r="T27" i="31"/>
  <c r="AG27" i="31"/>
  <c r="Q44" i="26"/>
  <c r="W27" i="31"/>
  <c r="S27" i="31"/>
  <c r="R27" i="31"/>
  <c r="O27" i="31"/>
  <c r="AG20" i="31"/>
  <c r="AG12" i="31"/>
  <c r="Q29" i="26"/>
  <c r="AF26" i="31"/>
  <c r="AE26" i="31"/>
  <c r="O43" i="26"/>
  <c r="AC26" i="31"/>
  <c r="M43" i="26"/>
  <c r="AD26" i="31"/>
  <c r="N43" i="26"/>
  <c r="AE25" i="31"/>
  <c r="O42" i="26"/>
  <c r="AC25" i="31"/>
  <c r="M42" i="26"/>
  <c r="AG25" i="31"/>
  <c r="AF25" i="31"/>
  <c r="AD25" i="31"/>
  <c r="N42" i="26"/>
  <c r="AE24" i="31"/>
  <c r="O41" i="26"/>
  <c r="AG24" i="31"/>
  <c r="AD24" i="31"/>
  <c r="N41" i="26"/>
  <c r="AC24" i="31"/>
  <c r="M41" i="26"/>
  <c r="P41" i="26"/>
  <c r="AG23" i="31"/>
  <c r="AF23" i="31"/>
  <c r="AD23" i="31"/>
  <c r="N40" i="26"/>
  <c r="AC23" i="31"/>
  <c r="M40" i="26"/>
  <c r="AE23" i="31"/>
  <c r="O40" i="26"/>
  <c r="AE22" i="31"/>
  <c r="O39" i="26"/>
  <c r="AD22" i="31"/>
  <c r="N39" i="26"/>
  <c r="AG22" i="31"/>
  <c r="AF22" i="31"/>
  <c r="AC22" i="31"/>
  <c r="M39" i="26"/>
  <c r="AG21" i="31"/>
  <c r="AF21" i="31"/>
  <c r="AD21" i="31"/>
  <c r="N38" i="26"/>
  <c r="AC21" i="31"/>
  <c r="M38" i="26"/>
  <c r="AF20" i="31"/>
  <c r="Q37" i="26"/>
  <c r="AE20" i="31"/>
  <c r="O37" i="26"/>
  <c r="AD20" i="31"/>
  <c r="N37" i="26"/>
  <c r="AC20" i="31"/>
  <c r="M37" i="26"/>
  <c r="AG19" i="31"/>
  <c r="AF19" i="31"/>
  <c r="AE19" i="31"/>
  <c r="O36" i="26"/>
  <c r="AD19" i="31"/>
  <c r="N36" i="26"/>
  <c r="AC18" i="31"/>
  <c r="M35" i="26"/>
  <c r="AG18" i="31"/>
  <c r="AF18" i="31"/>
  <c r="AE18" i="31"/>
  <c r="O35" i="26"/>
  <c r="AD18" i="31"/>
  <c r="N35" i="26"/>
  <c r="P34" i="26"/>
  <c r="AC17" i="31"/>
  <c r="M34" i="26"/>
  <c r="AG17" i="31"/>
  <c r="AF16" i="31"/>
  <c r="P33" i="26"/>
  <c r="AD16" i="31"/>
  <c r="N33" i="26"/>
  <c r="AC16" i="31"/>
  <c r="M33" i="26"/>
  <c r="AE15" i="31"/>
  <c r="O32" i="26"/>
  <c r="AD15" i="31"/>
  <c r="N32" i="26"/>
  <c r="AG15" i="31"/>
  <c r="Q32" i="26"/>
  <c r="AC15" i="31"/>
  <c r="M32" i="26"/>
  <c r="AF15" i="31"/>
  <c r="P32" i="26"/>
  <c r="AG14" i="31"/>
  <c r="Q31" i="26"/>
  <c r="AF14" i="31"/>
  <c r="P31" i="26"/>
  <c r="AD14" i="31"/>
  <c r="N31" i="26"/>
  <c r="AC14" i="31"/>
  <c r="M31" i="26"/>
  <c r="AE14" i="31"/>
  <c r="O31" i="26"/>
  <c r="AG13" i="31"/>
  <c r="Q30" i="26"/>
  <c r="AE13" i="31"/>
  <c r="O30" i="26"/>
  <c r="AD13" i="31"/>
  <c r="N30" i="26"/>
  <c r="AC13" i="31"/>
  <c r="M30" i="26"/>
  <c r="AF12" i="31"/>
  <c r="P29" i="26"/>
  <c r="AE12" i="31"/>
  <c r="O29" i="26"/>
  <c r="AD12" i="31"/>
  <c r="N29" i="26"/>
  <c r="AC12" i="31"/>
  <c r="M29" i="26"/>
  <c r="AG11" i="31"/>
  <c r="Q28" i="26"/>
  <c r="AF11" i="31"/>
  <c r="P28" i="26"/>
  <c r="AE11" i="31"/>
  <c r="O28" i="26"/>
  <c r="AD11" i="31"/>
  <c r="N28" i="26"/>
  <c r="AC10" i="31"/>
  <c r="M27" i="26"/>
  <c r="AG10" i="31"/>
  <c r="AF10" i="31"/>
  <c r="AE10" i="31"/>
  <c r="O27" i="26"/>
  <c r="AD10" i="31"/>
  <c r="N27" i="26"/>
  <c r="AC9" i="31"/>
  <c r="M26" i="26"/>
  <c r="AG9" i="31"/>
  <c r="AG8" i="31"/>
  <c r="AF8" i="31"/>
  <c r="P25" i="26"/>
  <c r="AD8" i="31"/>
  <c r="N25" i="26"/>
  <c r="AE8" i="31"/>
  <c r="O25" i="26"/>
  <c r="L71" i="26"/>
  <c r="P26" i="26"/>
  <c r="L73" i="26"/>
  <c r="V6" i="31"/>
  <c r="AD6" i="31"/>
  <c r="N23" i="26"/>
  <c r="AC6" i="31"/>
  <c r="M23" i="26"/>
  <c r="AC5" i="31"/>
  <c r="AD5" i="31"/>
  <c r="X4" i="31"/>
  <c r="AD4" i="31"/>
  <c r="N21" i="26"/>
  <c r="AC4" i="31"/>
  <c r="AG6" i="31"/>
  <c r="AE7" i="31"/>
  <c r="O24" i="26"/>
  <c r="AD7" i="31"/>
  <c r="N24" i="26"/>
  <c r="AG7" i="31"/>
  <c r="AC7" i="31"/>
  <c r="M24" i="26"/>
  <c r="AF7" i="31"/>
  <c r="Y5" i="31"/>
  <c r="H55" i="26"/>
  <c r="J55" i="26" s="1"/>
  <c r="H54" i="26"/>
  <c r="J54" i="26" s="1"/>
  <c r="AF6" i="31"/>
  <c r="AE6" i="31"/>
  <c r="O23" i="26"/>
  <c r="AG5" i="31"/>
  <c r="AF5" i="31"/>
  <c r="AE5" i="31"/>
  <c r="AG2" i="31"/>
  <c r="Q19" i="26" s="1"/>
  <c r="AF2" i="31"/>
  <c r="AE4" i="31"/>
  <c r="AG4" i="31"/>
  <c r="AF4" i="31"/>
  <c r="P22" i="31"/>
  <c r="R14" i="31"/>
  <c r="T23" i="31"/>
  <c r="V23" i="31"/>
  <c r="W11" i="31"/>
  <c r="P18" i="31"/>
  <c r="R10" i="31"/>
  <c r="T19" i="31"/>
  <c r="V19" i="31"/>
  <c r="W7" i="31"/>
  <c r="P6" i="31"/>
  <c r="S18" i="31"/>
  <c r="T7" i="31"/>
  <c r="V7" i="31"/>
  <c r="Y18" i="31"/>
  <c r="R26" i="31"/>
  <c r="S14" i="31"/>
  <c r="W23" i="31"/>
  <c r="Y14" i="31"/>
  <c r="U13" i="31"/>
  <c r="Z17" i="31"/>
  <c r="P14" i="31"/>
  <c r="R22" i="31"/>
  <c r="S26" i="31"/>
  <c r="S10" i="31"/>
  <c r="T15" i="31"/>
  <c r="U25" i="31"/>
  <c r="U9" i="31"/>
  <c r="V15" i="31"/>
  <c r="W19" i="31"/>
  <c r="Y26" i="31"/>
  <c r="Y10" i="31"/>
  <c r="Z13" i="31"/>
  <c r="U17" i="31"/>
  <c r="Z21" i="31"/>
  <c r="P26" i="31"/>
  <c r="P10" i="31"/>
  <c r="R18" i="31"/>
  <c r="S22" i="31"/>
  <c r="S6" i="31"/>
  <c r="T11" i="31"/>
  <c r="U21" i="31"/>
  <c r="V11" i="31"/>
  <c r="W15" i="31"/>
  <c r="Y22" i="31"/>
  <c r="Z25" i="31"/>
  <c r="Z9" i="31"/>
  <c r="O20" i="31"/>
  <c r="O12" i="31"/>
  <c r="Q24" i="31"/>
  <c r="Q12" i="31"/>
  <c r="X20" i="31"/>
  <c r="X12" i="31"/>
  <c r="X8" i="31"/>
  <c r="Y4" i="31"/>
  <c r="O23" i="31"/>
  <c r="O19" i="31"/>
  <c r="O15" i="31"/>
  <c r="O11" i="31"/>
  <c r="O7" i="31"/>
  <c r="P25" i="31"/>
  <c r="P21" i="31"/>
  <c r="P17" i="31"/>
  <c r="P13" i="31"/>
  <c r="P9" i="31"/>
  <c r="Q23" i="31"/>
  <c r="Q19" i="31"/>
  <c r="Q15" i="31"/>
  <c r="Q11" i="31"/>
  <c r="Q7" i="31"/>
  <c r="R25" i="31"/>
  <c r="R21" i="31"/>
  <c r="R17" i="31"/>
  <c r="R13" i="31"/>
  <c r="R9" i="31"/>
  <c r="S25" i="31"/>
  <c r="S21" i="31"/>
  <c r="S17" i="31"/>
  <c r="S13" i="31"/>
  <c r="S9" i="31"/>
  <c r="T26" i="31"/>
  <c r="T22" i="31"/>
  <c r="T18" i="31"/>
  <c r="T14" i="31"/>
  <c r="T10" i="31"/>
  <c r="T6" i="31"/>
  <c r="U24" i="31"/>
  <c r="U20" i="31"/>
  <c r="U16" i="31"/>
  <c r="U12" i="31"/>
  <c r="U8" i="31"/>
  <c r="V26" i="31"/>
  <c r="V22" i="31"/>
  <c r="V18" i="31"/>
  <c r="V14" i="31"/>
  <c r="V10" i="31"/>
  <c r="W26" i="31"/>
  <c r="W22" i="31"/>
  <c r="W18" i="31"/>
  <c r="W14" i="31"/>
  <c r="W10" i="31"/>
  <c r="W6" i="31"/>
  <c r="X23" i="31"/>
  <c r="X19" i="31"/>
  <c r="X15" i="31"/>
  <c r="X11" i="31"/>
  <c r="X7" i="31"/>
  <c r="Y25" i="31"/>
  <c r="Y21" i="31"/>
  <c r="Y17" i="31"/>
  <c r="Y13" i="31"/>
  <c r="Y9" i="31"/>
  <c r="Z24" i="31"/>
  <c r="Z20" i="31"/>
  <c r="Z16" i="31"/>
  <c r="Z12" i="31"/>
  <c r="Z8" i="31"/>
  <c r="O16" i="31"/>
  <c r="O8" i="31"/>
  <c r="Q20" i="31"/>
  <c r="O26" i="31"/>
  <c r="O22" i="31"/>
  <c r="O18" i="31"/>
  <c r="O14" i="31"/>
  <c r="O10" i="31"/>
  <c r="O6" i="31"/>
  <c r="P24" i="31"/>
  <c r="P20" i="31"/>
  <c r="P16" i="31"/>
  <c r="P12" i="31"/>
  <c r="P8" i="31"/>
  <c r="Q26" i="31"/>
  <c r="Q22" i="31"/>
  <c r="Q18" i="31"/>
  <c r="Q14" i="31"/>
  <c r="Q10" i="31"/>
  <c r="Q4" i="31"/>
  <c r="R24" i="31"/>
  <c r="R20" i="31"/>
  <c r="R16" i="31"/>
  <c r="R12" i="31"/>
  <c r="R8" i="31"/>
  <c r="S24" i="31"/>
  <c r="S20" i="31"/>
  <c r="S16" i="31"/>
  <c r="S12" i="31"/>
  <c r="S8" i="31"/>
  <c r="T25" i="31"/>
  <c r="T21" i="31"/>
  <c r="T17" i="31"/>
  <c r="T13" i="31"/>
  <c r="T9" i="31"/>
  <c r="U23" i="31"/>
  <c r="U19" i="31"/>
  <c r="U15" i="31"/>
  <c r="U11" i="31"/>
  <c r="U7" i="31"/>
  <c r="V25" i="31"/>
  <c r="V21" i="31"/>
  <c r="V17" i="31"/>
  <c r="V13" i="31"/>
  <c r="V9" i="31"/>
  <c r="W25" i="31"/>
  <c r="W21" i="31"/>
  <c r="W17" i="31"/>
  <c r="W13" i="31"/>
  <c r="W9" i="31"/>
  <c r="X26" i="31"/>
  <c r="X22" i="31"/>
  <c r="X18" i="31"/>
  <c r="X14" i="31"/>
  <c r="X10" i="31"/>
  <c r="X6" i="31"/>
  <c r="Y24" i="31"/>
  <c r="Y20" i="31"/>
  <c r="Y16" i="31"/>
  <c r="Y12" i="31"/>
  <c r="Y8" i="31"/>
  <c r="Z23" i="31"/>
  <c r="Z19" i="31"/>
  <c r="Z15" i="31"/>
  <c r="Z11" i="31"/>
  <c r="Z7" i="31"/>
  <c r="O24" i="31"/>
  <c r="Q16" i="31"/>
  <c r="Q8" i="31"/>
  <c r="X24" i="31"/>
  <c r="X16" i="31"/>
  <c r="O25" i="31"/>
  <c r="O21" i="31"/>
  <c r="O17" i="31"/>
  <c r="O13" i="31"/>
  <c r="O9" i="31"/>
  <c r="P2" i="31"/>
  <c r="P23" i="31"/>
  <c r="P19" i="31"/>
  <c r="P15" i="31"/>
  <c r="P11" i="31"/>
  <c r="P7" i="31"/>
  <c r="Q25" i="31"/>
  <c r="Q21" i="31"/>
  <c r="Q17" i="31"/>
  <c r="Q13" i="31"/>
  <c r="Q9" i="31"/>
  <c r="Q3" i="31"/>
  <c r="R23" i="31"/>
  <c r="R19" i="31"/>
  <c r="R15" i="31"/>
  <c r="R11" i="31"/>
  <c r="R7" i="31"/>
  <c r="S23" i="31"/>
  <c r="S19" i="31"/>
  <c r="S15" i="31"/>
  <c r="S11" i="31"/>
  <c r="S7" i="31"/>
  <c r="T24" i="31"/>
  <c r="T20" i="31"/>
  <c r="T16" i="31"/>
  <c r="T12" i="31"/>
  <c r="T8" i="31"/>
  <c r="U26" i="31"/>
  <c r="U22" i="31"/>
  <c r="U18" i="31"/>
  <c r="U14" i="31"/>
  <c r="U10" i="31"/>
  <c r="U4" i="31"/>
  <c r="V24" i="31"/>
  <c r="V20" i="31"/>
  <c r="V16" i="31"/>
  <c r="V12" i="31"/>
  <c r="V8" i="31"/>
  <c r="Z6" i="31"/>
  <c r="X2" i="31"/>
  <c r="R5" i="31"/>
  <c r="O5" i="31"/>
  <c r="R4" i="31"/>
  <c r="W5" i="31"/>
  <c r="Y2" i="31"/>
  <c r="Z5" i="31"/>
  <c r="O4" i="31"/>
  <c r="P5" i="31"/>
  <c r="Q6" i="31"/>
  <c r="S4" i="31"/>
  <c r="T5" i="31"/>
  <c r="U6" i="31"/>
  <c r="V2" i="31"/>
  <c r="W4" i="31"/>
  <c r="X5" i="31"/>
  <c r="Y6" i="31"/>
  <c r="Z4" i="31"/>
  <c r="V5" i="31"/>
  <c r="S5" i="31"/>
  <c r="V4" i="31"/>
  <c r="O2" i="31"/>
  <c r="O3" i="31"/>
  <c r="P4" i="31"/>
  <c r="Q5" i="31"/>
  <c r="R6" i="31"/>
  <c r="T4" i="31"/>
  <c r="U5" i="31"/>
  <c r="W3" i="31"/>
  <c r="L72" i="26"/>
  <c r="L70" i="26"/>
  <c r="L74" i="26"/>
  <c r="AB27" i="31"/>
  <c r="Q43" i="26"/>
  <c r="Q25" i="26"/>
  <c r="Q26" i="26"/>
  <c r="Q27" i="26"/>
  <c r="P43" i="26"/>
  <c r="P42" i="26"/>
  <c r="Q42" i="26"/>
  <c r="Q41" i="26"/>
  <c r="P40" i="26"/>
  <c r="Q40" i="26"/>
  <c r="P39" i="26"/>
  <c r="Q39" i="26"/>
  <c r="P38" i="26"/>
  <c r="Q38" i="26"/>
  <c r="P37" i="26"/>
  <c r="P36" i="26"/>
  <c r="Q36" i="26"/>
  <c r="P35" i="26"/>
  <c r="Q35" i="26"/>
  <c r="Q34" i="26"/>
  <c r="P27" i="26"/>
  <c r="L69" i="26"/>
  <c r="P24" i="26"/>
  <c r="Q24" i="26"/>
  <c r="P23" i="26"/>
  <c r="Q23" i="26"/>
  <c r="P22" i="26"/>
  <c r="Q22" i="26"/>
  <c r="M22" i="26"/>
  <c r="N22" i="26"/>
  <c r="O22" i="26"/>
  <c r="M21" i="26"/>
  <c r="H53" i="26"/>
  <c r="J53" i="26" s="1"/>
  <c r="O21" i="26"/>
  <c r="P21" i="26"/>
  <c r="Q21" i="26"/>
  <c r="P19" i="26"/>
  <c r="AB20" i="31"/>
  <c r="H37" i="26"/>
  <c r="J37" i="26"/>
  <c r="L37" i="26"/>
  <c r="AB17" i="31"/>
  <c r="H34" i="26"/>
  <c r="J34" i="26"/>
  <c r="L34" i="26"/>
  <c r="AB12" i="31"/>
  <c r="H29" i="26"/>
  <c r="J29" i="26"/>
  <c r="L29" i="26"/>
  <c r="AB11" i="31"/>
  <c r="H28" i="26"/>
  <c r="J28" i="26"/>
  <c r="L28" i="26"/>
  <c r="AB8" i="31"/>
  <c r="H25" i="26"/>
  <c r="J25" i="26"/>
  <c r="L25" i="26"/>
  <c r="AB24" i="31"/>
  <c r="H41" i="26"/>
  <c r="J41" i="26"/>
  <c r="L41" i="26"/>
  <c r="AB16" i="31"/>
  <c r="H33" i="26"/>
  <c r="J33" i="26"/>
  <c r="L33" i="26"/>
  <c r="AB4" i="31"/>
  <c r="AB22" i="31"/>
  <c r="H39" i="26"/>
  <c r="J39" i="26"/>
  <c r="L39" i="26"/>
  <c r="AB23" i="31"/>
  <c r="H40" i="26"/>
  <c r="J40" i="26"/>
  <c r="L40" i="26"/>
  <c r="AB21" i="31"/>
  <c r="H38" i="26"/>
  <c r="J38" i="26"/>
  <c r="L38" i="26"/>
  <c r="AB10" i="31"/>
  <c r="AB26" i="31"/>
  <c r="H43" i="26"/>
  <c r="J43" i="26"/>
  <c r="L43" i="26"/>
  <c r="AB9" i="31"/>
  <c r="H26" i="26"/>
  <c r="J26" i="26"/>
  <c r="L26" i="26"/>
  <c r="AB25" i="31"/>
  <c r="H42" i="26"/>
  <c r="J42" i="26"/>
  <c r="L42" i="26"/>
  <c r="AB14" i="31"/>
  <c r="H31" i="26"/>
  <c r="J31" i="26"/>
  <c r="L31" i="26"/>
  <c r="AB15" i="31"/>
  <c r="H32" i="26"/>
  <c r="J32" i="26"/>
  <c r="L32" i="26"/>
  <c r="H44" i="26"/>
  <c r="J44" i="26"/>
  <c r="L44" i="26"/>
  <c r="AB13" i="31"/>
  <c r="H30" i="26"/>
  <c r="J30" i="26"/>
  <c r="L30" i="26"/>
  <c r="AB18" i="31"/>
  <c r="H35" i="26"/>
  <c r="J35" i="26"/>
  <c r="L35" i="26"/>
  <c r="AB7" i="31"/>
  <c r="H24" i="26"/>
  <c r="J24" i="26"/>
  <c r="L24" i="26"/>
  <c r="AB19" i="31"/>
  <c r="H36" i="26"/>
  <c r="J36" i="26"/>
  <c r="L36" i="26"/>
  <c r="AB6" i="31"/>
  <c r="H23" i="26"/>
  <c r="J23" i="26"/>
  <c r="L23" i="26"/>
  <c r="AB5" i="31"/>
  <c r="D6" i="26"/>
  <c r="J23" i="25"/>
  <c r="L23" i="25"/>
  <c r="N23" i="25"/>
  <c r="O23" i="25"/>
  <c r="P23" i="25"/>
  <c r="J24" i="25"/>
  <c r="L24" i="25"/>
  <c r="N24" i="25"/>
  <c r="P24" i="25"/>
  <c r="J25" i="25"/>
  <c r="O25" i="25"/>
  <c r="L25" i="25"/>
  <c r="N25" i="25"/>
  <c r="P25" i="25"/>
  <c r="J26" i="25"/>
  <c r="L26" i="25"/>
  <c r="N26" i="25"/>
  <c r="P26" i="25"/>
  <c r="J27" i="25"/>
  <c r="L27" i="25"/>
  <c r="N27" i="25"/>
  <c r="O27" i="25"/>
  <c r="P27" i="25"/>
  <c r="O24" i="25"/>
  <c r="H22" i="26"/>
  <c r="J22" i="26"/>
  <c r="H21" i="26"/>
  <c r="H27" i="26"/>
  <c r="J27" i="26"/>
  <c r="L27" i="26"/>
  <c r="O26" i="25"/>
  <c r="AC16" i="25"/>
  <c r="AC13" i="25"/>
  <c r="AB16" i="25"/>
  <c r="AB13" i="25"/>
  <c r="AA16" i="25"/>
  <c r="AA13" i="25"/>
  <c r="Z16" i="25"/>
  <c r="Z13" i="25"/>
  <c r="C7" i="27"/>
  <c r="V321" i="26"/>
  <c r="V320" i="26"/>
  <c r="V319" i="26"/>
  <c r="V318" i="26"/>
  <c r="V317" i="26"/>
  <c r="V316" i="26"/>
  <c r="V315" i="26"/>
  <c r="V314" i="26"/>
  <c r="V313" i="26"/>
  <c r="V312" i="26"/>
  <c r="V311" i="26"/>
  <c r="V310" i="26"/>
  <c r="AC232" i="26"/>
  <c r="AC231" i="26"/>
  <c r="AC230" i="26"/>
  <c r="AC229" i="26"/>
  <c r="AC228" i="26"/>
  <c r="AC227" i="26"/>
  <c r="AC226" i="26"/>
  <c r="AC225" i="26"/>
  <c r="AC224" i="26"/>
  <c r="AC223" i="26"/>
  <c r="AC222" i="26"/>
  <c r="AC221" i="26"/>
  <c r="AC220" i="26"/>
  <c r="AC195" i="26"/>
  <c r="AC194" i="26"/>
  <c r="AC193" i="26"/>
  <c r="AC192" i="26"/>
  <c r="AC191" i="26"/>
  <c r="AC190" i="26"/>
  <c r="AC189" i="26"/>
  <c r="AC188" i="26"/>
  <c r="AC187" i="26"/>
  <c r="AC186" i="26"/>
  <c r="AC185" i="26"/>
  <c r="AC184" i="26"/>
  <c r="AJ164" i="26"/>
  <c r="Z138" i="26"/>
  <c r="Z162" i="26"/>
  <c r="Y162" i="26"/>
  <c r="X162" i="26"/>
  <c r="W162" i="26"/>
  <c r="V162" i="26"/>
  <c r="U162" i="26"/>
  <c r="AB162" i="26"/>
  <c r="T162" i="26"/>
  <c r="AJ159" i="26"/>
  <c r="Y138" i="26"/>
  <c r="Z158" i="26"/>
  <c r="Y158" i="26"/>
  <c r="X158" i="26"/>
  <c r="W158" i="26"/>
  <c r="V158" i="26"/>
  <c r="U158" i="26"/>
  <c r="AB158" i="26"/>
  <c r="T158" i="26"/>
  <c r="AJ155" i="26"/>
  <c r="X138" i="26"/>
  <c r="Z154" i="26"/>
  <c r="Y154" i="26"/>
  <c r="X154" i="26"/>
  <c r="W154" i="26"/>
  <c r="V154" i="26"/>
  <c r="U154" i="26"/>
  <c r="AB154" i="26"/>
  <c r="T154" i="26"/>
  <c r="AJ151" i="26"/>
  <c r="W138" i="26"/>
  <c r="Z150" i="26"/>
  <c r="Y150" i="26"/>
  <c r="X150" i="26"/>
  <c r="W150" i="26"/>
  <c r="V150" i="26"/>
  <c r="U150" i="26"/>
  <c r="AB150" i="26"/>
  <c r="T150" i="26"/>
  <c r="W146" i="26"/>
  <c r="T146" i="26"/>
  <c r="AJ145" i="26"/>
  <c r="V138" i="26"/>
  <c r="Z142" i="26"/>
  <c r="Y142" i="26"/>
  <c r="X142" i="26"/>
  <c r="W142" i="26"/>
  <c r="V142" i="26"/>
  <c r="U142" i="26"/>
  <c r="T142" i="26"/>
  <c r="AJ138" i="26"/>
  <c r="U138" i="26"/>
  <c r="T138" i="26"/>
  <c r="J121" i="26"/>
  <c r="K121" i="26"/>
  <c r="K119" i="26"/>
  <c r="J119" i="26"/>
  <c r="K117" i="26"/>
  <c r="J117" i="26"/>
  <c r="H115" i="26"/>
  <c r="K115" i="26"/>
  <c r="H114" i="26"/>
  <c r="H113" i="26"/>
  <c r="G114" i="26"/>
  <c r="K114" i="26"/>
  <c r="K112" i="26"/>
  <c r="H112" i="26"/>
  <c r="J112" i="26"/>
  <c r="G111" i="26"/>
  <c r="J111" i="26"/>
  <c r="K107" i="26"/>
  <c r="H107" i="26"/>
  <c r="J107" i="26"/>
  <c r="K105" i="26"/>
  <c r="J105" i="26"/>
  <c r="K103" i="26"/>
  <c r="H103" i="26"/>
  <c r="J103" i="26"/>
  <c r="K102" i="26"/>
  <c r="H101" i="26"/>
  <c r="K101" i="26"/>
  <c r="K99" i="26"/>
  <c r="H99" i="26"/>
  <c r="J99" i="26"/>
  <c r="H98" i="26"/>
  <c r="H97" i="26"/>
  <c r="G97" i="26"/>
  <c r="H94" i="26"/>
  <c r="H93" i="26"/>
  <c r="H92" i="26"/>
  <c r="G91" i="26"/>
  <c r="J91" i="26"/>
  <c r="K90" i="26"/>
  <c r="J90" i="26"/>
  <c r="K88" i="26"/>
  <c r="J88" i="26"/>
  <c r="K87" i="26"/>
  <c r="H87" i="26"/>
  <c r="J87" i="26"/>
  <c r="K86" i="26"/>
  <c r="H86" i="26"/>
  <c r="J86" i="26"/>
  <c r="K85" i="26"/>
  <c r="H85" i="26"/>
  <c r="J85" i="26"/>
  <c r="K84" i="26"/>
  <c r="J84" i="26"/>
  <c r="K83" i="26"/>
  <c r="J83" i="26"/>
  <c r="K81" i="26"/>
  <c r="J81" i="26"/>
  <c r="K80" i="26"/>
  <c r="J80" i="26"/>
  <c r="K79" i="26"/>
  <c r="J79" i="26"/>
  <c r="K78" i="26"/>
  <c r="J78" i="26"/>
  <c r="K77" i="26"/>
  <c r="J77" i="26"/>
  <c r="K76" i="26"/>
  <c r="J76" i="26"/>
  <c r="K22" i="26"/>
  <c r="E11" i="26"/>
  <c r="F11" i="26" s="1"/>
  <c r="D5" i="26"/>
  <c r="C1" i="26"/>
  <c r="K97" i="26"/>
  <c r="B81" i="19" a="1"/>
  <c r="B81" i="19"/>
  <c r="L86" i="26"/>
  <c r="L88" i="26"/>
  <c r="L81" i="26"/>
  <c r="L76" i="26"/>
  <c r="L78" i="26"/>
  <c r="L87" i="26"/>
  <c r="L117" i="26"/>
  <c r="L116" i="26"/>
  <c r="L84" i="26"/>
  <c r="K91" i="26"/>
  <c r="L91" i="26"/>
  <c r="J115" i="26"/>
  <c r="L115" i="26"/>
  <c r="L22" i="26"/>
  <c r="L90" i="26"/>
  <c r="J113" i="26"/>
  <c r="G98" i="26"/>
  <c r="L103" i="26"/>
  <c r="L107" i="26"/>
  <c r="L106" i="26"/>
  <c r="L99" i="26"/>
  <c r="L112" i="26"/>
  <c r="L121" i="26"/>
  <c r="L120" i="26"/>
  <c r="AB142" i="26"/>
  <c r="AO140" i="26"/>
  <c r="L77" i="26"/>
  <c r="L79" i="26"/>
  <c r="L85" i="26"/>
  <c r="J101" i="26"/>
  <c r="L101" i="26"/>
  <c r="K113" i="26"/>
  <c r="AB146" i="26"/>
  <c r="AB138" i="26"/>
  <c r="AO139" i="26"/>
  <c r="L80" i="26"/>
  <c r="L83" i="26"/>
  <c r="J97" i="26"/>
  <c r="J102" i="26"/>
  <c r="L105" i="26"/>
  <c r="L104" i="26"/>
  <c r="K111" i="26"/>
  <c r="L111" i="26"/>
  <c r="L119" i="26"/>
  <c r="L118" i="26"/>
  <c r="J114" i="26"/>
  <c r="L114" i="26"/>
  <c r="L97" i="26"/>
  <c r="L75" i="26"/>
  <c r="L82" i="26"/>
  <c r="K98" i="26"/>
  <c r="L102" i="26"/>
  <c r="L100" i="26"/>
  <c r="J98" i="26"/>
  <c r="L113" i="26"/>
  <c r="L98" i="26"/>
  <c r="L96" i="26"/>
  <c r="N22" i="25"/>
  <c r="N21" i="25"/>
  <c r="J22" i="25"/>
  <c r="P22" i="25"/>
  <c r="J28" i="25"/>
  <c r="L28" i="25"/>
  <c r="N28" i="25"/>
  <c r="P28" i="25"/>
  <c r="J29" i="25"/>
  <c r="O29" i="25"/>
  <c r="N29" i="25"/>
  <c r="P29" i="25"/>
  <c r="L22" i="25"/>
  <c r="M22" i="25"/>
  <c r="K22" i="25"/>
  <c r="O28" i="25"/>
  <c r="L29" i="25"/>
  <c r="O22" i="25"/>
  <c r="P21" i="25"/>
  <c r="J21" i="25"/>
  <c r="A17" i="25"/>
  <c r="A16" i="25"/>
  <c r="H11" i="25"/>
  <c r="G7" i="25"/>
  <c r="F6" i="25"/>
  <c r="F5" i="25"/>
  <c r="F4" i="25"/>
  <c r="G3" i="25"/>
  <c r="F3" i="25"/>
  <c r="F2" i="25"/>
  <c r="I46" i="17"/>
  <c r="K46" i="17"/>
  <c r="L21" i="25"/>
  <c r="M21" i="25"/>
  <c r="K21" i="25"/>
  <c r="O21" i="25"/>
  <c r="T19" i="20"/>
  <c r="C83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22" i="20"/>
  <c r="U39" i="20"/>
  <c r="T39" i="20"/>
  <c r="H27" i="20"/>
  <c r="AD27" i="20"/>
  <c r="H28" i="20"/>
  <c r="AD28" i="20"/>
  <c r="H29" i="20"/>
  <c r="AD29" i="20"/>
  <c r="H30" i="20"/>
  <c r="AD30" i="20"/>
  <c r="H31" i="20"/>
  <c r="AD31" i="20"/>
  <c r="H32" i="20"/>
  <c r="AD32" i="20"/>
  <c r="H33" i="20"/>
  <c r="AD33" i="20"/>
  <c r="H34" i="20"/>
  <c r="AD34" i="20"/>
  <c r="H35" i="20"/>
  <c r="AD35" i="20"/>
  <c r="H36" i="20"/>
  <c r="H37" i="20"/>
  <c r="AD37" i="20"/>
  <c r="H38" i="20"/>
  <c r="AD38" i="20"/>
  <c r="H39" i="20"/>
  <c r="AD39" i="20"/>
  <c r="H40" i="20"/>
  <c r="AD40" i="20"/>
  <c r="H41" i="20"/>
  <c r="AD41" i="20"/>
  <c r="H42" i="20"/>
  <c r="AD42" i="20"/>
  <c r="H43" i="20"/>
  <c r="AD43" i="20"/>
  <c r="H44" i="20"/>
  <c r="AD44" i="20"/>
  <c r="H45" i="20"/>
  <c r="AD45" i="20"/>
  <c r="H46" i="20"/>
  <c r="AD46" i="20"/>
  <c r="H47" i="20"/>
  <c r="AD47" i="20"/>
  <c r="H48" i="20"/>
  <c r="AD48" i="20"/>
  <c r="H49" i="20"/>
  <c r="AD49" i="20"/>
  <c r="H50" i="20"/>
  <c r="AD50" i="20"/>
  <c r="H51" i="20"/>
  <c r="AD51" i="20"/>
  <c r="H52" i="20"/>
  <c r="AD52" i="20"/>
  <c r="H53" i="20"/>
  <c r="AD53" i="20"/>
  <c r="H54" i="20"/>
  <c r="AD54" i="20"/>
  <c r="H55" i="20"/>
  <c r="AD55" i="20"/>
  <c r="H56" i="20"/>
  <c r="AD56" i="20"/>
  <c r="H57" i="20"/>
  <c r="AD57" i="20"/>
  <c r="H58" i="20"/>
  <c r="AD58" i="20"/>
  <c r="H59" i="20"/>
  <c r="H60" i="20"/>
  <c r="AD60" i="20"/>
  <c r="H61" i="20"/>
  <c r="AD61" i="20"/>
  <c r="H62" i="20"/>
  <c r="AD62" i="20"/>
  <c r="H63" i="20"/>
  <c r="AD63" i="20"/>
  <c r="H64" i="20"/>
  <c r="AD64" i="20"/>
  <c r="H65" i="20"/>
  <c r="AD65" i="20"/>
  <c r="H66" i="20"/>
  <c r="AD66" i="20"/>
  <c r="H67" i="20"/>
  <c r="H68" i="20"/>
  <c r="AD68" i="20"/>
  <c r="H69" i="20"/>
  <c r="AD69" i="20"/>
  <c r="H70" i="20"/>
  <c r="AD70" i="20"/>
  <c r="H71" i="20"/>
  <c r="AD71" i="20"/>
  <c r="H72" i="20"/>
  <c r="AD72" i="20"/>
  <c r="H73" i="20"/>
  <c r="AD73" i="20"/>
  <c r="H74" i="20"/>
  <c r="AD74" i="20"/>
  <c r="H75" i="20"/>
  <c r="AD75" i="20"/>
  <c r="H76" i="20"/>
  <c r="AD76" i="20"/>
  <c r="H77" i="20"/>
  <c r="AD77" i="20"/>
  <c r="H78" i="20"/>
  <c r="AD78" i="20"/>
  <c r="H79" i="20"/>
  <c r="H80" i="20"/>
  <c r="AD80" i="20"/>
  <c r="H26" i="20"/>
  <c r="H25" i="20"/>
  <c r="AD25" i="20"/>
  <c r="H23" i="20"/>
  <c r="AD23" i="20"/>
  <c r="AD36" i="20"/>
  <c r="AD59" i="20"/>
  <c r="AD67" i="20"/>
  <c r="AD79" i="20"/>
  <c r="E52" i="20"/>
  <c r="J52" i="20"/>
  <c r="I52" i="20"/>
  <c r="E53" i="20"/>
  <c r="J53" i="20"/>
  <c r="I53" i="20"/>
  <c r="E54" i="20"/>
  <c r="J54" i="20"/>
  <c r="I54" i="20"/>
  <c r="L55" i="20"/>
  <c r="I55" i="20"/>
  <c r="E56" i="20"/>
  <c r="J56" i="20"/>
  <c r="I56" i="20"/>
  <c r="E57" i="20"/>
  <c r="J57" i="20"/>
  <c r="I57" i="20"/>
  <c r="E58" i="20"/>
  <c r="J58" i="20"/>
  <c r="I58" i="20"/>
  <c r="L59" i="20"/>
  <c r="I59" i="20"/>
  <c r="E60" i="20"/>
  <c r="J60" i="20"/>
  <c r="I60" i="20"/>
  <c r="E61" i="20"/>
  <c r="J61" i="20"/>
  <c r="I61" i="20"/>
  <c r="E62" i="20"/>
  <c r="J62" i="20"/>
  <c r="I62" i="20"/>
  <c r="L63" i="20"/>
  <c r="I63" i="20"/>
  <c r="E64" i="20"/>
  <c r="J64" i="20"/>
  <c r="I64" i="20"/>
  <c r="E65" i="20"/>
  <c r="J65" i="20"/>
  <c r="I65" i="20"/>
  <c r="E66" i="20"/>
  <c r="J66" i="20"/>
  <c r="I66" i="20"/>
  <c r="E67" i="20"/>
  <c r="J67" i="20"/>
  <c r="L67" i="20"/>
  <c r="I67" i="20"/>
  <c r="E68" i="20"/>
  <c r="J68" i="20"/>
  <c r="I68" i="20"/>
  <c r="E69" i="20"/>
  <c r="J69" i="20"/>
  <c r="I69" i="20"/>
  <c r="E70" i="20"/>
  <c r="J70" i="20"/>
  <c r="I70" i="20"/>
  <c r="L71" i="20"/>
  <c r="I71" i="20"/>
  <c r="E72" i="20"/>
  <c r="J72" i="20"/>
  <c r="I72" i="20"/>
  <c r="E73" i="20"/>
  <c r="J73" i="20"/>
  <c r="I73" i="20"/>
  <c r="E74" i="20"/>
  <c r="J74" i="20"/>
  <c r="I74" i="20"/>
  <c r="E75" i="20"/>
  <c r="J75" i="20"/>
  <c r="I75" i="20"/>
  <c r="E76" i="20"/>
  <c r="J76" i="20"/>
  <c r="I76" i="20"/>
  <c r="E77" i="20"/>
  <c r="J77" i="20"/>
  <c r="I77" i="20"/>
  <c r="E78" i="20"/>
  <c r="J78" i="20"/>
  <c r="I78" i="20"/>
  <c r="L79" i="20"/>
  <c r="I79" i="20"/>
  <c r="E80" i="20"/>
  <c r="J80" i="20"/>
  <c r="I80" i="20"/>
  <c r="E59" i="20"/>
  <c r="J59" i="20"/>
  <c r="L75" i="20"/>
  <c r="E71" i="20"/>
  <c r="J71" i="20"/>
  <c r="E63" i="20"/>
  <c r="J63" i="20"/>
  <c r="E55" i="20"/>
  <c r="J55" i="20"/>
  <c r="E79" i="20"/>
  <c r="J79" i="20"/>
  <c r="L78" i="20"/>
  <c r="L54" i="20"/>
  <c r="L77" i="20"/>
  <c r="L73" i="20"/>
  <c r="L69" i="20"/>
  <c r="L65" i="20"/>
  <c r="L61" i="20"/>
  <c r="L57" i="20"/>
  <c r="L53" i="20"/>
  <c r="L74" i="20"/>
  <c r="L70" i="20"/>
  <c r="L66" i="20"/>
  <c r="L62" i="20"/>
  <c r="L58" i="20"/>
  <c r="L80" i="20"/>
  <c r="L76" i="20"/>
  <c r="L72" i="20"/>
  <c r="L68" i="20"/>
  <c r="L64" i="20"/>
  <c r="L60" i="20"/>
  <c r="L56" i="20"/>
  <c r="L52" i="20"/>
  <c r="B107" i="19"/>
  <c r="B103" i="19"/>
  <c r="B99" i="19"/>
  <c r="B89" i="19"/>
  <c r="B85" i="19"/>
  <c r="C62" i="19"/>
  <c r="B106" i="19" s="1"/>
  <c r="G105" i="19" s="1"/>
  <c r="G106" i="19" s="1"/>
  <c r="C61" i="19"/>
  <c r="B102" i="19" s="1"/>
  <c r="G101" i="19" s="1"/>
  <c r="G102" i="19" s="1"/>
  <c r="C60" i="19"/>
  <c r="B98" i="19" s="1"/>
  <c r="G97" i="19" s="1"/>
  <c r="G98" i="19" s="1"/>
  <c r="B62" i="19"/>
  <c r="B67" i="19" s="1"/>
  <c r="B61" i="19"/>
  <c r="B66" i="19" s="1"/>
  <c r="B60" i="19"/>
  <c r="B65" i="19" s="1"/>
  <c r="B51" i="4"/>
  <c r="B50" i="4"/>
  <c r="B49" i="4"/>
  <c r="B48" i="4"/>
  <c r="L48" i="4"/>
  <c r="B45" i="4"/>
  <c r="B46" i="4"/>
  <c r="B44" i="4"/>
  <c r="B43" i="4"/>
  <c r="B40" i="4"/>
  <c r="B39" i="4"/>
  <c r="B38" i="4"/>
  <c r="B37" i="4"/>
  <c r="B31" i="4"/>
  <c r="D30" i="4" s="1"/>
  <c r="B30" i="4"/>
  <c r="C30" i="4" s="1"/>
  <c r="E30" i="4" s="1"/>
  <c r="B24" i="4"/>
  <c r="D23" i="4" s="1"/>
  <c r="B23" i="4"/>
  <c r="B16" i="4"/>
  <c r="D15" i="4" s="1"/>
  <c r="B15" i="4"/>
  <c r="C15" i="4" s="1"/>
  <c r="E15" i="4" s="1"/>
  <c r="B9" i="4"/>
  <c r="D8" i="4" s="1"/>
  <c r="B8" i="4"/>
  <c r="C8" i="4" s="1"/>
  <c r="E8" i="4" s="1"/>
  <c r="E4" i="17"/>
  <c r="E3" i="17"/>
  <c r="E2" i="17"/>
  <c r="C4" i="20"/>
  <c r="C3" i="20"/>
  <c r="C2" i="20"/>
  <c r="D62" i="19"/>
  <c r="B88" i="19" s="1"/>
  <c r="G87" i="19" s="1"/>
  <c r="G88" i="19" s="1"/>
  <c r="E62" i="19" s="1"/>
  <c r="D60" i="19"/>
  <c r="B80" i="19" s="1"/>
  <c r="G79" i="19" s="1"/>
  <c r="G80" i="19" s="1"/>
  <c r="E60" i="19" s="1"/>
  <c r="G83" i="20"/>
  <c r="D83" i="20"/>
  <c r="D61" i="19"/>
  <c r="B84" i="19" s="1"/>
  <c r="G83" i="19" s="1"/>
  <c r="G84" i="19" s="1"/>
  <c r="E61" i="19" s="1"/>
  <c r="C6" i="20"/>
  <c r="E6" i="17"/>
  <c r="F3" i="20"/>
  <c r="F3" i="17"/>
  <c r="F7" i="17"/>
  <c r="F7" i="20"/>
  <c r="L15" i="20"/>
  <c r="M15" i="20"/>
  <c r="L16" i="20"/>
  <c r="M16" i="20"/>
  <c r="L17" i="20"/>
  <c r="M17" i="20"/>
  <c r="L18" i="20"/>
  <c r="M18" i="20"/>
  <c r="M14" i="20"/>
  <c r="AG103" i="20"/>
  <c r="AG104" i="20"/>
  <c r="AG105" i="20"/>
  <c r="AG106" i="20"/>
  <c r="AG107" i="20"/>
  <c r="AG108" i="20"/>
  <c r="AG110" i="20"/>
  <c r="AG102" i="20"/>
  <c r="Y13" i="20"/>
  <c r="W14" i="20"/>
  <c r="Y14" i="20"/>
  <c r="Z14" i="20"/>
  <c r="Z13" i="20"/>
  <c r="H24" i="20"/>
  <c r="AD24" i="20"/>
  <c r="AD26" i="20"/>
  <c r="H22" i="20"/>
  <c r="E22" i="20" s="1"/>
  <c r="I25" i="20"/>
  <c r="I26" i="20"/>
  <c r="I27" i="20"/>
  <c r="I28" i="20"/>
  <c r="I29" i="20"/>
  <c r="I30" i="20"/>
  <c r="I31" i="20"/>
  <c r="I32" i="20"/>
  <c r="I33" i="20"/>
  <c r="I34" i="20"/>
  <c r="I35" i="20"/>
  <c r="I36" i="20"/>
  <c r="I37" i="20"/>
  <c r="I38" i="20"/>
  <c r="I39" i="20"/>
  <c r="I40" i="20"/>
  <c r="I41" i="20"/>
  <c r="I42" i="20"/>
  <c r="I43" i="20"/>
  <c r="I44" i="20"/>
  <c r="I45" i="20"/>
  <c r="I46" i="20"/>
  <c r="I47" i="20"/>
  <c r="I48" i="20"/>
  <c r="I49" i="20"/>
  <c r="I50" i="20"/>
  <c r="I51" i="20"/>
  <c r="L25" i="20"/>
  <c r="L26" i="20"/>
  <c r="L27" i="20"/>
  <c r="L28" i="20"/>
  <c r="L29" i="20"/>
  <c r="L30" i="20"/>
  <c r="E31" i="20"/>
  <c r="J31" i="20"/>
  <c r="E32" i="20"/>
  <c r="J32" i="20"/>
  <c r="L33" i="20"/>
  <c r="L34" i="20"/>
  <c r="E35" i="20"/>
  <c r="J35" i="20"/>
  <c r="E36" i="20"/>
  <c r="J36" i="20"/>
  <c r="L37" i="20"/>
  <c r="L38" i="20"/>
  <c r="E39" i="20"/>
  <c r="J39" i="20"/>
  <c r="E40" i="20"/>
  <c r="J40" i="20"/>
  <c r="L41" i="20"/>
  <c r="E42" i="20"/>
  <c r="J42" i="20"/>
  <c r="E43" i="20"/>
  <c r="J43" i="20"/>
  <c r="E44" i="20"/>
  <c r="J44" i="20"/>
  <c r="E45" i="20"/>
  <c r="J45" i="20"/>
  <c r="L46" i="20"/>
  <c r="E47" i="20"/>
  <c r="J47" i="20"/>
  <c r="E48" i="20"/>
  <c r="J48" i="20"/>
  <c r="L49" i="20"/>
  <c r="L50" i="20"/>
  <c r="E51" i="20"/>
  <c r="J51" i="20"/>
  <c r="I22" i="20"/>
  <c r="I23" i="20"/>
  <c r="L23" i="20"/>
  <c r="E23" i="20"/>
  <c r="J23" i="20"/>
  <c r="E38" i="20"/>
  <c r="J38" i="20"/>
  <c r="E34" i="20"/>
  <c r="J34" i="20"/>
  <c r="L40" i="20"/>
  <c r="L32" i="20"/>
  <c r="E50" i="20"/>
  <c r="J50" i="20"/>
  <c r="E30" i="20"/>
  <c r="J30" i="20"/>
  <c r="L39" i="20"/>
  <c r="L31" i="20"/>
  <c r="E49" i="20"/>
  <c r="J49" i="20"/>
  <c r="L36" i="20"/>
  <c r="L35" i="20"/>
  <c r="L45" i="20"/>
  <c r="E46" i="20"/>
  <c r="J46" i="20"/>
  <c r="E37" i="20"/>
  <c r="J37" i="20"/>
  <c r="E29" i="20"/>
  <c r="J29" i="20"/>
  <c r="L48" i="20"/>
  <c r="L44" i="20"/>
  <c r="L51" i="20"/>
  <c r="L47" i="20"/>
  <c r="L43" i="20"/>
  <c r="E41" i="20"/>
  <c r="J41" i="20"/>
  <c r="E33" i="20"/>
  <c r="J33" i="20"/>
  <c r="L42" i="20"/>
  <c r="I24" i="20"/>
  <c r="E24" i="20"/>
  <c r="J24" i="20"/>
  <c r="K83" i="20"/>
  <c r="AE209" i="20"/>
  <c r="AI199" i="20"/>
  <c r="AI183" i="20"/>
  <c r="AI182" i="20"/>
  <c r="AI154" i="20"/>
  <c r="AI147" i="20"/>
  <c r="AI139" i="20"/>
  <c r="AI130" i="20"/>
  <c r="AI129" i="20"/>
  <c r="AI142" i="20"/>
  <c r="Y49" i="20"/>
  <c r="Y48" i="20"/>
  <c r="Y47" i="20"/>
  <c r="Y46" i="20"/>
  <c r="Y45" i="20"/>
  <c r="Y25" i="20"/>
  <c r="Y24" i="20"/>
  <c r="Z24" i="20"/>
  <c r="Y23" i="20"/>
  <c r="Z23" i="20"/>
  <c r="Y22" i="20"/>
  <c r="Z22" i="20"/>
  <c r="Y21" i="20"/>
  <c r="Z21" i="20"/>
  <c r="Y20" i="20"/>
  <c r="Z20" i="20"/>
  <c r="Y19" i="20"/>
  <c r="Z19" i="20"/>
  <c r="Z27" i="20" s="1"/>
  <c r="Y18" i="20"/>
  <c r="Z18" i="20"/>
  <c r="Y17" i="20"/>
  <c r="Z17" i="20"/>
  <c r="Y16" i="20"/>
  <c r="Z16" i="20"/>
  <c r="Y15" i="20"/>
  <c r="C5" i="20"/>
  <c r="Z15" i="20"/>
  <c r="Y27" i="20"/>
  <c r="Z25" i="20"/>
  <c r="E27" i="20"/>
  <c r="J27" i="20"/>
  <c r="E26" i="20"/>
  <c r="J26" i="20"/>
  <c r="E25" i="20"/>
  <c r="J25" i="20"/>
  <c r="E28" i="20"/>
  <c r="J28" i="20"/>
  <c r="I83" i="20"/>
  <c r="Y26" i="20" s="1"/>
  <c r="H14" i="20"/>
  <c r="AI180" i="20"/>
  <c r="L24" i="20"/>
  <c r="AI198" i="20"/>
  <c r="H15" i="20"/>
  <c r="AI160" i="20"/>
  <c r="H16" i="20"/>
  <c r="AI138" i="20"/>
  <c r="C75" i="19"/>
  <c r="E75" i="19"/>
  <c r="D56" i="19"/>
  <c r="A56" i="19"/>
  <c r="D30" i="19"/>
  <c r="C30" i="19"/>
  <c r="D23" i="19"/>
  <c r="C23" i="19"/>
  <c r="D15" i="19"/>
  <c r="C15" i="19"/>
  <c r="D8" i="19"/>
  <c r="C8" i="19"/>
  <c r="E23" i="19"/>
  <c r="E15" i="19"/>
  <c r="E30" i="19"/>
  <c r="F56" i="19"/>
  <c r="E8" i="19"/>
  <c r="C43" i="19"/>
  <c r="F43" i="19"/>
  <c r="C37" i="19"/>
  <c r="F37" i="19"/>
  <c r="A38" i="17"/>
  <c r="A37" i="17"/>
  <c r="A36" i="17"/>
  <c r="A35" i="17"/>
  <c r="A34" i="17"/>
  <c r="A32" i="17"/>
  <c r="A31" i="17"/>
  <c r="A30" i="17"/>
  <c r="A29" i="17"/>
  <c r="A28" i="17"/>
  <c r="A27" i="17"/>
  <c r="A26" i="17"/>
  <c r="A25" i="17"/>
  <c r="A24" i="17"/>
  <c r="A23" i="17"/>
  <c r="A22" i="17"/>
  <c r="A21" i="17"/>
  <c r="A20" i="17"/>
  <c r="A19" i="17"/>
  <c r="A18" i="17"/>
  <c r="A17" i="17"/>
  <c r="A16" i="17"/>
  <c r="A15" i="17"/>
  <c r="G11" i="17"/>
  <c r="E5" i="17"/>
  <c r="C7" i="12"/>
  <c r="J12" i="12"/>
  <c r="I12" i="12"/>
  <c r="H12" i="12"/>
  <c r="G12" i="12"/>
  <c r="F12" i="12"/>
  <c r="E12" i="12"/>
  <c r="C5" i="9"/>
  <c r="K71" i="9"/>
  <c r="J71" i="9"/>
  <c r="I71" i="9"/>
  <c r="H71" i="9"/>
  <c r="G71" i="9"/>
  <c r="K70" i="9"/>
  <c r="J70" i="9"/>
  <c r="I70" i="9"/>
  <c r="H70" i="9"/>
  <c r="G70" i="9"/>
  <c r="K69" i="9"/>
  <c r="J69" i="9"/>
  <c r="I69" i="9"/>
  <c r="H69" i="9"/>
  <c r="G69" i="9"/>
  <c r="K68" i="9"/>
  <c r="J68" i="9"/>
  <c r="I68" i="9"/>
  <c r="H68" i="9"/>
  <c r="G68" i="9"/>
  <c r="F68" i="9"/>
  <c r="K67" i="9"/>
  <c r="J67" i="9"/>
  <c r="I67" i="9"/>
  <c r="H67" i="9"/>
  <c r="G67" i="9"/>
  <c r="F67" i="9"/>
  <c r="K66" i="9"/>
  <c r="J66" i="9"/>
  <c r="I66" i="9"/>
  <c r="H66" i="9"/>
  <c r="G66" i="9"/>
  <c r="F66" i="9"/>
  <c r="K65" i="9"/>
  <c r="J65" i="9"/>
  <c r="I65" i="9"/>
  <c r="H65" i="9"/>
  <c r="G65" i="9"/>
  <c r="F65" i="9"/>
  <c r="K64" i="9"/>
  <c r="J64" i="9"/>
  <c r="I64" i="9"/>
  <c r="H64" i="9"/>
  <c r="G64" i="9"/>
  <c r="F64" i="9"/>
  <c r="K63" i="9"/>
  <c r="J63" i="9"/>
  <c r="I63" i="9"/>
  <c r="H63" i="9"/>
  <c r="G63" i="9"/>
  <c r="E63" i="9"/>
  <c r="D63" i="9"/>
  <c r="K62" i="9"/>
  <c r="J62" i="9"/>
  <c r="I62" i="9"/>
  <c r="H62" i="9"/>
  <c r="G62" i="9"/>
  <c r="F62" i="9"/>
  <c r="F63" i="9"/>
  <c r="E62" i="9"/>
  <c r="D62" i="9"/>
  <c r="K61" i="9"/>
  <c r="J61" i="9"/>
  <c r="I61" i="9"/>
  <c r="H61" i="9"/>
  <c r="G61" i="9"/>
  <c r="F61" i="9"/>
  <c r="E61" i="9"/>
  <c r="D61" i="9"/>
  <c r="K60" i="9"/>
  <c r="J60" i="9"/>
  <c r="I60" i="9"/>
  <c r="H60" i="9"/>
  <c r="G60" i="9"/>
  <c r="F60" i="9"/>
  <c r="E60" i="9"/>
  <c r="D60" i="9"/>
  <c r="K59" i="9"/>
  <c r="J59" i="9"/>
  <c r="I59" i="9"/>
  <c r="H59" i="9"/>
  <c r="G59" i="9"/>
  <c r="F59" i="9"/>
  <c r="E59" i="9"/>
  <c r="D59" i="9"/>
  <c r="K58" i="9"/>
  <c r="J58" i="9"/>
  <c r="I58" i="9"/>
  <c r="H58" i="9"/>
  <c r="G58" i="9"/>
  <c r="F58" i="9"/>
  <c r="E58" i="9"/>
  <c r="D58" i="9"/>
  <c r="K57" i="9"/>
  <c r="J57" i="9"/>
  <c r="I57" i="9"/>
  <c r="H57" i="9"/>
  <c r="G57" i="9"/>
  <c r="F57" i="9"/>
  <c r="E57" i="9"/>
  <c r="D57" i="9"/>
  <c r="K56" i="9"/>
  <c r="J56" i="9"/>
  <c r="I56" i="9"/>
  <c r="H56" i="9"/>
  <c r="G56" i="9"/>
  <c r="F56" i="9"/>
  <c r="E56" i="9"/>
  <c r="D56" i="9"/>
  <c r="K55" i="9"/>
  <c r="J55" i="9"/>
  <c r="I55" i="9"/>
  <c r="H55" i="9"/>
  <c r="G55" i="9"/>
  <c r="F55" i="9"/>
  <c r="E55" i="9"/>
  <c r="D55" i="9"/>
  <c r="K54" i="9"/>
  <c r="J54" i="9"/>
  <c r="I54" i="9"/>
  <c r="H54" i="9"/>
  <c r="G54" i="9"/>
  <c r="F54" i="9"/>
  <c r="E54" i="9"/>
  <c r="D54" i="9"/>
  <c r="K53" i="9"/>
  <c r="J53" i="9"/>
  <c r="I53" i="9"/>
  <c r="H53" i="9"/>
  <c r="G53" i="9"/>
  <c r="F53" i="9"/>
  <c r="E53" i="9"/>
  <c r="D53" i="9"/>
  <c r="C53" i="9"/>
  <c r="K52" i="9"/>
  <c r="J52" i="9"/>
  <c r="I52" i="9"/>
  <c r="H52" i="9"/>
  <c r="G52" i="9"/>
  <c r="F52" i="9"/>
  <c r="E52" i="9"/>
  <c r="D52" i="9"/>
  <c r="C52" i="9"/>
  <c r="F51" i="9"/>
  <c r="E51" i="9"/>
  <c r="D51" i="9"/>
  <c r="C51" i="9"/>
  <c r="F50" i="9"/>
  <c r="E50" i="9"/>
  <c r="D50" i="9"/>
  <c r="C50" i="9"/>
  <c r="F49" i="9"/>
  <c r="E49" i="9"/>
  <c r="D49" i="9"/>
  <c r="C49" i="9"/>
  <c r="F48" i="9"/>
  <c r="E48" i="9"/>
  <c r="D48" i="9"/>
  <c r="C48" i="9"/>
  <c r="E47" i="9"/>
  <c r="D47" i="9"/>
  <c r="C47" i="9"/>
  <c r="E46" i="9"/>
  <c r="D46" i="9"/>
  <c r="C46" i="9"/>
  <c r="L43" i="4"/>
  <c r="C23" i="4"/>
  <c r="E23" i="4" s="1"/>
  <c r="D37" i="4"/>
  <c r="E37" i="4"/>
  <c r="L55" i="26" l="1"/>
  <c r="L54" i="26"/>
  <c r="E66" i="19"/>
  <c r="F66" i="19" s="1"/>
  <c r="G66" i="19" s="1"/>
  <c r="E67" i="19"/>
  <c r="C67" i="19" s="1"/>
  <c r="L53" i="26"/>
  <c r="E65" i="19"/>
  <c r="F65" i="19" s="1"/>
  <c r="L37" i="4"/>
  <c r="C43" i="4"/>
  <c r="F44" i="4" s="1"/>
  <c r="C48" i="4"/>
  <c r="C37" i="4"/>
  <c r="H12" i="27"/>
  <c r="H11" i="47" s="1"/>
  <c r="J12" i="27"/>
  <c r="J11" i="47" s="1"/>
  <c r="L12" i="27"/>
  <c r="L11" i="47" s="1"/>
  <c r="F12" i="27"/>
  <c r="G12" i="27"/>
  <c r="I12" i="27"/>
  <c r="I11" i="47" s="1"/>
  <c r="E12" i="27"/>
  <c r="G11" i="47" s="1"/>
  <c r="Z26" i="20"/>
  <c r="Z28" i="20" s="1"/>
  <c r="Y28" i="20"/>
  <c r="E83" i="20"/>
  <c r="J22" i="20"/>
  <c r="J83" i="20" s="1"/>
  <c r="AI140" i="20"/>
  <c r="H83" i="20"/>
  <c r="AD22" i="20"/>
  <c r="L22" i="20"/>
  <c r="B23" i="48"/>
  <c r="G100" i="48" s="1"/>
  <c r="R19" i="47"/>
  <c r="S19" i="47"/>
  <c r="T19" i="47" s="1"/>
  <c r="G21" i="26"/>
  <c r="K21" i="26"/>
  <c r="J21" i="26"/>
  <c r="L21" i="26" s="1"/>
  <c r="S18" i="47"/>
  <c r="T18" i="47" s="1"/>
  <c r="R18" i="47"/>
  <c r="G92" i="26" s="1"/>
  <c r="F71" i="48"/>
  <c r="Q2" i="31"/>
  <c r="AD2" i="31"/>
  <c r="N19" i="26" s="1"/>
  <c r="U2" i="31"/>
  <c r="AE2" i="31"/>
  <c r="O19" i="26" s="1"/>
  <c r="R2" i="31"/>
  <c r="AC2" i="31"/>
  <c r="M19" i="26" s="1"/>
  <c r="V3" i="31"/>
  <c r="AG3" i="31"/>
  <c r="B20" i="26"/>
  <c r="S3" i="31"/>
  <c r="AD3" i="31"/>
  <c r="N20" i="26" s="1"/>
  <c r="AE3" i="31"/>
  <c r="O20" i="26" s="1"/>
  <c r="X3" i="31"/>
  <c r="Y3" i="31"/>
  <c r="P3" i="31"/>
  <c r="AB3" i="31" s="1"/>
  <c r="H20" i="26" s="1"/>
  <c r="U3" i="31"/>
  <c r="AF3" i="31"/>
  <c r="R3" i="31"/>
  <c r="AC3" i="31"/>
  <c r="M20" i="26" s="1"/>
  <c r="T3" i="31"/>
  <c r="S2" i="31"/>
  <c r="T2" i="31"/>
  <c r="W2" i="31"/>
  <c r="F60" i="48"/>
  <c r="R17" i="47"/>
  <c r="G19" i="26" s="1"/>
  <c r="S17" i="47"/>
  <c r="T17" i="47" s="1"/>
  <c r="D70" i="48"/>
  <c r="F70" i="48" s="1"/>
  <c r="D62" i="48"/>
  <c r="F62" i="48" s="1"/>
  <c r="D64" i="48"/>
  <c r="F64" i="48" s="1"/>
  <c r="D61" i="48"/>
  <c r="F61" i="48" s="1"/>
  <c r="D63" i="48"/>
  <c r="F63" i="48" s="1"/>
  <c r="D72" i="48"/>
  <c r="F72" i="48" s="1"/>
  <c r="D73" i="48"/>
  <c r="F73" i="48" s="1"/>
  <c r="F67" i="19" l="1"/>
  <c r="G67" i="19" s="1"/>
  <c r="C66" i="19"/>
  <c r="C65" i="19"/>
  <c r="L52" i="26"/>
  <c r="F38" i="4"/>
  <c r="H38" i="4" s="1"/>
  <c r="N37" i="4"/>
  <c r="N43" i="4"/>
  <c r="G65" i="19"/>
  <c r="N48" i="4"/>
  <c r="F49" i="4"/>
  <c r="J43" i="4"/>
  <c r="H44" i="4"/>
  <c r="AD6" i="20"/>
  <c r="AA13" i="20"/>
  <c r="AF18" i="20" s="1"/>
  <c r="AD19" i="20"/>
  <c r="AE208" i="20"/>
  <c r="AI137" i="20"/>
  <c r="AI148" i="20"/>
  <c r="C105" i="48"/>
  <c r="F105" i="48" s="1"/>
  <c r="C106" i="48" s="1"/>
  <c r="H100" i="48"/>
  <c r="I100" i="48" s="1"/>
  <c r="J100" i="48" s="1"/>
  <c r="C100" i="48" s="1"/>
  <c r="F100" i="48" s="1"/>
  <c r="C101" i="48" s="1"/>
  <c r="G110" i="26"/>
  <c r="J110" i="26" s="1"/>
  <c r="G93" i="26"/>
  <c r="K20" i="26"/>
  <c r="G94" i="26"/>
  <c r="J20" i="26"/>
  <c r="K92" i="26"/>
  <c r="J92" i="26"/>
  <c r="AB2" i="31"/>
  <c r="H19" i="26" s="1"/>
  <c r="J19" i="26" s="1"/>
  <c r="P20" i="26"/>
  <c r="Q20" i="26"/>
  <c r="K19" i="26"/>
  <c r="G109" i="26"/>
  <c r="G95" i="26"/>
  <c r="C65" i="48"/>
  <c r="C114" i="48" s="1"/>
  <c r="C74" i="48"/>
  <c r="C115" i="48" s="1"/>
  <c r="J37" i="4" l="1"/>
  <c r="H49" i="4"/>
  <c r="J48" i="4"/>
  <c r="AP36" i="20"/>
  <c r="AN34" i="20"/>
  <c r="AL32" i="20"/>
  <c r="AJ30" i="20"/>
  <c r="AH28" i="20"/>
  <c r="AP25" i="20"/>
  <c r="AO23" i="20"/>
  <c r="AM38" i="20"/>
  <c r="AK36" i="20"/>
  <c r="AI34" i="20"/>
  <c r="AF34" i="20"/>
  <c r="M22" i="20" s="1"/>
  <c r="AO33" i="20"/>
  <c r="AM31" i="20"/>
  <c r="AK29" i="20"/>
  <c r="AI27" i="20"/>
  <c r="AF27" i="20"/>
  <c r="AO26" i="20"/>
  <c r="AM24" i="20"/>
  <c r="AL39" i="20"/>
  <c r="AJ37" i="20"/>
  <c r="AH35" i="20"/>
  <c r="AG29" i="20"/>
  <c r="AG27" i="20"/>
  <c r="AF36" i="20"/>
  <c r="AN39" i="20"/>
  <c r="AP34" i="20"/>
  <c r="AH26" i="20"/>
  <c r="AM23" i="20"/>
  <c r="AG32" i="20"/>
  <c r="AF24" i="20"/>
  <c r="AP23" i="20"/>
  <c r="AN38" i="20"/>
  <c r="AL36" i="20"/>
  <c r="AJ34" i="20"/>
  <c r="AH32" i="20"/>
  <c r="AP29" i="20"/>
  <c r="AN27" i="20"/>
  <c r="AL25" i="20"/>
  <c r="AK23" i="20"/>
  <c r="AI38" i="20"/>
  <c r="AF38" i="20"/>
  <c r="AO37" i="20"/>
  <c r="AM35" i="20"/>
  <c r="AK33" i="20"/>
  <c r="AI31" i="20"/>
  <c r="AF31" i="20"/>
  <c r="AO30" i="20"/>
  <c r="AM28" i="20"/>
  <c r="AK26" i="20"/>
  <c r="AI24" i="20"/>
  <c r="AH39" i="20"/>
  <c r="AG33" i="20"/>
  <c r="AG31" i="20"/>
  <c r="AO35" i="20"/>
  <c r="AM33" i="20"/>
  <c r="AK31" i="20"/>
  <c r="AI29" i="20"/>
  <c r="AO24" i="20"/>
  <c r="AL37" i="20"/>
  <c r="AJ35" i="20"/>
  <c r="AH33" i="20"/>
  <c r="AN32" i="20"/>
  <c r="AJ28" i="20"/>
  <c r="AP27" i="20"/>
  <c r="AN25" i="20"/>
  <c r="AI36" i="20"/>
  <c r="AG30" i="20"/>
  <c r="AF28" i="20"/>
  <c r="AO27" i="20"/>
  <c r="AM25" i="20"/>
  <c r="AL23" i="20"/>
  <c r="AJ38" i="20"/>
  <c r="AH36" i="20"/>
  <c r="AP33" i="20"/>
  <c r="AN31" i="20"/>
  <c r="AL29" i="20"/>
  <c r="AJ27" i="20"/>
  <c r="AH25" i="20"/>
  <c r="AP26" i="20"/>
  <c r="AN24" i="20"/>
  <c r="AM39" i="20"/>
  <c r="AK37" i="20"/>
  <c r="AI35" i="20"/>
  <c r="AF35" i="20"/>
  <c r="AO34" i="20"/>
  <c r="AM32" i="20"/>
  <c r="AK30" i="20"/>
  <c r="AI28" i="20"/>
  <c r="AG24" i="20"/>
  <c r="AG37" i="20"/>
  <c r="AG35" i="20"/>
  <c r="AF25" i="20"/>
  <c r="AL30" i="20"/>
  <c r="AK38" i="20"/>
  <c r="AF23" i="20"/>
  <c r="AF32" i="20"/>
  <c r="AO31" i="20"/>
  <c r="AM29" i="20"/>
  <c r="AK27" i="20"/>
  <c r="AI25" i="20"/>
  <c r="AH23" i="20"/>
  <c r="AP37" i="20"/>
  <c r="AN35" i="20"/>
  <c r="AL33" i="20"/>
  <c r="AJ31" i="20"/>
  <c r="AH29" i="20"/>
  <c r="AP30" i="20"/>
  <c r="AN28" i="20"/>
  <c r="AL26" i="20"/>
  <c r="AJ24" i="20"/>
  <c r="AI39" i="20"/>
  <c r="AF39" i="20"/>
  <c r="AO38" i="20"/>
  <c r="AM36" i="20"/>
  <c r="AK34" i="20"/>
  <c r="AI32" i="20"/>
  <c r="AG28" i="20"/>
  <c r="AG26" i="20"/>
  <c r="AG39" i="20"/>
  <c r="AP24" i="20"/>
  <c r="AO39" i="20"/>
  <c r="AM37" i="20"/>
  <c r="AK35" i="20"/>
  <c r="AI33" i="20"/>
  <c r="AF29" i="20"/>
  <c r="AO28" i="20"/>
  <c r="AM26" i="20"/>
  <c r="AK24" i="20"/>
  <c r="AJ39" i="20"/>
  <c r="AH37" i="20"/>
  <c r="AP38" i="20"/>
  <c r="AN36" i="20"/>
  <c r="AL34" i="20"/>
  <c r="AJ32" i="20"/>
  <c r="AH30" i="20"/>
  <c r="AP31" i="20"/>
  <c r="AN29" i="20"/>
  <c r="AL27" i="20"/>
  <c r="AJ25" i="20"/>
  <c r="AI23" i="20"/>
  <c r="AG36" i="20"/>
  <c r="AG34" i="20"/>
  <c r="AP32" i="20"/>
  <c r="AL28" i="20"/>
  <c r="AH24" i="20"/>
  <c r="AO36" i="20"/>
  <c r="AK32" i="20"/>
  <c r="AF30" i="20"/>
  <c r="AM27" i="20"/>
  <c r="AJ23" i="20"/>
  <c r="AN37" i="20"/>
  <c r="AJ33" i="20"/>
  <c r="AG25" i="20"/>
  <c r="AP28" i="20"/>
  <c r="AN26" i="20"/>
  <c r="AL24" i="20"/>
  <c r="AK39" i="20"/>
  <c r="AI37" i="20"/>
  <c r="AF33" i="20"/>
  <c r="AO32" i="20"/>
  <c r="AM30" i="20"/>
  <c r="AK28" i="20"/>
  <c r="AI26" i="20"/>
  <c r="AF26" i="20"/>
  <c r="AO25" i="20"/>
  <c r="AN23" i="20"/>
  <c r="AL38" i="20"/>
  <c r="AJ36" i="20"/>
  <c r="AH34" i="20"/>
  <c r="AP35" i="20"/>
  <c r="AN33" i="20"/>
  <c r="AL31" i="20"/>
  <c r="AJ29" i="20"/>
  <c r="AH27" i="20"/>
  <c r="AG23" i="20"/>
  <c r="AG38" i="20"/>
  <c r="AN30" i="20"/>
  <c r="AJ26" i="20"/>
  <c r="AF37" i="20"/>
  <c r="AM34" i="20"/>
  <c r="AI30" i="20"/>
  <c r="AO29" i="20"/>
  <c r="AK25" i="20"/>
  <c r="AH38" i="20"/>
  <c r="AP39" i="20"/>
  <c r="AL35" i="20"/>
  <c r="AH31" i="20"/>
  <c r="AG19" i="20"/>
  <c r="AI149" i="20"/>
  <c r="AI146" i="20" s="1"/>
  <c r="AI155" i="20" s="1"/>
  <c r="H17" i="20"/>
  <c r="C120" i="48"/>
  <c r="K110" i="26"/>
  <c r="L110" i="26" s="1"/>
  <c r="L20" i="26"/>
  <c r="L92" i="26"/>
  <c r="J94" i="26"/>
  <c r="K94" i="26"/>
  <c r="K93" i="26"/>
  <c r="J93" i="26"/>
  <c r="L93" i="26" s="1"/>
  <c r="L19" i="26"/>
  <c r="J95" i="26"/>
  <c r="K95" i="26"/>
  <c r="J109" i="26"/>
  <c r="K109" i="26"/>
  <c r="C121" i="48"/>
  <c r="C122" i="48" s="1"/>
  <c r="AR22" i="20" l="1"/>
  <c r="AS22" i="20" s="1"/>
  <c r="M35" i="20"/>
  <c r="AR35" i="20" s="1"/>
  <c r="AS35" i="20" s="1"/>
  <c r="M23" i="20"/>
  <c r="AR23" i="20" s="1"/>
  <c r="AS23" i="20" s="1"/>
  <c r="M43" i="20"/>
  <c r="AR43" i="20" s="1"/>
  <c r="AS43" i="20" s="1"/>
  <c r="M25" i="20"/>
  <c r="AR25" i="20" s="1"/>
  <c r="AS25" i="20" s="1"/>
  <c r="M50" i="20"/>
  <c r="AR50" i="20" s="1"/>
  <c r="AS50" i="20" s="1"/>
  <c r="M52" i="20"/>
  <c r="AR52" i="20" s="1"/>
  <c r="AS52" i="20" s="1"/>
  <c r="M78" i="20"/>
  <c r="AR78" i="20" s="1"/>
  <c r="AS78" i="20" s="1"/>
  <c r="M33" i="20"/>
  <c r="AR33" i="20" s="1"/>
  <c r="AS33" i="20" s="1"/>
  <c r="M76" i="20"/>
  <c r="AR76" i="20" s="1"/>
  <c r="AS76" i="20" s="1"/>
  <c r="M59" i="20"/>
  <c r="AR59" i="20" s="1"/>
  <c r="AS59" i="20" s="1"/>
  <c r="M49" i="20"/>
  <c r="AR49" i="20" s="1"/>
  <c r="AS49" i="20" s="1"/>
  <c r="M48" i="20"/>
  <c r="AR48" i="20" s="1"/>
  <c r="AS48" i="20" s="1"/>
  <c r="M69" i="20"/>
  <c r="AR69" i="20" s="1"/>
  <c r="AS69" i="20" s="1"/>
  <c r="M53" i="20"/>
  <c r="AR53" i="20" s="1"/>
  <c r="AS53" i="20" s="1"/>
  <c r="M40" i="20"/>
  <c r="AR40" i="20" s="1"/>
  <c r="AS40" i="20" s="1"/>
  <c r="M61" i="20"/>
  <c r="AR61" i="20" s="1"/>
  <c r="AS61" i="20" s="1"/>
  <c r="M45" i="20"/>
  <c r="AR45" i="20" s="1"/>
  <c r="AS45" i="20" s="1"/>
  <c r="M55" i="20"/>
  <c r="AR55" i="20" s="1"/>
  <c r="AS55" i="20" s="1"/>
  <c r="M51" i="20"/>
  <c r="AR51" i="20" s="1"/>
  <c r="AS51" i="20" s="1"/>
  <c r="M68" i="20"/>
  <c r="AR68" i="20" s="1"/>
  <c r="AS68" i="20" s="1"/>
  <c r="M32" i="20"/>
  <c r="AR32" i="20" s="1"/>
  <c r="AS32" i="20" s="1"/>
  <c r="M60" i="20"/>
  <c r="AR60" i="20" s="1"/>
  <c r="AS60" i="20" s="1"/>
  <c r="M58" i="20"/>
  <c r="AR58" i="20" s="1"/>
  <c r="AS58" i="20" s="1"/>
  <c r="M57" i="20"/>
  <c r="AR57" i="20" s="1"/>
  <c r="AS57" i="20" s="1"/>
  <c r="M24" i="20"/>
  <c r="AR24" i="20" s="1"/>
  <c r="AS24" i="20" s="1"/>
  <c r="M46" i="20"/>
  <c r="AR46" i="20" s="1"/>
  <c r="AS46" i="20" s="1"/>
  <c r="M71" i="20"/>
  <c r="AR71" i="20" s="1"/>
  <c r="AS71" i="20" s="1"/>
  <c r="M29" i="20"/>
  <c r="AR29" i="20" s="1"/>
  <c r="AS29" i="20" s="1"/>
  <c r="M66" i="20"/>
  <c r="AR66" i="20" s="1"/>
  <c r="AS66" i="20" s="1"/>
  <c r="M64" i="20"/>
  <c r="AR64" i="20" s="1"/>
  <c r="AS64" i="20" s="1"/>
  <c r="M34" i="20"/>
  <c r="AR34" i="20" s="1"/>
  <c r="AS34" i="20" s="1"/>
  <c r="M67" i="20"/>
  <c r="AR67" i="20" s="1"/>
  <c r="AS67" i="20" s="1"/>
  <c r="M72" i="20"/>
  <c r="AR72" i="20" s="1"/>
  <c r="AS72" i="20" s="1"/>
  <c r="M47" i="20"/>
  <c r="AR47" i="20" s="1"/>
  <c r="AS47" i="20" s="1"/>
  <c r="M73" i="20"/>
  <c r="AR73" i="20" s="1"/>
  <c r="AS73" i="20" s="1"/>
  <c r="M74" i="20"/>
  <c r="AR74" i="20" s="1"/>
  <c r="AS74" i="20" s="1"/>
  <c r="M70" i="20"/>
  <c r="AR70" i="20" s="1"/>
  <c r="AS70" i="20" s="1"/>
  <c r="M28" i="20"/>
  <c r="AR28" i="20" s="1"/>
  <c r="AS28" i="20" s="1"/>
  <c r="M39" i="20"/>
  <c r="AR39" i="20" s="1"/>
  <c r="AS39" i="20" s="1"/>
  <c r="M36" i="20"/>
  <c r="AR36" i="20" s="1"/>
  <c r="AS36" i="20" s="1"/>
  <c r="M42" i="20"/>
  <c r="AR42" i="20" s="1"/>
  <c r="AS42" i="20" s="1"/>
  <c r="M27" i="20"/>
  <c r="AR27" i="20" s="1"/>
  <c r="AS27" i="20" s="1"/>
  <c r="M41" i="20"/>
  <c r="AR41" i="20" s="1"/>
  <c r="AS41" i="20" s="1"/>
  <c r="M63" i="20"/>
  <c r="AR63" i="20" s="1"/>
  <c r="AS63" i="20" s="1"/>
  <c r="M26" i="20"/>
  <c r="AR26" i="20" s="1"/>
  <c r="AS26" i="20" s="1"/>
  <c r="M54" i="20"/>
  <c r="AR54" i="20" s="1"/>
  <c r="AS54" i="20" s="1"/>
  <c r="M75" i="20"/>
  <c r="AR75" i="20" s="1"/>
  <c r="AS75" i="20" s="1"/>
  <c r="M30" i="20"/>
  <c r="AR30" i="20" s="1"/>
  <c r="AS30" i="20" s="1"/>
  <c r="M38" i="20"/>
  <c r="AR38" i="20" s="1"/>
  <c r="AS38" i="20" s="1"/>
  <c r="M37" i="20"/>
  <c r="AR37" i="20" s="1"/>
  <c r="AS37" i="20" s="1"/>
  <c r="M65" i="20"/>
  <c r="AR65" i="20" s="1"/>
  <c r="AS65" i="20" s="1"/>
  <c r="M31" i="20"/>
  <c r="AR31" i="20" s="1"/>
  <c r="AS31" i="20" s="1"/>
  <c r="M44" i="20"/>
  <c r="AR44" i="20" s="1"/>
  <c r="AS44" i="20" s="1"/>
  <c r="M77" i="20"/>
  <c r="AR77" i="20" s="1"/>
  <c r="AS77" i="20" s="1"/>
  <c r="M56" i="20"/>
  <c r="AR56" i="20" s="1"/>
  <c r="AS56" i="20" s="1"/>
  <c r="M62" i="20"/>
  <c r="AR62" i="20" s="1"/>
  <c r="AS62" i="20" s="1"/>
  <c r="M80" i="20"/>
  <c r="AR80" i="20" s="1"/>
  <c r="AS80" i="20" s="1"/>
  <c r="M79" i="20"/>
  <c r="AR79" i="20" s="1"/>
  <c r="AS79" i="20" s="1"/>
  <c r="AJ146" i="20"/>
  <c r="L94" i="26"/>
  <c r="L95" i="26"/>
  <c r="L109" i="26"/>
  <c r="L108" i="26" s="1"/>
  <c r="K123" i="26"/>
  <c r="L18" i="26"/>
  <c r="J123" i="26"/>
  <c r="C123" i="48"/>
  <c r="V34" i="20" l="1"/>
  <c r="Y34" i="20" s="1"/>
  <c r="V38" i="20"/>
  <c r="Y38" i="20" s="1"/>
  <c r="V36" i="20"/>
  <c r="Y36" i="20" s="1"/>
  <c r="V35" i="20"/>
  <c r="Y35" i="20" s="1"/>
  <c r="V39" i="20"/>
  <c r="Y39" i="20" s="1"/>
  <c r="V37" i="20"/>
  <c r="Y37" i="20" s="1"/>
  <c r="L123" i="26"/>
  <c r="B288" i="26" s="1"/>
  <c r="L89" i="26"/>
  <c r="Y40" i="20" l="1"/>
  <c r="L126" i="26"/>
  <c r="V289" i="26" s="1"/>
  <c r="X289" i="26" s="1"/>
  <c r="T289" i="26" s="1"/>
  <c r="C288" i="26" s="1"/>
  <c r="E288" i="26" s="1"/>
  <c r="F288" i="26" s="1"/>
  <c r="I288" i="26" s="1"/>
  <c r="L128" i="26"/>
  <c r="L131" i="26" s="1"/>
  <c r="L130" i="26" s="1"/>
  <c r="L129" i="26" s="1"/>
  <c r="K129" i="26" s="1"/>
  <c r="L17" i="26"/>
  <c r="K282" i="26" l="1"/>
  <c r="K281" i="26"/>
  <c r="L125" i="26"/>
  <c r="L124" i="26" s="1"/>
  <c r="K124" i="26" s="1"/>
  <c r="T118" i="26"/>
  <c r="T104" i="26"/>
  <c r="T120" i="26"/>
  <c r="T100" i="26"/>
  <c r="T18" i="26"/>
  <c r="T75" i="26"/>
  <c r="T106" i="26"/>
  <c r="T89" i="26"/>
  <c r="T108" i="26"/>
  <c r="T96" i="26"/>
  <c r="T82" i="26"/>
  <c r="T116" i="26"/>
  <c r="B17" i="25" l="1"/>
  <c r="B16" i="17"/>
  <c r="A18" i="2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Matheus Pacheco</author>
    <author>tc={0D2F2A4A-D1CC-4B2E-AF0B-F3F44A39FB9E}</author>
    <author>tc={A5EC8880-040C-4CE3-992B-6FEDE1F7EF6A}</author>
    <author>tc={33084FAD-F762-4DDC-974E-F5902D608C93}</author>
    <author>tc={FF4853F3-A9E4-43A5-91F0-488C24CA2D56}</author>
    <author>tc={2DD8F50B-AAF3-4A7F-BFED-69600D343E94}</author>
    <author>tc={7FDB785E-E98B-446F-A652-E87C5B0EF7BB}</author>
  </authors>
  <commentList>
    <comment ref="K13" authorId="0" shapeId="0" xr:uid="{7E5BA7A2-96F2-4F8F-9CDB-7A8A414BFF9B}">
      <text>
        <r>
          <rPr>
            <b/>
            <sz val="9"/>
            <color indexed="81"/>
            <rFont val="Segoe UI"/>
            <family val="2"/>
          </rPr>
          <t>Matheus Pacheco:</t>
        </r>
        <r>
          <rPr>
            <sz val="9"/>
            <color indexed="81"/>
            <rFont val="Segoe UI"/>
            <family val="2"/>
          </rPr>
          <t xml:space="preserve">
Recomendado até 2,5 m/s. Dependendo do grau de filtragem, velocidades menores são desejadas.</t>
        </r>
      </text>
    </comment>
    <comment ref="M13" authorId="0" shapeId="0" xr:uid="{58BFCA2D-C4F7-44C1-BA9A-0E1B395C2383}">
      <text>
        <r>
          <rPr>
            <b/>
            <sz val="9"/>
            <color indexed="81"/>
            <rFont val="Segoe UI"/>
            <family val="2"/>
          </rPr>
          <t>Matheus Pacheco:</t>
        </r>
        <r>
          <rPr>
            <sz val="9"/>
            <color indexed="81"/>
            <rFont val="Segoe UI"/>
            <family val="2"/>
          </rPr>
          <t xml:space="preserve">
Lado considerando TAE quadrada.</t>
        </r>
      </text>
    </comment>
    <comment ref="AA13" authorId="0" shapeId="0" xr:uid="{F365BA30-860E-41FA-B22E-72FF0CD95E56}">
      <text>
        <r>
          <rPr>
            <b/>
            <sz val="9"/>
            <color indexed="81"/>
            <rFont val="Segoe UI"/>
            <family val="2"/>
          </rPr>
          <t>Matheus Pacheco:</t>
        </r>
        <r>
          <rPr>
            <sz val="9"/>
            <color indexed="81"/>
            <rFont val="Segoe UI"/>
            <family val="2"/>
          </rPr>
          <t xml:space="preserve">
A classe de pressão determinará a espessura da chapa e os reforços requeridos pela norma.</t>
        </r>
      </text>
    </comment>
    <comment ref="O14" authorId="0" shapeId="0" xr:uid="{2DA222C8-766B-4751-A4FD-D383A3017EC8}">
      <text>
        <r>
          <rPr>
            <b/>
            <sz val="9"/>
            <color indexed="81"/>
            <rFont val="Segoe UI"/>
            <family val="2"/>
          </rPr>
          <t>Matheus Pacheco:</t>
        </r>
        <r>
          <rPr>
            <sz val="9"/>
            <color indexed="81"/>
            <rFont val="Segoe UI"/>
            <family val="2"/>
          </rPr>
          <t xml:space="preserve">
Opções de espaçamento: 
3,00 m
2,40 m
1,80 m
1,50 m
1,20 m
0,90 m
0,75 m
0,60 m
</t>
        </r>
      </text>
    </comment>
    <comment ref="R15" authorId="1" shapeId="0" xr:uid="{0D2F2A4A-D1CC-4B2E-AF0B-F3F44A39FB9E}">
      <text>
        <t>[Threaded comment]
Your version of Excel allows you to read this threaded comment; however, any edits to it will get removed if the file is opened in a newer version of Excel. Learn more: https://go.microsoft.com/fwlink/?linkid=870924
Comment:
    K médio = 1,5mmCA</t>
      </text>
    </comment>
    <comment ref="R17" authorId="2" shapeId="0" xr:uid="{A5EC8880-040C-4CE3-992B-6FEDE1F7EF6A}">
      <text>
        <t>[Threaded comment]
Your version of Excel allows you to read this threaded comment; however, any edits to it will get removed if the file is opened in a newer version of Excel. Learn more: https://go.microsoft.com/fwlink/?linkid=870924
Comment:
    k médio curvado com veios = 0,25mmCA
k médio cotovelo = 0,85mmCA</t>
      </text>
    </comment>
    <comment ref="R18" authorId="3" shapeId="0" xr:uid="{33084FAD-F762-4DDC-974E-F5902D608C93}">
      <text>
        <t>[Threaded comment]
Your version of Excel allows you to read this threaded comment; however, any edits to it will get removed if the file is opened in a newer version of Excel. Learn more: https://go.microsoft.com/fwlink/?linkid=870924
Comment:
    K médio curvado = 0,1mmCA
K médio cotovelo = 0,5mmCA</t>
      </text>
    </comment>
    <comment ref="R20" authorId="4" shapeId="0" xr:uid="{FF4853F3-A9E4-43A5-91F0-488C24CA2D56}">
      <text>
        <t>[Threaded comment]
Your version of Excel allows you to read this threaded comment; however, any edits to it will get removed if the file is opened in a newer version of Excel. Learn more: https://go.microsoft.com/fwlink/?linkid=870924
Comment:
    K médio grelha simples = 1,2mmCA
k médio grelha simples com registro = 1,5mmCA</t>
      </text>
    </comment>
    <comment ref="G21" authorId="0" shapeId="0" xr:uid="{25541B0B-7E90-424C-9809-67C6222F6DEC}">
      <text>
        <r>
          <rPr>
            <b/>
            <sz val="9"/>
            <color indexed="81"/>
            <rFont val="Segoe UI"/>
            <family val="2"/>
          </rPr>
          <t>Matheus Pacheco:</t>
        </r>
        <r>
          <rPr>
            <sz val="9"/>
            <color indexed="81"/>
            <rFont val="Segoe UI"/>
            <family val="2"/>
          </rPr>
          <t xml:space="preserve">
A escala de cores indica, da mais clara para a mais escura, a menor altura para a maior altura.
</t>
        </r>
      </text>
    </comment>
    <comment ref="H21" authorId="0" shapeId="0" xr:uid="{88BEFB42-80FD-4950-BB66-A20F7758BDE1}">
      <text>
        <r>
          <rPr>
            <b/>
            <sz val="9"/>
            <color indexed="81"/>
            <rFont val="Segoe UI"/>
            <family val="2"/>
          </rPr>
          <t>Matheus Pacheco:</t>
        </r>
        <r>
          <rPr>
            <sz val="9"/>
            <color indexed="81"/>
            <rFont val="Segoe UI"/>
            <family val="2"/>
          </rPr>
          <t xml:space="preserve">
A maior dimensão não deve ser maior que 4x a menor dimensão. Essa desproporcionalidade implica em perda de credibilidade do dimensionamento, uma vez que o comportamento do fluxo se altera. Qualquer dimensão que desobedeça essa regra será destacado em vermelho.
</t>
        </r>
      </text>
    </comment>
    <comment ref="J21" authorId="0" shapeId="0" xr:uid="{A77D8B2B-D741-4A2D-8830-BCD94E950AFF}">
      <text>
        <r>
          <rPr>
            <b/>
            <sz val="9"/>
            <color indexed="81"/>
            <rFont val="Segoe UI"/>
            <family val="2"/>
          </rPr>
          <t>Matheus Pacheco:</t>
        </r>
        <r>
          <rPr>
            <sz val="9"/>
            <color indexed="81"/>
            <rFont val="Segoe UI"/>
            <family val="2"/>
          </rPr>
          <t xml:space="preserve">
A velocidade média adotada para dutos de ar condicionado não deve ultrapassar 7 m/s</t>
        </r>
      </text>
    </comment>
    <comment ref="M21" authorId="0" shapeId="0" xr:uid="{BFC241E4-9954-45A1-9615-48C3F7F04541}">
      <text>
        <r>
          <rPr>
            <b/>
            <sz val="9"/>
            <color indexed="81"/>
            <rFont val="Segoe UI"/>
            <family val="2"/>
          </rPr>
          <t>Matheus Pacheco:</t>
        </r>
        <r>
          <rPr>
            <sz val="9"/>
            <color indexed="81"/>
            <rFont val="Segoe UI"/>
            <family val="2"/>
          </rPr>
          <t xml:space="preserve">
A bitola da chapa dependerá da maior dimensão e classe de pressão, bem como distância entre juntas e reforços utilizados.</t>
        </r>
      </text>
    </comment>
    <comment ref="R23" authorId="5" shapeId="0" xr:uid="{2DD8F50B-AAF3-4A7F-BFED-69600D343E94}">
      <text>
        <t>[Threaded comment]
Your version of Excel allows you to read this threaded comment; however, any edits to it will get removed if the file is opened in a newer version of Excel. Learn more: https://go.microsoft.com/fwlink/?linkid=870924
Comment:
    k médio = 1,5mmCA</t>
      </text>
    </comment>
    <comment ref="R25" authorId="6" shapeId="0" xr:uid="{7FDB785E-E98B-446F-A652-E87C5B0EF7BB}">
      <text>
        <t>[Threaded comment]
Your version of Excel allows you to read this threaded comment; however, any edits to it will get removed if the file is opened in a newer version of Excel. Learn more: https://go.microsoft.com/fwlink/?linkid=870924
Comment:
    Acrescentar 8 metros de comprimento equivalente nas três primeiras ramificações após a unidade e nas três primeiras conexões após ramificação.</t>
      </text>
    </comment>
    <comment ref="Z74" authorId="0" shapeId="0" xr:uid="{993E0761-808B-47DF-ADA1-BBF23C8A476E}">
      <text>
        <r>
          <rPr>
            <b/>
            <sz val="9"/>
            <color indexed="81"/>
            <rFont val="Segoe UI"/>
            <family val="2"/>
          </rPr>
          <t>Matheus Pacheco:</t>
        </r>
        <r>
          <rPr>
            <sz val="9"/>
            <color indexed="81"/>
            <rFont val="Segoe UI"/>
            <family val="2"/>
          </rPr>
          <t xml:space="preserve">
Vazão a ser considerada apenas em sistemas dutados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MendesBr</author>
    <author>Matheus Pacheco</author>
    <author>tc={C6123992-4EC5-4D72-9C35-B94D764024AE}</author>
    <author>tc={2A289E30-9B21-4724-9A2D-63C4B4F2B22B}</author>
    <author>tc={28C55936-DD86-4755-AFA8-0C55D1542317}</author>
    <author>tc={D658F0A4-2BBB-4D04-8D97-CB2FA32918B3}</author>
    <author>tc={DE329302-2551-4CB1-9B9F-09A0DB93830A}</author>
    <author>tc={E237B183-011C-4CAC-AB11-E06F607B5118}</author>
    <author>tc={80663E15-4B8D-4A57-8C72-C0D3D19A9FA4}</author>
  </authors>
  <commentList>
    <comment ref="A10" authorId="0" shapeId="0" xr:uid="{CF646EEA-D190-4437-AD02-58D140025B46}">
      <text>
        <r>
          <rPr>
            <b/>
            <sz val="9"/>
            <color indexed="81"/>
            <rFont val="Tahoma"/>
            <family val="2"/>
          </rPr>
          <t>Seguir versão do projeto. 
Lembrar: Revisão UNION ≠ Versão de Documentos
Se houver necessidade de alteração do orçamento sem alteração de projeto, adotar o seguinte procedimento:
- Solicitar à coordenadora de projetos que altere todas as pranchas com a descrição do motivo da nova versão "sem alteração de projeto - acompanha alteração de orçamento" ou;
- Disponibilizar documento no UNION que relate as versões válidas de cada serviço.</t>
        </r>
      </text>
    </comment>
    <comment ref="G90" authorId="1" shapeId="0" xr:uid="{5FCCEA11-4045-45C3-998B-66FB848DF5F2}">
      <text>
        <r>
          <rPr>
            <b/>
            <sz val="9"/>
            <color indexed="81"/>
            <rFont val="Segoe UI"/>
            <family val="2"/>
          </rPr>
          <t>Matheus Pacheco:</t>
        </r>
        <r>
          <rPr>
            <sz val="9"/>
            <color indexed="81"/>
            <rFont val="Segoe UI"/>
            <family val="2"/>
          </rPr>
          <t xml:space="preserve">
Verificar se há apenas uma capacidade típica para Mini-Split</t>
        </r>
      </text>
    </comment>
    <comment ref="L123" authorId="2" shapeId="0" xr:uid="{C6123992-4EC5-4D72-9C35-B94D764024AE}">
      <text>
        <t>[Threaded comment]
Your version of Excel allows you to read this threaded comment; however, any edits to it will get removed if the file is opened in a newer version of Excel. Learn more: https://go.microsoft.com/fwlink/?linkid=870924
Comment:
    Valor a ser passado para a IHM</t>
      </text>
    </comment>
    <comment ref="J124" authorId="3" shapeId="0" xr:uid="{2A289E30-9B21-4724-9A2D-63C4B4F2B22B}">
      <text>
        <t>[Threaded comment]
Your version of Excel allows you to read this threaded comment; however, any edits to it will get removed if the file is opened in a newer version of Excel. Learn more: https://go.microsoft.com/fwlink/?linkid=870924
Comment:
    Lucro Líquido = Total de venda - Impostos - Preço de custo</t>
      </text>
    </comment>
    <comment ref="K124" authorId="4" shapeId="0" xr:uid="{28C55936-DD86-4755-AFA8-0C55D1542317}">
      <text>
        <t>[Threaded comment]
Your version of Excel allows you to read this threaded comment; however, any edits to it will get removed if the file is opened in a newer version of Excel. Learn more: https://go.microsoft.com/fwlink/?linkid=870924
Comment:
    **Não Alterar** Lucro Líquido em % do Total de venda. Calculado automaticamente.</t>
      </text>
    </comment>
    <comment ref="K125" authorId="5" shapeId="0" xr:uid="{D658F0A4-2BBB-4D04-8D97-CB2FA32918B3}">
      <text>
        <t>[Threaded comment]
Your version of Excel allows you to read this threaded comment; however, any edits to it will get removed if the file is opened in a newer version of Excel. Learn more: https://go.microsoft.com/fwlink/?linkid=870924
Comment:
    Impostos pagos pela empresa. 18%</t>
      </text>
    </comment>
    <comment ref="K126" authorId="6" shapeId="0" xr:uid="{DE329302-2551-4CB1-9B9F-09A0DB93830A}">
      <text>
        <t>[Threaded comment]
Your version of Excel allows you to read this threaded comment; however, any edits to it will get removed if the file is opened in a newer version of Excel. Learn more: https://go.microsoft.com/fwlink/?linkid=870924
Comment:
    Fator k em %. Exemplo: Fator k = 1,35 = 35%</t>
      </text>
    </comment>
    <comment ref="L126" authorId="7" shapeId="0" xr:uid="{E237B183-011C-4CAC-AB11-E06F607B5118}">
      <text>
        <t>[Threaded comment]
Your version of Excel allows you to read this threaded comment; however, any edits to it will get removed if the file is opened in a newer version of Excel. Learn more: https://go.microsoft.com/fwlink/?linkid=870924
Comment:
    Valor em caso de obra ESI</t>
      </text>
    </comment>
    <comment ref="J129" authorId="8" shapeId="0" xr:uid="{80663E15-4B8D-4A57-8C72-C0D3D19A9FA4}">
      <text>
        <t>[Threaded comment]
Your version of Excel allows you to read this threaded comment; however, any edits to it will get removed if the file is opened in a newer version of Excel. Learn more: https://go.microsoft.com/fwlink/?linkid=870924
Comment:
    Lucro Líquido = Total de venda - Impostos - Preço de custo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tc={9A0C0E01-D3DA-4E13-BFB5-07A22ECC24AE}</author>
    <author>tc={770F9529-CB22-4F77-B746-C24E056DB688}</author>
    <author>tc={AA3E261B-7E84-41CE-92A8-B68145391949}</author>
    <author>tc={8FAE7838-AF0F-4298-8C9D-FF69A595094D}</author>
    <author>tc={3320F068-81E7-40C9-8FBE-539DC90BBB36}</author>
    <author>tc={AE25C204-8832-423B-A39D-8E88A86ACB10}</author>
    <author>tc={29A214BC-DF8A-4330-B865-BEE9B3823431}</author>
    <author>tc={0E7E9F56-56C1-4137-854C-A00434600AEF}</author>
    <author>tc={1DB47F75-590E-43DB-AD0F-29F7AFF63B98}</author>
    <author>tc={BDC354D5-3D11-4F77-99C2-EF9DD3820AD7}</author>
    <author>tc={5B6E25C2-A71C-4BC2-A046-41FAF7FCD5C3}</author>
    <author>tc={917ECA3A-6666-4A96-924D-C6119CAAE478}</author>
    <author>tc={1F061300-3F02-46A4-97D2-A9BC38742D47}</author>
    <author>tc={822F9438-F51C-489B-9C51-A3D4220E2CE6}</author>
    <author>tc={225C7EAA-E75F-4682-830E-B492BBE259DA}</author>
    <author>tc={64827351-1942-47C9-B784-B3000966EBF4}</author>
    <author>tc={4698BD48-FCCE-47E7-9961-6A818BC956B9}</author>
    <author>tc={81321174-8C0A-42FE-9B43-F86DFB45D121}</author>
    <author>tc={C107CE56-A13D-49FC-8954-D3533D7E8214}</author>
    <author>tc={D1F61B7F-2381-4849-88E1-55BFE09089F3}</author>
    <author>tc={C3AA4116-374D-40F7-98DB-4F1231B85895}</author>
  </authors>
  <commentList>
    <comment ref="B1" authorId="0" shapeId="0" xr:uid="{9A0C0E01-D3DA-4E13-BFB5-07A22ECC24AE}">
      <text>
        <t>[Threaded comment]
Your version of Excel allows you to read this threaded comment; however, any edits to it will get removed if the file is opened in a newer version of Excel. Learn more: https://go.microsoft.com/fwlink/?linkid=870924
Comment:
    Item 1</t>
      </text>
    </comment>
    <comment ref="C1" authorId="1" shapeId="0" xr:uid="{770F9529-CB22-4F77-B746-C24E056DB688}">
      <text>
        <t>[Threaded comment]
Your version of Excel allows you to read this threaded comment; however, any edits to it will get removed if the file is opened in a newer version of Excel. Learn more: https://go.microsoft.com/fwlink/?linkid=870924
Comment:
    Item 2</t>
      </text>
    </comment>
    <comment ref="E1" authorId="2" shapeId="0" xr:uid="{AA3E261B-7E84-41CE-92A8-B68145391949}">
      <text>
        <t>[Threaded comment]
Your version of Excel allows you to read this threaded comment; however, any edits to it will get removed if the file is opened in a newer version of Excel. Learn more: https://go.microsoft.com/fwlink/?linkid=870924
Comment:
    Item 3</t>
      </text>
    </comment>
    <comment ref="F1" authorId="3" shapeId="0" xr:uid="{8FAE7838-AF0F-4298-8C9D-FF69A595094D}">
      <text>
        <t>[Threaded comment]
Your version of Excel allows you to read this threaded comment; however, any edits to it will get removed if the file is opened in a newer version of Excel. Learn more: https://go.microsoft.com/fwlink/?linkid=870924
Comment:
    Item 4</t>
      </text>
    </comment>
    <comment ref="G1" authorId="4" shapeId="0" xr:uid="{3320F068-81E7-40C9-8FBE-539DC90BBB36}">
      <text>
        <t>[Threaded comment]
Your version of Excel allows you to read this threaded comment; however, any edits to it will get removed if the file is opened in a newer version of Excel. Learn more: https://go.microsoft.com/fwlink/?linkid=870924
Comment:
    Item 5</t>
      </text>
    </comment>
    <comment ref="H1" authorId="5" shapeId="0" xr:uid="{AE25C204-8832-423B-A39D-8E88A86ACB10}">
      <text>
        <t>[Threaded comment]
Your version of Excel allows you to read this threaded comment; however, any edits to it will get removed if the file is opened in a newer version of Excel. Learn more: https://go.microsoft.com/fwlink/?linkid=870924
Comment:
    Item 6</t>
      </text>
    </comment>
    <comment ref="I1" authorId="6" shapeId="0" xr:uid="{29A214BC-DF8A-4330-B865-BEE9B3823431}">
      <text>
        <t>[Threaded comment]
Your version of Excel allows you to read this threaded comment; however, any edits to it will get removed if the file is opened in a newer version of Excel. Learn more: https://go.microsoft.com/fwlink/?linkid=870924
Comment:
    Item 7</t>
      </text>
    </comment>
    <comment ref="J1" authorId="7" shapeId="0" xr:uid="{0E7E9F56-56C1-4137-854C-A00434600AEF}">
      <text>
        <t>[Threaded comment]
Your version of Excel allows you to read this threaded comment; however, any edits to it will get removed if the file is opened in a newer version of Excel. Learn more: https://go.microsoft.com/fwlink/?linkid=870924
Comment:
    Item 8</t>
      </text>
    </comment>
    <comment ref="K1" authorId="8" shapeId="0" xr:uid="{1DB47F75-590E-43DB-AD0F-29F7AFF63B98}">
      <text>
        <t>[Threaded comment]
Your version of Excel allows you to read this threaded comment; however, any edits to it will get removed if the file is opened in a newer version of Excel. Learn more: https://go.microsoft.com/fwlink/?linkid=870924
Comment:
    Item 9</t>
      </text>
    </comment>
    <comment ref="L1" authorId="9" shapeId="0" xr:uid="{BDC354D5-3D11-4F77-99C2-EF9DD3820AD7}">
      <text>
        <t>[Threaded comment]
Your version of Excel allows you to read this threaded comment; however, any edits to it will get removed if the file is opened in a newer version of Excel. Learn more: https://go.microsoft.com/fwlink/?linkid=870924
Comment:
    Item 10</t>
      </text>
    </comment>
    <comment ref="O1" authorId="10" shapeId="0" xr:uid="{5B6E25C2-A71C-4BC2-A046-41FAF7FCD5C3}">
      <text>
        <t>[Threaded comment]
Your version of Excel allows you to read this threaded comment; however, any edits to it will get removed if the file is opened in a newer version of Excel. Learn more: https://go.microsoft.com/fwlink/?linkid=870924
Comment:
    Custo Base</t>
      </text>
    </comment>
    <comment ref="P1" authorId="11" shapeId="0" xr:uid="{917ECA3A-6666-4A96-924D-C6119CAAE478}">
      <text>
        <t>[Threaded comment]
Your version of Excel allows you to read this threaded comment; however, any edits to it will get removed if the file is opened in a newer version of Excel. Learn more: https://go.microsoft.com/fwlink/?linkid=870924
Comment:
    Automação Embarcada</t>
      </text>
    </comment>
    <comment ref="Q1" authorId="12" shapeId="0" xr:uid="{1F061300-3F02-46A4-97D2-A9BC38742D47}">
      <text>
        <t>[Threaded comment]
Your version of Excel allows you to read this threaded comment; however, any edits to it will get removed if the file is opened in a newer version of Excel. Learn more: https://go.microsoft.com/fwlink/?linkid=870924
Comment:
    1 Damper Manual</t>
      </text>
    </comment>
    <comment ref="R1" authorId="13" shapeId="0" xr:uid="{822F9438-F51C-489B-9C51-A3D4220E2CE6}">
      <text>
        <t>[Threaded comment]
Your version of Excel allows you to read this threaded comment; however, any edits to it will get removed if the file is opened in a newer version of Excel. Learn more: https://go.microsoft.com/fwlink/?linkid=870924
Comment:
    2 Dampers Manuais</t>
      </text>
    </comment>
    <comment ref="S1" authorId="14" shapeId="0" xr:uid="{225C7EAA-E75F-4682-830E-B492BBE259DA}">
      <text>
        <t>[Threaded comment]
Your version of Excel allows you to read this threaded comment; however, any edits to it will get removed if the file is opened in a newer version of Excel. Learn more: https://go.microsoft.com/fwlink/?linkid=870924
Comment:
    1 Damper com atuador on/off</t>
      </text>
    </comment>
    <comment ref="T1" authorId="15" shapeId="0" xr:uid="{64827351-1942-47C9-B784-B3000966EBF4}">
      <text>
        <t>[Threaded comment]
Your version of Excel allows you to read this threaded comment; however, any edits to it will get removed if the file is opened in a newer version of Excel. Learn more: https://go.microsoft.com/fwlink/?linkid=870924
Comment:
    2 dampers com atuadores on/off</t>
      </text>
    </comment>
    <comment ref="U1" authorId="16" shapeId="0" xr:uid="{4698BD48-FCCE-47E7-9961-6A818BC956B9}">
      <text>
        <t>[Threaded comment]
Your version of Excel allows you to read this threaded comment; however, any edits to it will get removed if the file is opened in a newer version of Excel. Learn more: https://go.microsoft.com/fwlink/?linkid=870924
Comment:
    Ventilador Eletrônico</t>
      </text>
    </comment>
    <comment ref="V1" authorId="17" shapeId="0" xr:uid="{81321174-8C0A-42FE-9B43-F86DFB45D121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Controle de Condensação Proporcional</t>
      </text>
    </comment>
    <comment ref="W1" authorId="18" shapeId="0" xr:uid="{C107CE56-A13D-49FC-8954-D3533D7E8214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Controle de Condensação Proporcional</t>
      </text>
    </comment>
    <comment ref="X1" authorId="19" shapeId="0" xr:uid="{D1F61B7F-2381-4849-88E1-55BFE09089F3}">
      <text>
        <t>[Threaded comment]
Your version of Excel allows you to read this threaded comment; however, any edits to it will get removed if the file is opened in a newer version of Excel. Learn more: https://go.microsoft.com/fwlink/?linkid=870924
Comment:
    Sensor de Filtro Sujo</t>
      </text>
    </comment>
    <comment ref="Y1" authorId="20" shapeId="0" xr:uid="{C3AA4116-374D-40F7-98DB-4F1231B85895}">
      <text>
        <t>[Threaded comment]
Your version of Excel allows you to read this threaded comment; however, any edits to it will get removed if the file is opened in a newer version of Excel. Learn more: https://go.microsoft.com/fwlink/?linkid=870924
Comment:
    Resistência de Aquecimento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tc={3A381993-8D7E-4C34-91CE-6915AAD46F4E}</author>
    <author>tc={8E543269-466B-410E-BABC-9FC13B9FA4BD}</author>
    <author>tc={F9D2604F-792B-437E-A146-AE91504B3022}</author>
    <author>tc={A0F6512C-C81B-444C-B512-CD52E7B36523}</author>
    <author>tc={2FBEEC8A-98CD-495F-B939-22DFB174D8D6}</author>
    <author>tc={48A81A7D-813B-4EB3-8F83-B8B0A175AB24}</author>
    <author>tc={0ABAA109-18FD-4308-A12F-F241BC44C8E0}</author>
    <author>tc={C3B6F132-B021-44B3-9BDC-BE1CECF2A94B}</author>
    <author>tc={A020368A-96F0-4F5D-9C7A-F86DD026EB10}</author>
    <author>tc={846DF249-D2AE-498A-8DAB-A2455F442DCE}</author>
    <author>tc={C89BC0B2-3308-4752-8989-1603A7576B9B}</author>
    <author>tc={96FFC34B-1840-4E21-93DF-23BD9953D042}</author>
  </authors>
  <commentList>
    <comment ref="D57" authorId="0" shapeId="0" xr:uid="{3A381993-8D7E-4C34-91CE-6915AAD46F4E}">
      <text>
        <t>[Threaded comment]
Your version of Excel allows you to read this threaded comment; however, any edits to it will get removed if the file is opened in a newer version of Excel. Learn more: https://go.microsoft.com/fwlink/?linkid=870924
Comment:
    Preço não encontrado, valor estimado</t>
      </text>
    </comment>
    <comment ref="D58" authorId="1" shapeId="0" xr:uid="{8E543269-466B-410E-BABC-9FC13B9FA4BD}">
      <text>
        <t>[Threaded comment]
Your version of Excel allows you to read this threaded comment; however, any edits to it will get removed if the file is opened in a newer version of Excel. Learn more: https://go.microsoft.com/fwlink/?linkid=870924
Comment:
    Preço não encontrado, valor estimado.</t>
      </text>
    </comment>
    <comment ref="D61" authorId="2" shapeId="0" xr:uid="{F9D2604F-792B-437E-A146-AE91504B3022}">
      <text>
        <t>[Threaded comment]
Your version of Excel allows you to read this threaded comment; however, any edits to it will get removed if the file is opened in a newer version of Excel. Learn more: https://go.microsoft.com/fwlink/?linkid=870924
Comment:
    Preço não encontrado, valor estimado</t>
      </text>
    </comment>
    <comment ref="D63" authorId="3" shapeId="0" xr:uid="{A0F6512C-C81B-444C-B512-CD52E7B36523}">
      <text>
        <t>[Threaded comment]
Your version of Excel allows you to read this threaded comment; however, any edits to it will get removed if the file is opened in a newer version of Excel. Learn more: https://go.microsoft.com/fwlink/?linkid=870924
Comment:
    Preço não encontrado, valor estimado</t>
      </text>
    </comment>
    <comment ref="D69" authorId="4" shapeId="0" xr:uid="{2FBEEC8A-98CD-495F-B939-22DFB174D8D6}">
      <text>
        <t>[Threaded comment]
Your version of Excel allows you to read this threaded comment; however, any edits to it will get removed if the file is opened in a newer version of Excel. Learn more: https://go.microsoft.com/fwlink/?linkid=870924
Comment:
    Preço não encontrado, valor do 24.000</t>
      </text>
    </comment>
    <comment ref="F69" authorId="5" shapeId="0" xr:uid="{48A81A7D-813B-4EB3-8F83-B8B0A175AB24}">
      <text>
        <t>[Threaded comment]
Your version of Excel allows you to read this threaded comment; however, any edits to it will get removed if the file is opened in a newer version of Excel. Learn more: https://go.microsoft.com/fwlink/?linkid=870924
Comment:
    Preço não encontrado, valor do 24.000</t>
      </text>
    </comment>
    <comment ref="C71" authorId="6" shapeId="0" xr:uid="{0ABAA109-18FD-4308-A12F-F241BC44C8E0}">
      <text>
        <t>[Threaded comment]
Your version of Excel allows you to read this threaded comment; however, any edits to it will get removed if the file is opened in a newer version of Excel. Learn more: https://go.microsoft.com/fwlink/?linkid=870924
Comment:
    Preço não encontrado, valor estimado</t>
      </text>
    </comment>
    <comment ref="C73" authorId="7" shapeId="0" xr:uid="{C3B6F132-B021-44B3-9BDC-BE1CECF2A94B}">
      <text>
        <t>[Threaded comment]
Your version of Excel allows you to read this threaded comment; however, any edits to it will get removed if the file is opened in a newer version of Excel. Learn more: https://go.microsoft.com/fwlink/?linkid=870924
Comment:
    Preço não encontrado, valor do 9.000</t>
      </text>
    </comment>
    <comment ref="C76" authorId="8" shapeId="0" xr:uid="{A020368A-96F0-4F5D-9C7A-F86DD026EB10}">
      <text>
        <t>[Threaded comment]
Your version of Excel allows you to read this threaded comment; however, any edits to it will get removed if the file is opened in a newer version of Excel. Learn more: https://go.microsoft.com/fwlink/?linkid=870924
Comment:
    Preço não encontrado, valor do 21.000</t>
      </text>
    </comment>
    <comment ref="E76" authorId="9" shapeId="0" xr:uid="{846DF249-D2AE-498A-8DAB-A2455F442DCE}">
      <text>
        <t>[Threaded comment]
Your version of Excel allows you to read this threaded comment; however, any edits to it will get removed if the file is opened in a newer version of Excel. Learn more: https://go.microsoft.com/fwlink/?linkid=870924
Comment:
    Preço não encontrado, valor do 21.000</t>
      </text>
    </comment>
    <comment ref="A128" authorId="10" shapeId="0" xr:uid="{C89BC0B2-3308-4752-8989-1603A7576B9B}">
      <text>
        <t>[Threaded comment]
Your version of Excel allows you to read this threaded comment; however, any edits to it will get removed if the file is opened in a newer version of Excel. Learn more: https://go.microsoft.com/fwlink/?linkid=870924
Comment:
    Limit Load, pressão 40 mmCA, 15CV, 220V/380V, acionamento direto. 13/10/2022, Aeroville</t>
      </text>
    </comment>
    <comment ref="A130" authorId="11" shapeId="0" xr:uid="{96FFC34B-1840-4E21-93DF-23BD9953D042}">
      <text>
        <t>[Threaded comment]
Your version of Excel allows you to read this threaded comment; however, any edits to it will get removed if the file is opened in a newer version of Excel. Learn more: https://go.microsoft.com/fwlink/?linkid=870924
Comment:
    Sicflux FH 250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Matheus Pacheco</author>
  </authors>
  <commentList>
    <comment ref="H19" authorId="0" shapeId="0" xr:uid="{3205880A-BB8B-4A96-8905-95D660A8C820}">
      <text>
        <r>
          <rPr>
            <b/>
            <sz val="9"/>
            <color indexed="81"/>
            <rFont val="Segoe UI"/>
            <family val="2"/>
          </rPr>
          <t>Matheus Pacheco:</t>
        </r>
        <r>
          <rPr>
            <sz val="9"/>
            <color indexed="81"/>
            <rFont val="Segoe UI"/>
            <family val="2"/>
          </rPr>
          <t xml:space="preserve">
Número de curvas por circuito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Matheus Pacheco</author>
  </authors>
  <commentList>
    <comment ref="C60" authorId="0" shapeId="0" xr:uid="{42EA4E54-6D99-437B-88AC-E6A2CD492350}">
      <text>
        <r>
          <rPr>
            <b/>
            <sz val="9"/>
            <color indexed="81"/>
            <rFont val="Segoe UI"/>
            <family val="2"/>
          </rPr>
          <t>Matheus Pacheco:</t>
        </r>
        <r>
          <rPr>
            <sz val="9"/>
            <color indexed="81"/>
            <rFont val="Segoe UI"/>
            <family val="2"/>
          </rPr>
          <t xml:space="preserve">
Inserir temperatura desejada no interior da sala ventilada. Delta T deve ser calculado subtraindo Tinterna-Texterna</t>
        </r>
      </text>
    </comment>
    <comment ref="E60" authorId="0" shapeId="0" xr:uid="{F9C98F38-7DA1-468B-94F7-D0F2E824DD37}">
      <text>
        <r>
          <rPr>
            <b/>
            <sz val="9"/>
            <color indexed="81"/>
            <rFont val="Segoe UI"/>
            <family val="2"/>
          </rPr>
          <t>Matheus Pacheco:</t>
        </r>
        <r>
          <rPr>
            <sz val="9"/>
            <color indexed="81"/>
            <rFont val="Segoe UI"/>
            <family val="2"/>
          </rPr>
          <t xml:space="preserve">
Intertravar com temperatura externa</t>
        </r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<sst xmlns="http://schemas.openxmlformats.org/spreadsheetml/2006/main" count="3851" uniqueCount="1400">
  <si>
    <t>Ambientes</t>
  </si>
  <si>
    <t>Dados</t>
  </si>
  <si>
    <t>Descrição</t>
  </si>
  <si>
    <t>Categoria</t>
  </si>
  <si>
    <t>Área (m²)</t>
  </si>
  <si>
    <t>Interno</t>
  </si>
  <si>
    <t>Total</t>
  </si>
  <si>
    <t>-</t>
  </si>
  <si>
    <t>Altura (m)</t>
  </si>
  <si>
    <t>Vazão (m³/h)</t>
  </si>
  <si>
    <t>Eletrocentro</t>
  </si>
  <si>
    <t>Tipos de Porta</t>
  </si>
  <si>
    <t>Largura (m)</t>
  </si>
  <si>
    <t>N. de Frestas Verticais</t>
  </si>
  <si>
    <t>N. de Frestas Horizontais</t>
  </si>
  <si>
    <t>Distância da Fresta (m)</t>
  </si>
  <si>
    <t>Área Largura</t>
  </si>
  <si>
    <t>Área Altura</t>
  </si>
  <si>
    <t>Bipartida Tipo 1</t>
  </si>
  <si>
    <t>Área de Escape Unitário</t>
  </si>
  <si>
    <t>Bipartida Tipo 2</t>
  </si>
  <si>
    <t>Simples Tipo 1</t>
  </si>
  <si>
    <t>Simples Tipo 2</t>
  </si>
  <si>
    <t>N. de Portas Bipartidas Tipo 1</t>
  </si>
  <si>
    <t>N. de Portas Bipartidas Tipo 2</t>
  </si>
  <si>
    <t>N. de Portas Simples Tipo 1</t>
  </si>
  <si>
    <t>N. de Portas Simples Tipo 2</t>
  </si>
  <si>
    <t>Área 1</t>
  </si>
  <si>
    <t>Área 2</t>
  </si>
  <si>
    <t>Fator "n"</t>
  </si>
  <si>
    <t>Escape Total ÁREA 1</t>
  </si>
  <si>
    <t>Dif. de Pressão (Pa)</t>
  </si>
  <si>
    <t>Aux</t>
  </si>
  <si>
    <t>VAZÃO TOTAL (m³/h)</t>
  </si>
  <si>
    <t>Vel. Na fresta (m/s)</t>
  </si>
  <si>
    <t>PLANILHA DE PRESSURIZAÇÃO</t>
  </si>
  <si>
    <t>LEGENDA</t>
  </si>
  <si>
    <t>Dados Parcial</t>
  </si>
  <si>
    <t>Escape Total ÁREA 2</t>
  </si>
  <si>
    <t>Latitude</t>
  </si>
  <si>
    <t>Longitude</t>
  </si>
  <si>
    <t>Isolante Térmico</t>
  </si>
  <si>
    <t>Q (calor em calorias)</t>
  </si>
  <si>
    <t>Massa (gramas)</t>
  </si>
  <si>
    <t>Informações Adicionais:</t>
  </si>
  <si>
    <t>Data</t>
  </si>
  <si>
    <t>Cliente:</t>
  </si>
  <si>
    <t>Obra:</t>
  </si>
  <si>
    <t>Objeto:</t>
  </si>
  <si>
    <t>Ausenco</t>
  </si>
  <si>
    <t>Eletrocentro 436/17</t>
  </si>
  <si>
    <t>Altitude: Não superior a 1000m; Temp. máxima do ambiente: 36°C; Pressurização com filtragem auto limpante; Exaustão nas SB; Ventilação nas ST;</t>
  </si>
  <si>
    <t>Eletrocentro 490-SB-03</t>
  </si>
  <si>
    <t>PLANILHA DE ISOLAMENTOS, CONDUTIVIDADE, TRASMISSIVIDADE, DISSIPAÇÕES, PERDAS ETC</t>
  </si>
  <si>
    <t>Dados Parciais</t>
  </si>
  <si>
    <t>Dados Padrão</t>
  </si>
  <si>
    <t>Dados Finais</t>
  </si>
  <si>
    <r>
      <rPr>
        <b/>
        <sz val="10"/>
        <color indexed="8"/>
        <rFont val="Arial"/>
        <family val="2"/>
      </rPr>
      <t>Ø</t>
    </r>
    <r>
      <rPr>
        <b/>
        <sz val="10"/>
        <color indexed="8"/>
        <rFont val="Calibri"/>
        <family val="2"/>
      </rPr>
      <t xml:space="preserve"> BITOLA</t>
    </r>
  </si>
  <si>
    <t>ESPESSURA DA PAREDE (mm)</t>
  </si>
  <si>
    <t>pol.</t>
  </si>
  <si>
    <t>mm</t>
  </si>
  <si>
    <t>1/8"</t>
  </si>
  <si>
    <t>3/16"</t>
  </si>
  <si>
    <t>1/4"</t>
  </si>
  <si>
    <t>5/16"</t>
  </si>
  <si>
    <t>3/8"</t>
  </si>
  <si>
    <t>7/16"</t>
  </si>
  <si>
    <t>1/2"</t>
  </si>
  <si>
    <t>5/8"</t>
  </si>
  <si>
    <t>3/4"</t>
  </si>
  <si>
    <t>7/8"</t>
  </si>
  <si>
    <t>1"</t>
  </si>
  <si>
    <t>1.1/8"</t>
  </si>
  <si>
    <t>1.1/4"</t>
  </si>
  <si>
    <t>1.3/8"</t>
  </si>
  <si>
    <t>1.1/2"</t>
  </si>
  <si>
    <t>1.5/8"</t>
  </si>
  <si>
    <t>1.3/4"</t>
  </si>
  <si>
    <t>2"</t>
  </si>
  <si>
    <t>2.1/8"</t>
  </si>
  <si>
    <t>2.1/4"</t>
  </si>
  <si>
    <t>2.1/2"</t>
  </si>
  <si>
    <t>2.5/8"</t>
  </si>
  <si>
    <t>3"</t>
  </si>
  <si>
    <t>3.1/8"</t>
  </si>
  <si>
    <t>3.5/8"</t>
  </si>
  <si>
    <t>4.1/8"</t>
  </si>
  <si>
    <t>TUBOS DE COBRE PESO POR METRO</t>
  </si>
  <si>
    <t>Status</t>
  </si>
  <si>
    <t>1.1</t>
  </si>
  <si>
    <t>N° IHM</t>
  </si>
  <si>
    <t>N° ACSA</t>
  </si>
  <si>
    <t>P.D. (m)</t>
  </si>
  <si>
    <t>1.2</t>
  </si>
  <si>
    <t>1.3</t>
  </si>
  <si>
    <t>1.4</t>
  </si>
  <si>
    <t>Ambiente</t>
  </si>
  <si>
    <t>2.1</t>
  </si>
  <si>
    <t>2.2</t>
  </si>
  <si>
    <t>2.3</t>
  </si>
  <si>
    <t>2.4</t>
  </si>
  <si>
    <t>2.5</t>
  </si>
  <si>
    <t>3.1</t>
  </si>
  <si>
    <t>3.2</t>
  </si>
  <si>
    <t>3.3</t>
  </si>
  <si>
    <t>4.1</t>
  </si>
  <si>
    <t>4.2</t>
  </si>
  <si>
    <t>4.3</t>
  </si>
  <si>
    <t>m³/h</t>
  </si>
  <si>
    <t>l/s</t>
  </si>
  <si>
    <t>Alteração:</t>
  </si>
  <si>
    <t>Local</t>
  </si>
  <si>
    <t>Godofredo Viana/MA</t>
  </si>
  <si>
    <t>Corrosivo</t>
  </si>
  <si>
    <t>Salino</t>
  </si>
  <si>
    <t>Poeirento</t>
  </si>
  <si>
    <t>BS</t>
  </si>
  <si>
    <t>BU</t>
  </si>
  <si>
    <t>UR</t>
  </si>
  <si>
    <t>Altitude</t>
  </si>
  <si>
    <t>Dados Biblioteca</t>
  </si>
  <si>
    <t>Latitide</t>
  </si>
  <si>
    <t>DADOS DO AMBIENTE</t>
  </si>
  <si>
    <t>Lã de Rocha</t>
  </si>
  <si>
    <t>Densidade</t>
  </si>
  <si>
    <t>R-Value</t>
  </si>
  <si>
    <t>U-Value</t>
  </si>
  <si>
    <t>kg/m³</t>
  </si>
  <si>
    <t>Congonhas/MG</t>
  </si>
  <si>
    <t xml:space="preserve"> </t>
  </si>
  <si>
    <t>ÍNDICE DE VERSÕES</t>
  </si>
  <si>
    <t>VERSÃO</t>
  </si>
  <si>
    <t xml:space="preserve">DESCRIÇÃO E/OU FOLHAS ALTERADAS </t>
  </si>
  <si>
    <t>DATA</t>
  </si>
  <si>
    <t>VERIFICADO</t>
  </si>
  <si>
    <t>APROVADO</t>
  </si>
  <si>
    <t>A</t>
  </si>
  <si>
    <t>Estimativa de custo</t>
  </si>
  <si>
    <t>B</t>
  </si>
  <si>
    <t>C</t>
  </si>
  <si>
    <t>ITEM</t>
  </si>
  <si>
    <t>DISCRIMINAÇÃO DOS SERVIÇOS</t>
  </si>
  <si>
    <t>UNID.</t>
  </si>
  <si>
    <t>QUANT.</t>
  </si>
  <si>
    <t>PREÇO UNITÁRIO</t>
  </si>
  <si>
    <t>TOTAIS PARCIAIS</t>
  </si>
  <si>
    <t>TOTAL GERAL</t>
  </si>
  <si>
    <t>Material</t>
  </si>
  <si>
    <t>Mão de obra</t>
  </si>
  <si>
    <t>SISTEMA DE CLIMATIZAÇÃO</t>
  </si>
  <si>
    <t>Equipamentos</t>
  </si>
  <si>
    <t>1.1.1</t>
  </si>
  <si>
    <t>un</t>
  </si>
  <si>
    <t>1.1.2</t>
  </si>
  <si>
    <t>1.1.3</t>
  </si>
  <si>
    <t>Acessórios de difusão e controle de ar</t>
  </si>
  <si>
    <t>5.1</t>
  </si>
  <si>
    <t>Wall Mounted</t>
  </si>
  <si>
    <t>Split Simples</t>
  </si>
  <si>
    <t>ACESSÓRIOS</t>
  </si>
  <si>
    <t>Grelha</t>
  </si>
  <si>
    <t>Veneziana</t>
  </si>
  <si>
    <t>EM PROCESSO</t>
  </si>
  <si>
    <t>1.5</t>
  </si>
  <si>
    <t>São Luís/MA</t>
  </si>
  <si>
    <t>Bélem/PA</t>
  </si>
  <si>
    <t>Rio de Janeiro/RJ</t>
  </si>
  <si>
    <t>Santa Cruz/RJ</t>
  </si>
  <si>
    <t>Santa Inês/MA</t>
  </si>
  <si>
    <t>Marabá/PA</t>
  </si>
  <si>
    <t>Uberaba/MG</t>
  </si>
  <si>
    <t>4.4</t>
  </si>
  <si>
    <t>4.5</t>
  </si>
  <si>
    <t>4.6</t>
  </si>
  <si>
    <t>5.2</t>
  </si>
  <si>
    <t>GoldFin e Anticorrosivo;</t>
  </si>
  <si>
    <t>com Damper de TAE;</t>
  </si>
  <si>
    <t>Split System</t>
  </si>
  <si>
    <t xml:space="preserve"> Capacidade 7.000 BTU/h</t>
  </si>
  <si>
    <t>Capacidade 9.000 BTU/h</t>
  </si>
  <si>
    <t>Capacidade 12.000 BTU/h</t>
  </si>
  <si>
    <t>Capacidade 18.000 BTU/h</t>
  </si>
  <si>
    <t>Capacidade 24.000 BTU/h</t>
  </si>
  <si>
    <t>Capacidade 36.000 BTU/h</t>
  </si>
  <si>
    <t>Capacidade 48.000 BTU/h</t>
  </si>
  <si>
    <t>Capacidade 60.000 BTU/h</t>
  </si>
  <si>
    <t>Capacidade 80.000 BTU/h</t>
  </si>
  <si>
    <t>Capacidade 3 TR</t>
  </si>
  <si>
    <t>Capacidade 4 TR</t>
  </si>
  <si>
    <t>Capacidade 5 TR</t>
  </si>
  <si>
    <t>Capacidade 7,5 TR</t>
  </si>
  <si>
    <t>Capacidade 10 TR</t>
  </si>
  <si>
    <t>Capacidade 12,5 TR</t>
  </si>
  <si>
    <t>Capacidade 15 TR</t>
  </si>
  <si>
    <t>Capacidade 20 TR</t>
  </si>
  <si>
    <t>Capacidade 25 TR</t>
  </si>
  <si>
    <t>Capacidade 30 TR</t>
  </si>
  <si>
    <t>Capacidade 40 TR</t>
  </si>
  <si>
    <t>Capacidade 50 TR</t>
  </si>
  <si>
    <t>TRATAM</t>
  </si>
  <si>
    <t>ALIMENT</t>
  </si>
  <si>
    <t>GLOBAL</t>
  </si>
  <si>
    <t>1.6</t>
  </si>
  <si>
    <t>1.7</t>
  </si>
  <si>
    <t>ERRO</t>
  </si>
  <si>
    <t>Delta T (°C)</t>
  </si>
  <si>
    <t>Calor especifico (cal/g°C)</t>
  </si>
  <si>
    <t>Potência Arrefecida (W)</t>
  </si>
  <si>
    <t>Temperatura 1</t>
  </si>
  <si>
    <t>Temperatura 2</t>
  </si>
  <si>
    <t>Densidade do Ar</t>
  </si>
  <si>
    <t>Calor específico (cal/g°C)</t>
  </si>
  <si>
    <t>Vazão volumétrica</t>
  </si>
  <si>
    <t>Massa de ar por hora (kg)</t>
  </si>
  <si>
    <t>Calor específ. (cal/g°C)</t>
  </si>
  <si>
    <t>Área 3</t>
  </si>
  <si>
    <t>ΔT</t>
  </si>
  <si>
    <t>kg/h</t>
  </si>
  <si>
    <t>INPUT</t>
  </si>
  <si>
    <t>Temperatura Interna</t>
  </si>
  <si>
    <t>Temperatura Externa</t>
  </si>
  <si>
    <t>CONTATO</t>
  </si>
  <si>
    <t>OBSERVAÇÕES</t>
  </si>
  <si>
    <t>Tosi Indústria e Comércio LTDA, Cabreúva/SP</t>
  </si>
  <si>
    <t>lamascr@gmail.com</t>
  </si>
  <si>
    <t>1.1.4</t>
  </si>
  <si>
    <t>1.1.5</t>
  </si>
  <si>
    <t>ACSA</t>
  </si>
  <si>
    <t>PLANILHA DE VENTILAÇÃO E ARREFECIMENTO</t>
  </si>
  <si>
    <t>CONVERSÃO DE KVA PARA Kw</t>
  </si>
  <si>
    <t>kva</t>
  </si>
  <si>
    <t>fator de potencia</t>
  </si>
  <si>
    <t>potencia em W</t>
  </si>
  <si>
    <t>perda</t>
  </si>
  <si>
    <t>dissipação</t>
  </si>
  <si>
    <t>Capacidade 1 TR</t>
  </si>
  <si>
    <t>Capacidade 2 TR</t>
  </si>
  <si>
    <t>Capacidade 35 TR</t>
  </si>
  <si>
    <t>Capacidade 45 TR</t>
  </si>
  <si>
    <t>Capacidade 55TR</t>
  </si>
  <si>
    <t>Capacidade 60 TR</t>
  </si>
  <si>
    <t>Capacidade 65 TR</t>
  </si>
  <si>
    <t>Capacidade 70 TR</t>
  </si>
  <si>
    <t>com controle microprocessado;</t>
  </si>
  <si>
    <t>tratamento especial para ambiente salino (GoldFin);</t>
  </si>
  <si>
    <t>tratamento Anticorrosivo;</t>
  </si>
  <si>
    <t>controle de condensação;</t>
  </si>
  <si>
    <t>ventilador Sirocco;</t>
  </si>
  <si>
    <t>ventilador Radial EC;</t>
  </si>
  <si>
    <t>controle de condensação com variação proporcional do ventilador;</t>
  </si>
  <si>
    <t>VENT</t>
  </si>
  <si>
    <t>DAMPER</t>
  </si>
  <si>
    <t>TABELA CAPACIDADE X CUSTO BASE E OPCIONAIS SPLIT SYSTEM</t>
  </si>
  <si>
    <t>PREÇO GLOBAL WALL MOUNTED TIPO 1 (PREÇO TABELADO TOSI)</t>
  </si>
  <si>
    <t>TABELA CAPACIDADE X CUSTO BASE E OPCIONAIS WALL MOUNTED</t>
  </si>
  <si>
    <t>(futuro)</t>
  </si>
  <si>
    <t>CAPACIDADE</t>
  </si>
  <si>
    <t>AUTOM</t>
  </si>
  <si>
    <t>CONDEN</t>
  </si>
  <si>
    <t>TABELA DE OPCIONAIS (WALL MOUNTED E SPLIT SYSTEM)</t>
  </si>
  <si>
    <t>PARCIAL ALIMENTAÇÃO =</t>
  </si>
  <si>
    <t>PARCIAL AUTOMAÇÃO =</t>
  </si>
  <si>
    <t>PARCIAL CONTROLE DE CONDENSAÇÃO =</t>
  </si>
  <si>
    <t>PARCIAL DAMPER =</t>
  </si>
  <si>
    <t>PARCIAL TRATAMENTO =</t>
  </si>
  <si>
    <t>Coluna 1</t>
  </si>
  <si>
    <t>Preço Base WM</t>
  </si>
  <si>
    <t>INPUTS</t>
  </si>
  <si>
    <t>Roof Top</t>
  </si>
  <si>
    <t>AR CONDICIONADO</t>
  </si>
  <si>
    <t>VENTILADORES</t>
  </si>
  <si>
    <t>TUBULAÇÕES</t>
  </si>
  <si>
    <t>GÁS REFRIGERANTE</t>
  </si>
  <si>
    <t>Caixa Pressurizadora</t>
  </si>
  <si>
    <t>Ventilador Centrífugo</t>
  </si>
  <si>
    <t>Ventilador Axial</t>
  </si>
  <si>
    <t>Exaustor Axial</t>
  </si>
  <si>
    <t>Exaustor Centrífugo</t>
  </si>
  <si>
    <t>Registro de Vazão</t>
  </si>
  <si>
    <t>Tomada de Ar e Filtragem</t>
  </si>
  <si>
    <t>R-410A</t>
  </si>
  <si>
    <t>R-407C</t>
  </si>
  <si>
    <t>R-22</t>
  </si>
  <si>
    <t>Alimentação 220V/1F;</t>
  </si>
  <si>
    <t>Alimentação 220V/3F;</t>
  </si>
  <si>
    <t>Alimentação 380V/1F;</t>
  </si>
  <si>
    <t>Alimentação 380V/3F;</t>
  </si>
  <si>
    <t>Alimentação 440V/3F;</t>
  </si>
  <si>
    <t>PARCIAIS VENTILADORES =</t>
  </si>
  <si>
    <t>Centrífugo</t>
  </si>
  <si>
    <t>1.2.1</t>
  </si>
  <si>
    <t>Grelhas de insuflamento do sistema de pressurização</t>
  </si>
  <si>
    <t>1.2.2</t>
  </si>
  <si>
    <t>Registros de Vazão</t>
  </si>
  <si>
    <t>Rede de Dutos</t>
  </si>
  <si>
    <t>1.3.1</t>
  </si>
  <si>
    <t>Chapa de aço galvanizado</t>
  </si>
  <si>
    <t>kg</t>
  </si>
  <si>
    <t>1.3.2</t>
  </si>
  <si>
    <t>Suportes e miscelâneas (Barra atirantada, chumbadores, perfis, vedação)</t>
  </si>
  <si>
    <t>vb</t>
  </si>
  <si>
    <t>Tubulação Frigorígena de Cobre</t>
  </si>
  <si>
    <t>1.4.1</t>
  </si>
  <si>
    <t>Fornecimento e instalação de tubulação de cobre rígido, linha de sucção</t>
  </si>
  <si>
    <t>m</t>
  </si>
  <si>
    <t>1.4.2</t>
  </si>
  <si>
    <t>Fornecimento e instalação de tubulação de cobre rígido, linha de expansão</t>
  </si>
  <si>
    <t>Instalações Elétricas</t>
  </si>
  <si>
    <t>1.5.1</t>
  </si>
  <si>
    <t>Carga de Gás</t>
  </si>
  <si>
    <t>1.6.1</t>
  </si>
  <si>
    <t>Garrafas de Gás Refrigerante R410A</t>
  </si>
  <si>
    <t>1.7.1</t>
  </si>
  <si>
    <t>Suportação dos equipamentos, mão francesa, bases (Wall Mounted)</t>
  </si>
  <si>
    <t>1.8</t>
  </si>
  <si>
    <t>1.8.1</t>
  </si>
  <si>
    <t>Projeto e supervisão do sistema de climatização e ventilação</t>
  </si>
  <si>
    <t>LISTA DE MATERIAIS</t>
  </si>
  <si>
    <t>Informações Adicionais: ALTERAR O STATUS CONFORME EFETUAR A COMPRA</t>
  </si>
  <si>
    <t>Lista de Materiais</t>
  </si>
  <si>
    <t>MPHG</t>
  </si>
  <si>
    <t>STATUS</t>
  </si>
  <si>
    <t>FORNECEDOR</t>
  </si>
  <si>
    <t>Fornecimento de unidade condicionadora de ar do tipo Wall Mounted com tratamento GoldFin para ambiente salino, alto fator de calor sensível e precisão, capacidade 20 TR, 440/3/60, R-407C, modelo TWME204FAXXXXFPAUXXX, fabricante Tosi.</t>
  </si>
  <si>
    <t>Fornecimento de unidade condicionadora de ar do tipo Split Piso-Teto, capacidade 80.000 BTU/h, 380/3/60, R-410A, modelo 42LQL080515KC + K42LC5WC + 38CCL090235MC, fabricante Carrier.</t>
  </si>
  <si>
    <t>Frigelar
Belo Horizonte/MG</t>
  </si>
  <si>
    <t>Frederico Rosa
(31) 3078-8905</t>
  </si>
  <si>
    <t>fredericorosa@frigelar.com.br</t>
  </si>
  <si>
    <t>Fornecimento de ventilador centrífugo com filtro cartucho, sistema com limpeza automática. Ponto de operação: vazão 1.821 m³/h, pressão estática 52,7 mmCA, modelo Filtro Cartucho (2.000 m³/h), 1CV, 440/3/60, fabricante Aeroville.</t>
  </si>
  <si>
    <t>Aeroville Ventilação Industrial
Joinville/SC</t>
  </si>
  <si>
    <t>comercial@aeroville.com.br</t>
  </si>
  <si>
    <t>Fornecimento de ventilador axial, vazão de 23.000 m³/h, pressão estática 5mmCA, 1,5CV, para ventilação da baia de transformadores. Modelo de referência EP/83, fabricante Brasfaiber.</t>
  </si>
  <si>
    <t>Brasfaiber
Itaquaquecetuba/SP</t>
  </si>
  <si>
    <t>Tiago Perez
(11) 4648-8241</t>
  </si>
  <si>
    <t>vendas@brasfaiber.com.br</t>
  </si>
  <si>
    <t>Fornecimento de ventilador axial, vazão de 11.200 m³/h, pressão estática 5mmCA, 0,75CV, para ventilação da baia de transformadores. Modelo de referência EP/63, fabricante Brasfaiber.</t>
  </si>
  <si>
    <t>1.1.6</t>
  </si>
  <si>
    <t>Fornecimento de ventilador axial, vazão de 1.404 m³/h, pressão estática 32mmCA, para ventilação e exaustão da sala de baterias. Modelo de referência RAX2CD, fabricante Ventisilva.</t>
  </si>
  <si>
    <t>Metalúrgica Ventisilva LTDA
São Paulo/SP</t>
  </si>
  <si>
    <t>Rogério Lamas
(31) 3375-2858
(31) 99822-1977
(31) 998221801</t>
  </si>
  <si>
    <t>1.1.7</t>
  </si>
  <si>
    <t>Fornecimento de painéis de alimentação, programadores, sensores e qualquer outro componente não pertencente ao projeto do sistema de VAC, mas essencial para o correto funcionamento, responsabilidade IHM</t>
  </si>
  <si>
    <t>Acessórios de Difusão e Controle de Ar</t>
  </si>
  <si>
    <t>Fornecimento de grelhas de insuflamento, modelo AT-DG (com registro), tamanho 625 x 165mm, fabricante Trox</t>
  </si>
  <si>
    <t>Fornecimento de grelhas de insuflamento, modelo AT-DG (com registro), tamanho 325 x 225mm, fabricante Trox</t>
  </si>
  <si>
    <t>1.2.3</t>
  </si>
  <si>
    <t>Fornecimento de registro de vazão, modelo RL-B, tamanho 700 x 205mm, fabricante Trox</t>
  </si>
  <si>
    <t>1.2.4</t>
  </si>
  <si>
    <t>Fornecimento de tomada de ar externo (TAE), modelo VDF-711, com veneziana AWK inclusa, tamanho 397 x 397mm, fabricante Trox</t>
  </si>
  <si>
    <t>1.2.5</t>
  </si>
  <si>
    <t>Fornecimento de veneziana de proteção externa, modelo AWK, tamanho 397 x 397 mm, fabricante Trox.</t>
  </si>
  <si>
    <t>1.2.6</t>
  </si>
  <si>
    <t>Fornecimento de veneziana aletada para vazão de ar quente, área livre: 2,00 m², fabricação Acsa</t>
  </si>
  <si>
    <t>1.2.7</t>
  </si>
  <si>
    <t>Fornecimento de veneziana aletada para vazão de ar quente, área livre: 1,88 m², fabricação Acsa</t>
  </si>
  <si>
    <t>1.2.8</t>
  </si>
  <si>
    <t>Fornecimento de veneziana aletada para vazão de ar quente, área livre: 1,20 m², fabricação Acsa</t>
  </si>
  <si>
    <t>Suportes, fixação e proteções</t>
  </si>
  <si>
    <t>Fornecimento de grade de proteção de ventilador, fabricação Acsa</t>
  </si>
  <si>
    <t>Fornecimento de mão francesa para suportação do Wall Mounted, fabricação Acsa</t>
  </si>
  <si>
    <t>1.3.3</t>
  </si>
  <si>
    <t>Fornecimento de suporte para torre de ventilação com filtragem, fabricação Acsa</t>
  </si>
  <si>
    <t>1.3.4</t>
  </si>
  <si>
    <t>Fornecimento de suportes para equipamentos Split Piso-Teto, evaporadoras e condensadoras, fabricação Acsa</t>
  </si>
  <si>
    <t>Número:</t>
  </si>
  <si>
    <t>PREÇO GLOBAL SPLIT SYSTEM (PREÇO TABELADO TOSI)</t>
  </si>
  <si>
    <t>Preço Base SSTA</t>
  </si>
  <si>
    <t>COND VARIA PROPORCIONAL</t>
  </si>
  <si>
    <t>TOTAL FINAL</t>
  </si>
  <si>
    <t>TABELA CAPACIDADE X CUSTO BASE E OPCIONAIS SPLIT SIMPLES (LINHA BRANCA)</t>
  </si>
  <si>
    <t>Preço Base PT</t>
  </si>
  <si>
    <t>Inversor de frequência</t>
  </si>
  <si>
    <t>Serpentina de Cobre</t>
  </si>
  <si>
    <t>Serpentina de Alumínio</t>
  </si>
  <si>
    <t>PREÇO GLOBAL SPLIT SIMPLES (LINHA BRANCA, PREÇO STRAR)</t>
  </si>
  <si>
    <t>Mão de Obra</t>
  </si>
  <si>
    <t>MÃO OBR</t>
  </si>
  <si>
    <t>Juruti/PA</t>
  </si>
  <si>
    <t>tratamento GoldFin;</t>
  </si>
  <si>
    <t xml:space="preserve"> tubulação de cobre</t>
  </si>
  <si>
    <t>1.1/4</t>
  </si>
  <si>
    <t>1.1/2</t>
  </si>
  <si>
    <t>kg/m</t>
  </si>
  <si>
    <t>MEMÓRIA DE CÁLCULO DE REDE DE DUTOS</t>
  </si>
  <si>
    <t>REDE DE DUTOS</t>
  </si>
  <si>
    <t>Temperatura do Ar - T (°C)</t>
  </si>
  <si>
    <t>Velocidade do ar - V (m/s)</t>
  </si>
  <si>
    <t>Vazão de Ar - Q (m³/h)</t>
  </si>
  <si>
    <t>Altitude - Alt. (m)</t>
  </si>
  <si>
    <t>Rugosidade do Material - e (mm)</t>
  </si>
  <si>
    <t>Viscosidade Cinemática do ar - v (m²/s)</t>
  </si>
  <si>
    <t>Pressão Atmosférica - Patm (kPA)</t>
  </si>
  <si>
    <t>Massa Específica - p (kg/m³)</t>
  </si>
  <si>
    <t>N° de Reynolds - Re (adimensional)</t>
  </si>
  <si>
    <t>Perda de Carga - hf (mmCA/m)</t>
  </si>
  <si>
    <t>VARIÁVEIS DE SAÍDA</t>
  </si>
  <si>
    <t>RESUMO DA PERDA DE CARGA</t>
  </si>
  <si>
    <t>Grau de Filtragem</t>
  </si>
  <si>
    <t>G4</t>
  </si>
  <si>
    <t>Registro</t>
  </si>
  <si>
    <t>Reduções</t>
  </si>
  <si>
    <t>Joelhos 90°</t>
  </si>
  <si>
    <t>Junções</t>
  </si>
  <si>
    <t>M5</t>
  </si>
  <si>
    <t>INPUT 2 (PERDAS EM mmCA)</t>
  </si>
  <si>
    <t>SAÍDA EM mmCA</t>
  </si>
  <si>
    <t>SAÍDAS</t>
  </si>
  <si>
    <t>Joelhos 45°</t>
  </si>
  <si>
    <t>M6</t>
  </si>
  <si>
    <t>FILTRAGEM</t>
  </si>
  <si>
    <t>G1</t>
  </si>
  <si>
    <t>G2</t>
  </si>
  <si>
    <t>G3</t>
  </si>
  <si>
    <t>F7</t>
  </si>
  <si>
    <t>F8</t>
  </si>
  <si>
    <t>F9</t>
  </si>
  <si>
    <t>Grelha 1</t>
  </si>
  <si>
    <t>Grelha 2</t>
  </si>
  <si>
    <t>Grelha 3</t>
  </si>
  <si>
    <t>Veneziana 1</t>
  </si>
  <si>
    <t>Veneziana 2</t>
  </si>
  <si>
    <t>PERDA DE CARGA DISTRIBUÍDA (mmCA)</t>
  </si>
  <si>
    <t>PERDA DE CARGA LOCALIZADA (mmCA)</t>
  </si>
  <si>
    <t>TRECHO DO DUTO</t>
  </si>
  <si>
    <t>VAZÃO DE AR (m³/h)</t>
  </si>
  <si>
    <t>VEL. TRECHO (m/s)</t>
  </si>
  <si>
    <t>COMPRIMENTO (m)</t>
  </si>
  <si>
    <t>N°:</t>
  </si>
  <si>
    <t>TRECHO A-A</t>
  </si>
  <si>
    <t>CÁLCULO DA REDE DE DUTOS</t>
  </si>
  <si>
    <t>VARIÁVEIS DE ENTRADA</t>
  </si>
  <si>
    <t>CÁLCULO DO PESO TOTAL DE CHAPA</t>
  </si>
  <si>
    <t>#26</t>
  </si>
  <si>
    <t>#20</t>
  </si>
  <si>
    <t>#24</t>
  </si>
  <si>
    <t>#22</t>
  </si>
  <si>
    <t>TOTAL (Kg)</t>
  </si>
  <si>
    <t>Kg/m²</t>
  </si>
  <si>
    <t>Kg Total</t>
  </si>
  <si>
    <t>Folga</t>
  </si>
  <si>
    <t>PESO TOTAL DAS CHAPAS (kg)</t>
  </si>
  <si>
    <t>BANCO DE DADOS DE ENTRADA</t>
  </si>
  <si>
    <t>Perda Inicial</t>
  </si>
  <si>
    <t>Perda Final</t>
  </si>
  <si>
    <t>BANCO DE DADOS DE SAÍDA</t>
  </si>
  <si>
    <t>INPUTS DA FÓRMULA</t>
  </si>
  <si>
    <t>ρ</t>
  </si>
  <si>
    <t>Símbolo</t>
  </si>
  <si>
    <t>U</t>
  </si>
  <si>
    <t>D</t>
  </si>
  <si>
    <t>v</t>
  </si>
  <si>
    <t>Viscosidade Cinemática</t>
  </si>
  <si>
    <t>Valores</t>
  </si>
  <si>
    <t>Re</t>
  </si>
  <si>
    <t>Número de Reynolds</t>
  </si>
  <si>
    <t>T</t>
  </si>
  <si>
    <t>Viscosidade cinemática (m²/s)</t>
  </si>
  <si>
    <t>Temperatura (Kelvin)</t>
  </si>
  <si>
    <t>FATOR DE ATRITO (f)</t>
  </si>
  <si>
    <t>NÚMERO DE REYNOLDS (Re)</t>
  </si>
  <si>
    <t>VISCOSIDADE CINEMÁTICA (v)</t>
  </si>
  <si>
    <t>f</t>
  </si>
  <si>
    <t>e</t>
  </si>
  <si>
    <t>Diâmetro hidráulico</t>
  </si>
  <si>
    <t>hf</t>
  </si>
  <si>
    <t>L</t>
  </si>
  <si>
    <t>V</t>
  </si>
  <si>
    <t>g</t>
  </si>
  <si>
    <t>y</t>
  </si>
  <si>
    <t>Coeficiente de Atrito</t>
  </si>
  <si>
    <t>VALORES DE REFERÊNCIA</t>
  </si>
  <si>
    <t>Altura média de rugosidade (mm)</t>
  </si>
  <si>
    <t>Massa específica (kg/m³)</t>
  </si>
  <si>
    <t>FÓRMULA UNIVERSAL DE PERDA - EQUAÇÃO DE DARCY WEISBACH (hf)</t>
  </si>
  <si>
    <t>Fator de Atrito (N/A)</t>
  </si>
  <si>
    <t>Comprimento do duto (m)</t>
  </si>
  <si>
    <t>Diâmetro hidráulico do duto (m)</t>
  </si>
  <si>
    <t>Velocidade média (m/s)</t>
  </si>
  <si>
    <t>Gravidade (m/s²)</t>
  </si>
  <si>
    <t>Peso específico do ar (kgf/m³)</t>
  </si>
  <si>
    <t>Perda de carga (Pa)</t>
  </si>
  <si>
    <t>hf em Pascal</t>
  </si>
  <si>
    <t>1 Pa = 0,102mmCA</t>
  </si>
  <si>
    <t>DIÂMETRO HIDRÁULICO (D)</t>
  </si>
  <si>
    <t>De1: Dutos retangulares</t>
  </si>
  <si>
    <t>De2: Dutos ovais</t>
  </si>
  <si>
    <t>PRESSÃO ATMOSFÉRICA (p)</t>
  </si>
  <si>
    <t>De1</t>
  </si>
  <si>
    <t>De2</t>
  </si>
  <si>
    <t>Diâmetro hidráulico de duto retangular</t>
  </si>
  <si>
    <t>Diâmetro hidráulico de duto oval</t>
  </si>
  <si>
    <r>
      <t>Densidade do Ar (</t>
    </r>
    <r>
      <rPr>
        <sz val="11"/>
        <color theme="1"/>
        <rFont val="Calibri"/>
        <family val="2"/>
      </rPr>
      <t>ρ</t>
    </r>
    <r>
      <rPr>
        <sz val="11"/>
        <color theme="1"/>
        <rFont val="Calibri"/>
        <family val="2"/>
        <scheme val="minor"/>
      </rPr>
      <t>)</t>
    </r>
  </si>
  <si>
    <t>Densidade do ar (kg/m³)</t>
  </si>
  <si>
    <t>parcial 1</t>
  </si>
  <si>
    <t>p2</t>
  </si>
  <si>
    <t>patm</t>
  </si>
  <si>
    <t>Pressão real (KPa)</t>
  </si>
  <si>
    <t>Pressão atmosférica CNTP (KPa)</t>
  </si>
  <si>
    <t>Temperatura do ar no duto (°C)</t>
  </si>
  <si>
    <t>z2</t>
  </si>
  <si>
    <t>Altitude local (metros)</t>
  </si>
  <si>
    <t>Procurar ganho de carga nos dutos</t>
  </si>
  <si>
    <t>Temperatura do ar (°C)</t>
  </si>
  <si>
    <t>1,29260 kg/m³ = massa específica à CNTP</t>
  </si>
  <si>
    <t>28,97 kg/kmol = massa molar do ar seco</t>
  </si>
  <si>
    <t>μ</t>
  </si>
  <si>
    <t>Viscosidade Absoluta ou Dinâmica</t>
  </si>
  <si>
    <t>N/A</t>
  </si>
  <si>
    <t>Diâmetro (m)</t>
  </si>
  <si>
    <t>Velocidade Média (m/s)</t>
  </si>
  <si>
    <t>Diâmetro do Duto (Ø)</t>
  </si>
  <si>
    <t>Q</t>
  </si>
  <si>
    <t>Vel</t>
  </si>
  <si>
    <t>Velocidade (m/s)</t>
  </si>
  <si>
    <t>Ø DO DUTO (mm)</t>
  </si>
  <si>
    <r>
      <t>Conversão Duto Circular Para Retangular (</t>
    </r>
    <r>
      <rPr>
        <sz val="11"/>
        <color theme="1"/>
        <rFont val="Calibri"/>
        <family val="2"/>
        <scheme val="minor"/>
      </rPr>
      <t>)</t>
    </r>
  </si>
  <si>
    <t>De</t>
  </si>
  <si>
    <t>Altura</t>
  </si>
  <si>
    <t>Largura</t>
  </si>
  <si>
    <t>ALTURA (mm)</t>
  </si>
  <si>
    <t>LARGURA (mm)</t>
  </si>
  <si>
    <t>Hf Local</t>
  </si>
  <si>
    <t>E/G</t>
  </si>
  <si>
    <t>E</t>
  </si>
  <si>
    <t>G</t>
  </si>
  <si>
    <t>Hf. TRECHO (mmCA)</t>
  </si>
  <si>
    <t>&gt; Perda</t>
  </si>
  <si>
    <t>&gt; Vazão</t>
  </si>
  <si>
    <t>Ø Médio</t>
  </si>
  <si>
    <t>&gt; Altura</t>
  </si>
  <si>
    <t>&gt; Largura</t>
  </si>
  <si>
    <t>&gt; Velocidade</t>
  </si>
  <si>
    <t>Total Linear</t>
  </si>
  <si>
    <t>Área de Chapa Total</t>
  </si>
  <si>
    <t>SISTEMA DE REDE DE DUTOS</t>
  </si>
  <si>
    <t>TRECHO B-B</t>
  </si>
  <si>
    <t>TRECHO C-C</t>
  </si>
  <si>
    <t>X</t>
  </si>
  <si>
    <t>DIMENSIONAMENTO DE TAE / FILTRO</t>
  </si>
  <si>
    <t>Vazão AE (m³/h)</t>
  </si>
  <si>
    <t>Vel. Face (m/s)</t>
  </si>
  <si>
    <t>Área Total (m²)</t>
  </si>
  <si>
    <t>L (mm)</t>
  </si>
  <si>
    <t>SALA DE PAINÉIS</t>
  </si>
  <si>
    <t>Tipo de Bateria</t>
  </si>
  <si>
    <t>440V/3F</t>
  </si>
  <si>
    <t>NÃO</t>
  </si>
  <si>
    <t>m²</t>
  </si>
  <si>
    <t>TOTAL</t>
  </si>
  <si>
    <t>Damper de sobrepressão</t>
  </si>
  <si>
    <t>Filtro descartável, classe de filtragem G4</t>
  </si>
  <si>
    <t>Lona Flexível</t>
  </si>
  <si>
    <t>Calços de borracha</t>
  </si>
  <si>
    <t>Cola Vinil</t>
  </si>
  <si>
    <t>1.3.5</t>
  </si>
  <si>
    <t>Manta Asfáltica</t>
  </si>
  <si>
    <t>1.4.3</t>
  </si>
  <si>
    <t>1.4.4</t>
  </si>
  <si>
    <t>1.4.5</t>
  </si>
  <si>
    <t>Luvas de expansão (cobre)</t>
  </si>
  <si>
    <t>Joelhos 90° (cobre)</t>
  </si>
  <si>
    <t>Joelhos 45° (cobre)</t>
  </si>
  <si>
    <t>Isolamento Térmico Elastomérico</t>
  </si>
  <si>
    <t>Fita PVC para acabamento e proteção (rolo de 10 metros)</t>
  </si>
  <si>
    <t>Isolamento Térmico por manta de fibra</t>
  </si>
  <si>
    <t>Infraestrutura de Drenagem</t>
  </si>
  <si>
    <t>Tubo PVC 3/4"</t>
  </si>
  <si>
    <t>Joelhos 90 (Rosca)</t>
  </si>
  <si>
    <t>Fita veda rosca</t>
  </si>
  <si>
    <t>Suportação dos equipamentos, mão francesa, bases (Split Branco)</t>
  </si>
  <si>
    <t>Suportação dos equipamentos, mão francesa, bases (Ventilador de Pressurização)</t>
  </si>
  <si>
    <t>Abraçadeiras do tipo U</t>
  </si>
  <si>
    <t>Abraçadeiras de Nylon</t>
  </si>
  <si>
    <t>Abraçadeiras do tipo Cunha</t>
  </si>
  <si>
    <t>CHAPA DE AÇO GALVANIZADO</t>
  </si>
  <si>
    <t>Espessura</t>
  </si>
  <si>
    <t>Peso kg/m²</t>
  </si>
  <si>
    <t>Quantidade</t>
  </si>
  <si>
    <t>Aprov.</t>
  </si>
  <si>
    <t>Aprov.:</t>
  </si>
  <si>
    <t>Pressão</t>
  </si>
  <si>
    <t>VAZÃO DE SAÍDA - DIMENSIONAMENTO DE VENEZIANA</t>
  </si>
  <si>
    <t>VAZÃO DE ENTRADA - DIMENSIONAMENTO DE VENTILADOR</t>
  </si>
  <si>
    <t>SIM</t>
  </si>
  <si>
    <t>W/mK</t>
  </si>
  <si>
    <t>Placa Cimentícia</t>
  </si>
  <si>
    <t>Tomada de ar externo com filtragem, registro e veneziana exterior</t>
  </si>
  <si>
    <t>Veneziana de proteção exterior</t>
  </si>
  <si>
    <t>Suportes e miscelâneas (Suportes, fixação)</t>
  </si>
  <si>
    <t>Verba ACSA</t>
  </si>
  <si>
    <t>Execução de serviços relacionados à disciplica HVAC, movimentação de cargas, estocagem, entre outros.</t>
  </si>
  <si>
    <t>Start-up / Comissionamento</t>
  </si>
  <si>
    <t>Custo de mobilização de pessoal especializado para Start-up dos equipamentos Wall Mounted</t>
  </si>
  <si>
    <t>dia</t>
  </si>
  <si>
    <t>1.9.1</t>
  </si>
  <si>
    <t>1.10</t>
  </si>
  <si>
    <t>1.10.1</t>
  </si>
  <si>
    <t>Engenharia do Sistema</t>
  </si>
  <si>
    <t>Alumínio</t>
  </si>
  <si>
    <t>Cobre</t>
  </si>
  <si>
    <t>Espuma de Poliestireno</t>
  </si>
  <si>
    <t>PVC Espuma</t>
  </si>
  <si>
    <t>Espuma Rígida de Poliuretano (PUR)</t>
  </si>
  <si>
    <t>Cortiça Expandida</t>
  </si>
  <si>
    <t>Madeira Leve</t>
  </si>
  <si>
    <t>Cartão Duro de Madeira</t>
  </si>
  <si>
    <t>Aço</t>
  </si>
  <si>
    <t>Aço Inox</t>
  </si>
  <si>
    <t>Ar Estático Confinado</t>
  </si>
  <si>
    <t>Água</t>
  </si>
  <si>
    <t>Borracha</t>
  </si>
  <si>
    <t>Placa de Fibra</t>
  </si>
  <si>
    <t>0,17-0,3</t>
  </si>
  <si>
    <t>0,08-0,12</t>
  </si>
  <si>
    <t>Cimento</t>
  </si>
  <si>
    <t>Lã de Vidro</t>
  </si>
  <si>
    <t>Parcial 1</t>
  </si>
  <si>
    <t>Parcial 2</t>
  </si>
  <si>
    <t>BITOLA CHAPA - GSC</t>
  </si>
  <si>
    <t>Espess. (mm)</t>
  </si>
  <si>
    <t>Chapa #</t>
  </si>
  <si>
    <t>CHAPA #</t>
  </si>
  <si>
    <t>Tabela de Juntas e Reforços</t>
  </si>
  <si>
    <t>125 Pa</t>
  </si>
  <si>
    <t>Até 250</t>
  </si>
  <si>
    <t>251 a 300</t>
  </si>
  <si>
    <t>301 a 350</t>
  </si>
  <si>
    <t>351 a 400</t>
  </si>
  <si>
    <t>401 a 450</t>
  </si>
  <si>
    <t>451 a 500</t>
  </si>
  <si>
    <t>501 a 550</t>
  </si>
  <si>
    <t>551 a 600</t>
  </si>
  <si>
    <t>601 a 650</t>
  </si>
  <si>
    <t>651 a 700</t>
  </si>
  <si>
    <t>701 a 750</t>
  </si>
  <si>
    <t>751 a 900</t>
  </si>
  <si>
    <t>901 a 1000</t>
  </si>
  <si>
    <t>1001 a 1200</t>
  </si>
  <si>
    <t>1201 a 1300</t>
  </si>
  <si>
    <t>1301 a 1500</t>
  </si>
  <si>
    <t>1501 a 1800</t>
  </si>
  <si>
    <t>Dimen. (mm)</t>
  </si>
  <si>
    <t>Ñ requer (mm)</t>
  </si>
  <si>
    <t>CLASSE 125 PA</t>
  </si>
  <si>
    <t>B-0,55</t>
  </si>
  <si>
    <t>A-0,55</t>
  </si>
  <si>
    <t>C-0,55</t>
  </si>
  <si>
    <t>C-0,70</t>
  </si>
  <si>
    <t>D-0,85</t>
  </si>
  <si>
    <t>E-1,00</t>
  </si>
  <si>
    <t>F-1,31</t>
  </si>
  <si>
    <t>G-1,31</t>
  </si>
  <si>
    <t>H-1,61</t>
  </si>
  <si>
    <t>D-0,70</t>
  </si>
  <si>
    <t>E-0,70</t>
  </si>
  <si>
    <t>E-0,85</t>
  </si>
  <si>
    <t>F-1,00</t>
  </si>
  <si>
    <t>H-1,31</t>
  </si>
  <si>
    <t>F-0,85</t>
  </si>
  <si>
    <t>D-0,55</t>
  </si>
  <si>
    <t>E-0,55</t>
  </si>
  <si>
    <t>C-0,85</t>
  </si>
  <si>
    <t>F-0,70</t>
  </si>
  <si>
    <t>Código de rigidez da junta ou reforço e espessura da parede (mm)</t>
  </si>
  <si>
    <t>Opções de espaçamento entre juntas ou entre juntas e reforços</t>
  </si>
  <si>
    <t>CLASSE 250 PA</t>
  </si>
  <si>
    <t>I-1,61</t>
  </si>
  <si>
    <t>I-1,61 ou G*-1,61</t>
  </si>
  <si>
    <t>G-1,00</t>
  </si>
  <si>
    <t>H-1,31 ou G*-1,31</t>
  </si>
  <si>
    <t>G-0,85</t>
  </si>
  <si>
    <t>H-0,85 ou G*-0,85</t>
  </si>
  <si>
    <t>CLASSE 500 PA</t>
  </si>
  <si>
    <t>I-1,31</t>
  </si>
  <si>
    <t>H-1,00</t>
  </si>
  <si>
    <t>I-1,31 ou G*-1,31</t>
  </si>
  <si>
    <t>J-1,61 ou H*-1,61</t>
  </si>
  <si>
    <t>H-0,85</t>
  </si>
  <si>
    <t>H-1,00 ou G*-1,00</t>
  </si>
  <si>
    <t>I-1,00 ou G*-1,00</t>
  </si>
  <si>
    <t>J-1,31 ou H*-1,31</t>
  </si>
  <si>
    <t>G-0,70</t>
  </si>
  <si>
    <t>H-0,70</t>
  </si>
  <si>
    <t>SAÍDA EM Pa</t>
  </si>
  <si>
    <t>Pressurização / Diversas</t>
  </si>
  <si>
    <t>Classe</t>
  </si>
  <si>
    <t>CÁLCULO DOS ACESSÓRIOS, SUPORTES E FIXAÇÕES</t>
  </si>
  <si>
    <t>Juntas</t>
  </si>
  <si>
    <t>Reforços</t>
  </si>
  <si>
    <t>Tirantes</t>
  </si>
  <si>
    <t>Chavetas</t>
  </si>
  <si>
    <t>Tipo 1</t>
  </si>
  <si>
    <t>Tipo 2</t>
  </si>
  <si>
    <t>Tipo 3</t>
  </si>
  <si>
    <t>Espaçamento (m)</t>
  </si>
  <si>
    <t>Juntas e Reforços</t>
  </si>
  <si>
    <t>ICMS</t>
  </si>
  <si>
    <t>IPI</t>
  </si>
  <si>
    <t>Aprovado:</t>
  </si>
  <si>
    <t>VALIDADE</t>
  </si>
  <si>
    <t>PIS/COF</t>
  </si>
  <si>
    <t>PRAZO</t>
  </si>
  <si>
    <t>TRANSPORTE</t>
  </si>
  <si>
    <t>INFORMAÇÕES ADICIONAIS</t>
  </si>
  <si>
    <t>INCL</t>
  </si>
  <si>
    <t>25 dias</t>
  </si>
  <si>
    <t>FOB São Paulo/SP</t>
  </si>
  <si>
    <t>IMED</t>
  </si>
  <si>
    <t>N/I</t>
  </si>
  <si>
    <t>IMED = Entrega Imediata
FOB = Retirada no Fornecedor
CIF = Frete Incluso</t>
  </si>
  <si>
    <t>1.5.2</t>
  </si>
  <si>
    <t>1.5.3</t>
  </si>
  <si>
    <t>1.9.2</t>
  </si>
  <si>
    <t>1.9.3</t>
  </si>
  <si>
    <t>1.11</t>
  </si>
  <si>
    <t>1.11.1</t>
  </si>
  <si>
    <t>20 dias</t>
  </si>
  <si>
    <t>FOB Itaquaquecetuba/SP</t>
  </si>
  <si>
    <t>Descrição Geral:</t>
  </si>
  <si>
    <t>INCL = Incluso
NINCL = Não Incluso
N/A = Não se aplica
N/I = Não Informado
ORIG = Retido na Origem</t>
  </si>
  <si>
    <t>aux</t>
  </si>
  <si>
    <t>PERÍMETRO RET. (mm)</t>
  </si>
  <si>
    <t>INPUT 1</t>
  </si>
  <si>
    <t>TIPO DE ACESSÓRIO</t>
  </si>
  <si>
    <t>Perda Tot. (mmCA)</t>
  </si>
  <si>
    <t>Dados ABNT 16401</t>
  </si>
  <si>
    <t>NORTE</t>
  </si>
  <si>
    <t>Rio Branco/AC</t>
  </si>
  <si>
    <t>Manaus/AM (Eduardo Gomes)</t>
  </si>
  <si>
    <t>Manaus/AM (Ponte Pelada)</t>
  </si>
  <si>
    <t>Macapá/AP</t>
  </si>
  <si>
    <t>Belém/PA</t>
  </si>
  <si>
    <t>Santarém/PA</t>
  </si>
  <si>
    <t>Porto Velho/RD</t>
  </si>
  <si>
    <t>Boa Vista/RO</t>
  </si>
  <si>
    <t>NORDESTE</t>
  </si>
  <si>
    <t>Maceió/AL</t>
  </si>
  <si>
    <t>Caravelas/BA</t>
  </si>
  <si>
    <t>Salvador/BA</t>
  </si>
  <si>
    <t>Fortaleza/CE</t>
  </si>
  <si>
    <t>Fernando de Noronha/PE</t>
  </si>
  <si>
    <t>Recife/PE</t>
  </si>
  <si>
    <t>Teresina/PI</t>
  </si>
  <si>
    <t>Natal/RN</t>
  </si>
  <si>
    <t>Aracajú/SE</t>
  </si>
  <si>
    <t>CENTRO OESTE</t>
  </si>
  <si>
    <t>Brasília/DF</t>
  </si>
  <si>
    <t>Anápolis/GO</t>
  </si>
  <si>
    <t>Goiânia/GO</t>
  </si>
  <si>
    <t>Campo Grande/MS</t>
  </si>
  <si>
    <t>Cuiabá/MT</t>
  </si>
  <si>
    <t>SUDESTE</t>
  </si>
  <si>
    <t>Vitória/ES</t>
  </si>
  <si>
    <t>Belo Horizonte/MG (Pampulha)</t>
  </si>
  <si>
    <t>Belo Horizonte/MG (Tancredo Neves)</t>
  </si>
  <si>
    <t>Rio de Janeiro/RJ (Santos Dumont)</t>
  </si>
  <si>
    <t>Rio de Janeiro/RJ (Galeão)</t>
  </si>
  <si>
    <t>Campinas/SP</t>
  </si>
  <si>
    <t>São Paulo/SP (Congonhas)</t>
  </si>
  <si>
    <t>São Paulo/SP (Guarulhos)</t>
  </si>
  <si>
    <t>Curitiba/PR</t>
  </si>
  <si>
    <t>Foz do Iguaçu/PR</t>
  </si>
  <si>
    <t>Londrina/PR</t>
  </si>
  <si>
    <t>Porto Alegre/RS</t>
  </si>
  <si>
    <t>Florianópolis/SC</t>
  </si>
  <si>
    <t>TBS (1%)</t>
  </si>
  <si>
    <t>TBS (2%)</t>
  </si>
  <si>
    <t>TBS (0,4%)</t>
  </si>
  <si>
    <t>DR</t>
  </si>
  <si>
    <t>TBSmx</t>
  </si>
  <si>
    <t>TBUc (0,4%)</t>
  </si>
  <si>
    <t>SUL</t>
  </si>
  <si>
    <t>VALOR GLOBAL / M2</t>
  </si>
  <si>
    <t>VALOR GLOBAL / TR</t>
  </si>
  <si>
    <t>VALOR DE PROJETO / M2</t>
  </si>
  <si>
    <t>VALOR DE PROJETO / TR</t>
  </si>
  <si>
    <t>VALOR VARIA ENTRE X E Y</t>
  </si>
  <si>
    <t>VALORES USUAIS</t>
  </si>
  <si>
    <t>REFERÊNCIA</t>
  </si>
  <si>
    <t>OBS</t>
  </si>
  <si>
    <t>VALOR</t>
  </si>
  <si>
    <t>SUBTOTAL (PREÇO DE CUSTO)</t>
  </si>
  <si>
    <t>BDI (LUCRO E DESPESAS INDIRETAS)</t>
  </si>
  <si>
    <t>TOTAL DE VENDA</t>
  </si>
  <si>
    <t>BDI</t>
  </si>
  <si>
    <t>IMPOSTO</t>
  </si>
  <si>
    <t>NF</t>
  </si>
  <si>
    <t>LL (%)</t>
  </si>
  <si>
    <t>Obs.: Valor global com material incluso</t>
  </si>
  <si>
    <t>TOTAL DE VENDA (EQUIPAMENTOS FATURADOS DIRETAMENTE)</t>
  </si>
  <si>
    <t>SUBTOTAL (PREÇO DE CUSTO, EXCETO EQUIPAMENTOS)</t>
  </si>
  <si>
    <t>Obs.: Valor global com faturamento direto dos equipamentos.</t>
  </si>
  <si>
    <t>Conexões de tubulação flexível</t>
  </si>
  <si>
    <t>Valor</t>
  </si>
  <si>
    <t>Índice de Rem. Tab</t>
  </si>
  <si>
    <t>Valor Obra</t>
  </si>
  <si>
    <t>Hora Técnica</t>
  </si>
  <si>
    <t>VR</t>
  </si>
  <si>
    <t>IR</t>
  </si>
  <si>
    <t>VO</t>
  </si>
  <si>
    <t>HTL</t>
  </si>
  <si>
    <t>VALORES DE PROJETO</t>
  </si>
  <si>
    <t>Porcentagem de Obra</t>
  </si>
  <si>
    <t>Metod. De Licitação</t>
  </si>
  <si>
    <t>R$</t>
  </si>
  <si>
    <t>Custo Base da Instalação para cálculo de honorários:</t>
  </si>
  <si>
    <t xml:space="preserve"> Custo Estimado da Instalação:</t>
  </si>
  <si>
    <t>Custo do Projeto:</t>
  </si>
  <si>
    <t>Custo do projeto ATÉ 3400 SM</t>
  </si>
  <si>
    <t>Custo do projeto ATÉ 56000 SM</t>
  </si>
  <si>
    <t>Ordem</t>
  </si>
  <si>
    <t>FD</t>
  </si>
  <si>
    <t>Instalação nova em edifício novo</t>
  </si>
  <si>
    <t>Instalação nova em edifício existente</t>
  </si>
  <si>
    <t>Retrofit c/ aproveitamento da instalação existente (total ou parcial)</t>
  </si>
  <si>
    <t>Elaboração de planilha quantitativa / orçamento</t>
  </si>
  <si>
    <t>Dificuldade específica - fornecer o valor de FD</t>
  </si>
  <si>
    <t>Projetos com ceritificação</t>
  </si>
  <si>
    <t>Custo Base da Instalação (SM)</t>
  </si>
  <si>
    <t>%</t>
  </si>
  <si>
    <t>Interpolação</t>
  </si>
  <si>
    <t>TIPOS DE INSTALAÇÃO</t>
  </si>
  <si>
    <t>ORDEM</t>
  </si>
  <si>
    <t>CUSTO (R$/TR)</t>
  </si>
  <si>
    <t>Expansão Direta (splitão, self-contained)</t>
  </si>
  <si>
    <t>Água Gelada</t>
  </si>
  <si>
    <t>VRF</t>
  </si>
  <si>
    <t>Média</t>
  </si>
  <si>
    <t>Desconto IHM (20%)</t>
  </si>
  <si>
    <t>Planilha Abrava (até 300m²)</t>
  </si>
  <si>
    <t>Projeto com Imposto (17%)</t>
  </si>
  <si>
    <t>PERDA DE CARGA GLOBAL ESTIMADA (mmCA)</t>
  </si>
  <si>
    <t>Área</t>
  </si>
  <si>
    <t>CÁLCULO DE INTERLIGAÇÃO FRIGORÍGENA</t>
  </si>
  <si>
    <t>Comp. Interligação</t>
  </si>
  <si>
    <t>Tag Equipamento</t>
  </si>
  <si>
    <t>UE-01</t>
  </si>
  <si>
    <t>Total Tubulação de Cobre</t>
  </si>
  <si>
    <t>Total Cabos Elétricos</t>
  </si>
  <si>
    <t>N° Circ.</t>
  </si>
  <si>
    <t>N° Curvas</t>
  </si>
  <si>
    <t>C.E. Curva</t>
  </si>
  <si>
    <t>L.S. (kg)</t>
  </si>
  <si>
    <t>L.S. (m)</t>
  </si>
  <si>
    <t>L.L. (m)</t>
  </si>
  <si>
    <t>L.L (kg)</t>
  </si>
  <si>
    <t>Bitola L.S.</t>
  </si>
  <si>
    <t>Bitola L.L.</t>
  </si>
  <si>
    <t>Tag.</t>
  </si>
  <si>
    <t>0,80mm</t>
  </si>
  <si>
    <t>Espessura
L.S.</t>
  </si>
  <si>
    <t>Espessura
L.L.</t>
  </si>
  <si>
    <t>Cabos</t>
  </si>
  <si>
    <t>Luvas</t>
  </si>
  <si>
    <t>Comprimento
 Interligação</t>
  </si>
  <si>
    <t>1,59mm</t>
  </si>
  <si>
    <t>UE-02</t>
  </si>
  <si>
    <t>TBUc</t>
  </si>
  <si>
    <t>TBS (2%))</t>
  </si>
  <si>
    <t>Pol</t>
  </si>
  <si>
    <t>1.7/8"</t>
  </si>
  <si>
    <t>kg/m (0,70mm)</t>
  </si>
  <si>
    <t>kg/m (1,59mm)</t>
  </si>
  <si>
    <t>kg/m (0,80mm)</t>
  </si>
  <si>
    <t>L.S</t>
  </si>
  <si>
    <t>L.L</t>
  </si>
  <si>
    <t>Tub. Linha 1</t>
  </si>
  <si>
    <t>Tub. Linha 2</t>
  </si>
  <si>
    <t>9.000BTU/h</t>
  </si>
  <si>
    <t>12.000BTU/h</t>
  </si>
  <si>
    <t>18.000BTU/h</t>
  </si>
  <si>
    <t>24.000BTU/h</t>
  </si>
  <si>
    <t>36.000BTU/h</t>
  </si>
  <si>
    <t>48.000 BTU/h</t>
  </si>
  <si>
    <t>60.000BTU/h</t>
  </si>
  <si>
    <t>Heron Oliveira
(11) 97554-2000</t>
  </si>
  <si>
    <t>heron.oliveira@industriastosi.com.br</t>
  </si>
  <si>
    <t>Não</t>
  </si>
  <si>
    <t>Cliente</t>
  </si>
  <si>
    <t>Cliente Final</t>
  </si>
  <si>
    <t>CADASTRO DE EQUIPAMENTO DE REFRIGERAÇÃO INDUSTRIAL</t>
  </si>
  <si>
    <t>7.000BTU/h</t>
  </si>
  <si>
    <t>Tipo</t>
  </si>
  <si>
    <t>Capacidade</t>
  </si>
  <si>
    <t>Alimentação</t>
  </si>
  <si>
    <t>Aut. Embarcada</t>
  </si>
  <si>
    <t>Damper Ext.</t>
  </si>
  <si>
    <t>Ventilador</t>
  </si>
  <si>
    <t>Controle de Cond.</t>
  </si>
  <si>
    <t>Goldfin</t>
  </si>
  <si>
    <t>Sensor de Filtro Sujo</t>
  </si>
  <si>
    <t>Pintura Especial</t>
  </si>
  <si>
    <t>9.000 BTU/h</t>
  </si>
  <si>
    <t>1 MANUAL</t>
  </si>
  <si>
    <t>Sirocco</t>
  </si>
  <si>
    <t>ON/OFF</t>
  </si>
  <si>
    <t>12.000 BTU/h</t>
  </si>
  <si>
    <t>18.000 BTU/h</t>
  </si>
  <si>
    <t>21.000 BTU/h</t>
  </si>
  <si>
    <t>CADASTRO DE EQUIPAMENTO DE REFRIGERAÇÃO COMERCIAL</t>
  </si>
  <si>
    <t>24.000 BTU/h</t>
  </si>
  <si>
    <t>Inverter</t>
  </si>
  <si>
    <t>Frio/Quente</t>
  </si>
  <si>
    <t>SALA DE BT</t>
  </si>
  <si>
    <t>220V/1F</t>
  </si>
  <si>
    <t>80.000BTU/h</t>
  </si>
  <si>
    <t>CADASTRO DE VENTILADOR OU EXAUSTOR</t>
  </si>
  <si>
    <t>1TR</t>
  </si>
  <si>
    <t>Vazão</t>
  </si>
  <si>
    <t>P.E.D</t>
  </si>
  <si>
    <t>Opcionais</t>
  </si>
  <si>
    <t>2TR</t>
  </si>
  <si>
    <t>CHUVA</t>
  </si>
  <si>
    <t>3TR</t>
  </si>
  <si>
    <t>4TR</t>
  </si>
  <si>
    <t>5TR</t>
  </si>
  <si>
    <t>7,5TR</t>
  </si>
  <si>
    <t>10TR</t>
  </si>
  <si>
    <t>12,5TR</t>
  </si>
  <si>
    <t>15TR</t>
  </si>
  <si>
    <t>20TR</t>
  </si>
  <si>
    <t>25TR</t>
  </si>
  <si>
    <t>30TR</t>
  </si>
  <si>
    <t>35TR</t>
  </si>
  <si>
    <t>40TR</t>
  </si>
  <si>
    <t>45TR</t>
  </si>
  <si>
    <t>50TR</t>
  </si>
  <si>
    <t>55TR</t>
  </si>
  <si>
    <t>60TR</t>
  </si>
  <si>
    <t>Automação Embarcada</t>
  </si>
  <si>
    <t>Damper Externo</t>
  </si>
  <si>
    <t>Controle de Condensação</t>
  </si>
  <si>
    <t>Tratamento Goldfin</t>
  </si>
  <si>
    <t>Resistência de Aquecimento</t>
  </si>
  <si>
    <t>Damper Ext. 1 Manual</t>
  </si>
  <si>
    <t>Preço Base</t>
  </si>
  <si>
    <t>1 Damper Manual</t>
  </si>
  <si>
    <t>2 Dampers Manuais</t>
  </si>
  <si>
    <t>1 Damper com atuador on/off</t>
  </si>
  <si>
    <t>2 Dampers com atuador on/off</t>
  </si>
  <si>
    <t>Ventilador Eletrônico</t>
  </si>
  <si>
    <t>Controle de Condensação Proporcional</t>
  </si>
  <si>
    <t>Resistencia de Aquecimento</t>
  </si>
  <si>
    <t>Chaparia em Inox</t>
  </si>
  <si>
    <t>1.1.8</t>
  </si>
  <si>
    <t>1.1.9</t>
  </si>
  <si>
    <t>1.1.10</t>
  </si>
  <si>
    <t>Equipamentos de Climatização Categoria I (Industrial)</t>
  </si>
  <si>
    <t>Equipamentos de Climatização Categoria II (Comercial)</t>
  </si>
  <si>
    <t>Split Hi-Wall</t>
  </si>
  <si>
    <t xml:space="preserve">N°: </t>
  </si>
  <si>
    <t>1.2.9</t>
  </si>
  <si>
    <t>1.2.10</t>
  </si>
  <si>
    <t>Caixa de Ventilação</t>
  </si>
  <si>
    <t>Self Contained</t>
  </si>
  <si>
    <t>ACJ</t>
  </si>
  <si>
    <t>PIS/COFINS</t>
  </si>
  <si>
    <t>45 a 60 dias</t>
  </si>
  <si>
    <t>Custo Item 1</t>
  </si>
  <si>
    <t>AUX</t>
  </si>
  <si>
    <t>Custo Item 2</t>
  </si>
  <si>
    <t>Custo Item 3</t>
  </si>
  <si>
    <t>Custo Item 4</t>
  </si>
  <si>
    <t>Custo Item 5</t>
  </si>
  <si>
    <t>Custo Item 6</t>
  </si>
  <si>
    <t>Custo Item 7</t>
  </si>
  <si>
    <t>Custo Item 8</t>
  </si>
  <si>
    <t>Custo Item 9</t>
  </si>
  <si>
    <t>Custo Item 10</t>
  </si>
  <si>
    <t>Custo Item 11</t>
  </si>
  <si>
    <t>Custo Item 12</t>
  </si>
  <si>
    <t>Preço Global</t>
  </si>
  <si>
    <t>Info 1</t>
  </si>
  <si>
    <t>Info 2</t>
  </si>
  <si>
    <t>Info 3</t>
  </si>
  <si>
    <t>Info 4</t>
  </si>
  <si>
    <t>Custo Item 13</t>
  </si>
  <si>
    <t>FOB/Cabreúva/SP</t>
  </si>
  <si>
    <t>Info 5</t>
  </si>
  <si>
    <t>Split Piso-Teto</t>
  </si>
  <si>
    <t>30.000BTU/h</t>
  </si>
  <si>
    <t>Quente/Frio</t>
  </si>
  <si>
    <t>Inverter e Quente/Frio</t>
  </si>
  <si>
    <t>48.000BTU/h</t>
  </si>
  <si>
    <t>Itaguaí/RJ</t>
  </si>
  <si>
    <t>12% ICMS</t>
  </si>
  <si>
    <t>ISENTO</t>
  </si>
  <si>
    <t>FRETE</t>
  </si>
  <si>
    <t>21.000BTU/h</t>
  </si>
  <si>
    <t>27.000BTU/h</t>
  </si>
  <si>
    <t>Mão de Obra de Instalação</t>
  </si>
  <si>
    <t>Tubo Axial</t>
  </si>
  <si>
    <t>500m³/h</t>
  </si>
  <si>
    <t>750m³/h</t>
  </si>
  <si>
    <t>1000m³/h</t>
  </si>
  <si>
    <t>1200m³/h</t>
  </si>
  <si>
    <t>1500m³/h</t>
  </si>
  <si>
    <t>2000m³/h</t>
  </si>
  <si>
    <t>2500m³/h</t>
  </si>
  <si>
    <t>3000m³/h</t>
  </si>
  <si>
    <t>3500m³/h</t>
  </si>
  <si>
    <t>4000m³/h</t>
  </si>
  <si>
    <t>4500m³/h</t>
  </si>
  <si>
    <t>5000m³/h</t>
  </si>
  <si>
    <t>6000m³/h</t>
  </si>
  <si>
    <t>7000m³/h</t>
  </si>
  <si>
    <t>com 10mmCA</t>
  </si>
  <si>
    <t>com 15mmCA</t>
  </si>
  <si>
    <t>com 20mmCA</t>
  </si>
  <si>
    <t>Grade de Proteção</t>
  </si>
  <si>
    <t>Proteção de Chuva</t>
  </si>
  <si>
    <t>Damper de Sobrepressão</t>
  </si>
  <si>
    <t>Modelo Referência para 5mmCA</t>
  </si>
  <si>
    <t>VA-300</t>
  </si>
  <si>
    <t>VA-400</t>
  </si>
  <si>
    <t>Potência para 5mmCA</t>
  </si>
  <si>
    <t>0,16CV</t>
  </si>
  <si>
    <t>0,5CV</t>
  </si>
  <si>
    <t>VA-350</t>
  </si>
  <si>
    <t>0,25CV</t>
  </si>
  <si>
    <t>VA-450</t>
  </si>
  <si>
    <t>1,0CV</t>
  </si>
  <si>
    <t>0,75CV</t>
  </si>
  <si>
    <t>2,0CV</t>
  </si>
  <si>
    <t>VA-550</t>
  </si>
  <si>
    <t>VA-500</t>
  </si>
  <si>
    <t>3,0CV</t>
  </si>
  <si>
    <t>4,0CV</t>
  </si>
  <si>
    <t>5,0CV</t>
  </si>
  <si>
    <t>VA-600</t>
  </si>
  <si>
    <t>VA-650</t>
  </si>
  <si>
    <t>VA-700</t>
  </si>
  <si>
    <t>1,5CV</t>
  </si>
  <si>
    <t>VA-800</t>
  </si>
  <si>
    <t>VA-900</t>
  </si>
  <si>
    <t>VA-1000</t>
  </si>
  <si>
    <t>7,5CV</t>
  </si>
  <si>
    <t>VA-1100</t>
  </si>
  <si>
    <t>10,0CV</t>
  </si>
  <si>
    <t>VA-1200</t>
  </si>
  <si>
    <t>12,5CV</t>
  </si>
  <si>
    <t>2200m³/h</t>
  </si>
  <si>
    <t>3100m³/h</t>
  </si>
  <si>
    <t>3400m³/h</t>
  </si>
  <si>
    <t>3600m³/h</t>
  </si>
  <si>
    <t>4900m³/h</t>
  </si>
  <si>
    <t>5500m³/h</t>
  </si>
  <si>
    <t>6200m³/h</t>
  </si>
  <si>
    <t>6800m³/h</t>
  </si>
  <si>
    <t>8400m³/h</t>
  </si>
  <si>
    <t>9100m³/h</t>
  </si>
  <si>
    <t>10100m³/h</t>
  </si>
  <si>
    <t>11500m³/h</t>
  </si>
  <si>
    <t>12500m³/h</t>
  </si>
  <si>
    <t>14300m³/h</t>
  </si>
  <si>
    <t>15900m³/h</t>
  </si>
  <si>
    <t>18200m³/h</t>
  </si>
  <si>
    <t>18600m³/h</t>
  </si>
  <si>
    <t>22800m³/h</t>
  </si>
  <si>
    <t>24800m³/h</t>
  </si>
  <si>
    <t>25500m³/h</t>
  </si>
  <si>
    <t>36100m³/h</t>
  </si>
  <si>
    <t>38800m³/h</t>
  </si>
  <si>
    <t>39800m³/h</t>
  </si>
  <si>
    <t>47800m³/h</t>
  </si>
  <si>
    <t>52100m³/h</t>
  </si>
  <si>
    <t>55800m³/h</t>
  </si>
  <si>
    <t>61500m³/h</t>
  </si>
  <si>
    <t>Mara Rosa/GO</t>
  </si>
  <si>
    <t>Alto Horizonte/GO</t>
  </si>
  <si>
    <t>Comprimento</t>
  </si>
  <si>
    <t>Dissipação</t>
  </si>
  <si>
    <t>Combate a Incêndio</t>
  </si>
  <si>
    <t>Back-up</t>
  </si>
  <si>
    <t>Gases Corrosivos</t>
  </si>
  <si>
    <t>Poeira Densa</t>
  </si>
  <si>
    <t>Vibração</t>
  </si>
  <si>
    <t>Climatizado?</t>
  </si>
  <si>
    <t>Filtragem</t>
  </si>
  <si>
    <t>Fornecimento de cabos elétricos.</t>
  </si>
  <si>
    <t>Fornecimento de isolamento térmico elastomérico para tubulação de cobre, linha de sucção</t>
  </si>
  <si>
    <t>Fornecimento de isolamento térmico elastomérico para tubulação de cobre, linha de expansão</t>
  </si>
  <si>
    <t>Filtro Cartucho</t>
  </si>
  <si>
    <t>4200m³/h</t>
  </si>
  <si>
    <t>1400m³/h</t>
  </si>
  <si>
    <t>30000m³/h</t>
  </si>
  <si>
    <t>Gabinetes Inline</t>
  </si>
  <si>
    <t>70.000BTU/h</t>
  </si>
  <si>
    <t>FH 200 G4+F5</t>
  </si>
  <si>
    <t>FH 250 G4+F5</t>
  </si>
  <si>
    <t>FH 315 G4+F5</t>
  </si>
  <si>
    <t>FH 355 G4+F5</t>
  </si>
  <si>
    <t>FH 400 G4+F5</t>
  </si>
  <si>
    <t>1800m³/h</t>
  </si>
  <si>
    <t>900m³/h</t>
  </si>
  <si>
    <t>700m³/h</t>
  </si>
  <si>
    <t>FH 150 G4</t>
  </si>
  <si>
    <t>300m³/h</t>
  </si>
  <si>
    <t>Canaã dos Carajás/PA</t>
  </si>
  <si>
    <t>N° Portas Duplas</t>
  </si>
  <si>
    <t>N° Portas Simples</t>
  </si>
  <si>
    <t>Metro isolante 1.1/8</t>
  </si>
  <si>
    <t>Kg cobre</t>
  </si>
  <si>
    <t>Metro isolante 5/8</t>
  </si>
  <si>
    <t>Kg Gás R-410A</t>
  </si>
  <si>
    <t>Metro tubo PVC 3/4"</t>
  </si>
  <si>
    <t>Metro tubo PVC 1"</t>
  </si>
  <si>
    <t>Tirantes (m)</t>
  </si>
  <si>
    <t>Metro Barra Roscada 3/8"</t>
  </si>
  <si>
    <t>Chumbador 3/8" por 2.1/2"</t>
  </si>
  <si>
    <t>Chumbadores</t>
  </si>
  <si>
    <t>ENTREGA</t>
  </si>
  <si>
    <t>Equipamentos de Exaustão</t>
  </si>
  <si>
    <t>Equipamentos de Ventilação ou Pressurização</t>
  </si>
  <si>
    <t>1.5.4</t>
  </si>
  <si>
    <t>1.5.5</t>
  </si>
  <si>
    <t>1.5.6</t>
  </si>
  <si>
    <t>1.6.2</t>
  </si>
  <si>
    <t>1.6.3</t>
  </si>
  <si>
    <t>1.6.4</t>
  </si>
  <si>
    <t>1.6.5</t>
  </si>
  <si>
    <t>1.6.6</t>
  </si>
  <si>
    <t>1.7.2</t>
  </si>
  <si>
    <t>1.7.3</t>
  </si>
  <si>
    <t>1.7.4</t>
  </si>
  <si>
    <t>1.7.5</t>
  </si>
  <si>
    <t>1.7.6</t>
  </si>
  <si>
    <t>1.8.2</t>
  </si>
  <si>
    <t>1.8.3</t>
  </si>
  <si>
    <t>1.9</t>
  </si>
  <si>
    <t>1.12</t>
  </si>
  <si>
    <t>1.12.1</t>
  </si>
  <si>
    <t>1.12.2</t>
  </si>
  <si>
    <t>1.12.3</t>
  </si>
  <si>
    <t>1.12.4</t>
  </si>
  <si>
    <t>1.12.5</t>
  </si>
  <si>
    <t>1.12.6</t>
  </si>
  <si>
    <t>1.12.7</t>
  </si>
  <si>
    <t>1.13</t>
  </si>
  <si>
    <t>1.13.1</t>
  </si>
  <si>
    <t>1.14</t>
  </si>
  <si>
    <t>1.14.1</t>
  </si>
  <si>
    <t>1.15</t>
  </si>
  <si>
    <t>1.15.1</t>
  </si>
  <si>
    <t>FOLHA DE DADOS FD-XXX-000-ProjREV0</t>
  </si>
  <si>
    <t>OBS:</t>
  </si>
  <si>
    <t>N° da Obra</t>
  </si>
  <si>
    <t>Rev.:</t>
  </si>
  <si>
    <t>Por:</t>
  </si>
  <si>
    <t>Ver:</t>
  </si>
  <si>
    <t>Data:</t>
  </si>
  <si>
    <t>REV0</t>
  </si>
  <si>
    <t>MPH</t>
  </si>
  <si>
    <t>Objeto</t>
  </si>
  <si>
    <t>Dissipação (W)</t>
  </si>
  <si>
    <t>Isolamento</t>
  </si>
  <si>
    <t>Pressurização ΔP (Pa)</t>
  </si>
  <si>
    <t>Setpoint</t>
  </si>
  <si>
    <t>Climatizado</t>
  </si>
  <si>
    <t>Sala de Baterias:</t>
  </si>
  <si>
    <t>Ventilado</t>
  </si>
  <si>
    <t>Baia de Trafo:</t>
  </si>
  <si>
    <t>Observações:</t>
  </si>
  <si>
    <t>PARTICULARIDADES DO SISTEMA</t>
  </si>
  <si>
    <t>CARACTERÍSTICAS ELÉTRICAS</t>
  </si>
  <si>
    <t>Alimentação dos equipamentos principais</t>
  </si>
  <si>
    <t>Alimentação dos equipamentos secundários</t>
  </si>
  <si>
    <t>Alimentação de equipamentos pequenos (exaustores)</t>
  </si>
  <si>
    <t>LOCAL DA OBRA:</t>
  </si>
  <si>
    <t>Comb. Incendio</t>
  </si>
  <si>
    <t>NÃO DEFINIDO</t>
  </si>
  <si>
    <t>Sensor Filtro Sujo</t>
  </si>
  <si>
    <t>Resist. de Aquec.</t>
  </si>
  <si>
    <t>TABELA DE INPUTS</t>
  </si>
  <si>
    <t>Parede Oeste</t>
  </si>
  <si>
    <t>Parede Leste</t>
  </si>
  <si>
    <t>Parede Norte</t>
  </si>
  <si>
    <t>Parede Sul</t>
  </si>
  <si>
    <t>Pé Direito</t>
  </si>
  <si>
    <t>Pressurização Pa</t>
  </si>
  <si>
    <t>GANHO PAREDES E TETO</t>
  </si>
  <si>
    <t>Área
(m²)</t>
  </si>
  <si>
    <t>U-Value
(W/m².K)</t>
  </si>
  <si>
    <t>ΔT corrigido
(°C)</t>
  </si>
  <si>
    <t>Ganho Térmico
 (W)</t>
  </si>
  <si>
    <t>Teto</t>
  </si>
  <si>
    <t>Total Externo</t>
  </si>
  <si>
    <t>Total Software</t>
  </si>
  <si>
    <t>GANHOS POR DIVISÓRIAS</t>
  </si>
  <si>
    <t>Ganho Térmico W</t>
  </si>
  <si>
    <t>Divisória com Área não Climatizada 1</t>
  </si>
  <si>
    <t>Divisória com Área não Climatizada 2</t>
  </si>
  <si>
    <t>Divisória com Área Climatizada</t>
  </si>
  <si>
    <t>GANHOS POR PISO</t>
  </si>
  <si>
    <t>Área
 (m²)</t>
  </si>
  <si>
    <t>U-Value
(W/(m².K)</t>
  </si>
  <si>
    <t>ΔT
(°C)</t>
  </si>
  <si>
    <t>Ganho Térmico
(W)</t>
  </si>
  <si>
    <t>Piso</t>
  </si>
  <si>
    <t>Total Piso</t>
  </si>
  <si>
    <t>GANHOS POR ILUMINAÇÃO</t>
  </si>
  <si>
    <t>Fator W/m²</t>
  </si>
  <si>
    <t>Fs</t>
  </si>
  <si>
    <t>Lâmpadas</t>
  </si>
  <si>
    <t>DISSIPAÇÃO TÉRMICA INTERNA</t>
  </si>
  <si>
    <t>Fator de Conversão</t>
  </si>
  <si>
    <t>Pe
(W)</t>
  </si>
  <si>
    <t>Ganho Térmico 
(W)</t>
  </si>
  <si>
    <t>Dissipação dos Painéis</t>
  </si>
  <si>
    <t>GANHOS POR OCUPAÇÃO DE PESSOAS</t>
  </si>
  <si>
    <t>Csp</t>
  </si>
  <si>
    <t>Clp</t>
  </si>
  <si>
    <t>O</t>
  </si>
  <si>
    <t>Dissipação de Pessoas</t>
  </si>
  <si>
    <t>GANHO SENSÍVEL DE AR EXTERNO</t>
  </si>
  <si>
    <t>c</t>
  </si>
  <si>
    <t>Carga sensível de ar externo</t>
  </si>
  <si>
    <t>GANHO LATENTE DE AR EXTERNO</t>
  </si>
  <si>
    <t>Var
(l/s)</t>
  </si>
  <si>
    <t>ΔUa
(g/Kg)</t>
  </si>
  <si>
    <t>Carga latente de ar externo</t>
  </si>
  <si>
    <t>SOMATÓRIO DAS PRINCIPAIS CARGAS</t>
  </si>
  <si>
    <t>Total Paredes Externas</t>
  </si>
  <si>
    <t>Total Divisórias Internas</t>
  </si>
  <si>
    <t>Total Iluminação</t>
  </si>
  <si>
    <t>Total Equipamentos</t>
  </si>
  <si>
    <t>Total Pessoas</t>
  </si>
  <si>
    <t>Total Ar Externo</t>
  </si>
  <si>
    <t>TOTAL EM TR</t>
  </si>
  <si>
    <t>1,14kg/m³</t>
  </si>
  <si>
    <t>456L em 1 segundo</t>
  </si>
  <si>
    <t>dados de umidade absoluta interna e externa</t>
  </si>
  <si>
    <t>dados internos: 25° 50%</t>
  </si>
  <si>
    <t>0,00992 lb/lb</t>
  </si>
  <si>
    <t>a cada 1 lb de ar, 0,00992 lb de água</t>
  </si>
  <si>
    <t>453,59g de ar</t>
  </si>
  <si>
    <t>4,5g de água</t>
  </si>
  <si>
    <t>dados externos: 32,1° e 60,6%</t>
  </si>
  <si>
    <t>0,01839 lb/lb</t>
  </si>
  <si>
    <t>a cada 1 lb de ar, 0,01839 lb de água</t>
  </si>
  <si>
    <t>8,34g de água</t>
  </si>
  <si>
    <t>g/kg de dif (DUA)</t>
  </si>
  <si>
    <t>W = l/s x 3,01 x g/kg</t>
  </si>
  <si>
    <t>W = 456 x 3,01 x 8,47</t>
  </si>
  <si>
    <t xml:space="preserve">W = </t>
  </si>
  <si>
    <t>N° Pessoas</t>
  </si>
  <si>
    <t>Vazão de Ar Externo (l/s)</t>
  </si>
  <si>
    <t>U-Value 1 (Alvenaria Teto)</t>
  </si>
  <si>
    <t>U-Value 2 (Alvenaria Parede)</t>
  </si>
  <si>
    <t>U-Value 3 (Lã de Rocha Teto)</t>
  </si>
  <si>
    <t>U-Value 4 (Lã de Rocha Parede)</t>
  </si>
  <si>
    <t>Valores de referência de U-Value:</t>
  </si>
  <si>
    <t>3 (usado em divisória de partition)</t>
  </si>
  <si>
    <t>2,7 (usado para piso de eletrocentro)</t>
  </si>
  <si>
    <t>1,12 (lã de rocha parede)</t>
  </si>
  <si>
    <t>1,145 (lã de rocha teto)</t>
  </si>
  <si>
    <t>3,961 (alvenaria teto)</t>
  </si>
  <si>
    <t>2,546 (alvenaria parede)</t>
  </si>
  <si>
    <t>Tipo de Construção</t>
  </si>
  <si>
    <t>AUX U-Value Teto</t>
  </si>
  <si>
    <t>AUX U-Value Parede</t>
  </si>
  <si>
    <t>AUX Portas Duplas</t>
  </si>
  <si>
    <t>AUX Portas Simples</t>
  </si>
  <si>
    <t>Valores de referência de ΔT corrigido</t>
  </si>
  <si>
    <t>36 (teto)</t>
  </si>
  <si>
    <t>13 (paredes)</t>
  </si>
  <si>
    <t>Delta T Piso: 6°C</t>
  </si>
  <si>
    <t>Manual:</t>
  </si>
  <si>
    <t>INTERNO ESI</t>
  </si>
  <si>
    <t>Cap. Unit.</t>
  </si>
  <si>
    <t>Solução</t>
  </si>
  <si>
    <t>Carga Estimada</t>
  </si>
  <si>
    <t>Com back-up</t>
  </si>
  <si>
    <t>N° Portas D</t>
  </si>
  <si>
    <t>N° Portas S</t>
  </si>
  <si>
    <t>TBS 0,4%</t>
  </si>
  <si>
    <t>Cidade</t>
  </si>
  <si>
    <t>Automático:</t>
  </si>
  <si>
    <t>Fator de Seg.</t>
  </si>
  <si>
    <t>(Padrão)</t>
  </si>
  <si>
    <t>Particularidades</t>
  </si>
  <si>
    <t>5.8</t>
  </si>
  <si>
    <t>Detector de fumaça</t>
  </si>
  <si>
    <t>5.7</t>
  </si>
  <si>
    <t>5.6</t>
  </si>
  <si>
    <t>Umidificação</t>
  </si>
  <si>
    <t>5.5</t>
  </si>
  <si>
    <t>Reaquecimento</t>
  </si>
  <si>
    <t>5.4</t>
  </si>
  <si>
    <t>Damper de Ar Externo</t>
  </si>
  <si>
    <t>5.3</t>
  </si>
  <si>
    <t>Ventilador do Evaporador</t>
  </si>
  <si>
    <t>OPCIONAIS</t>
  </si>
  <si>
    <t>5</t>
  </si>
  <si>
    <t>Peso</t>
  </si>
  <si>
    <t>Dimensões (LxAxP)</t>
  </si>
  <si>
    <t>Filtro</t>
  </si>
  <si>
    <t>Superior</t>
  </si>
  <si>
    <t>Saída de Ar do Evaporador</t>
  </si>
  <si>
    <t>Incorporada</t>
  </si>
  <si>
    <t>Condensadora</t>
  </si>
  <si>
    <t>100% Externa</t>
  </si>
  <si>
    <t>Tipo de Montagem</t>
  </si>
  <si>
    <t>ESTRUTURA</t>
  </si>
  <si>
    <t>4</t>
  </si>
  <si>
    <t>R410A</t>
  </si>
  <si>
    <t>Gás Refrigerante</t>
  </si>
  <si>
    <t>Fixo</t>
  </si>
  <si>
    <t>Compressor</t>
  </si>
  <si>
    <t>COMPRESSOR</t>
  </si>
  <si>
    <t>3</t>
  </si>
  <si>
    <t>Dupla Alimentação</t>
  </si>
  <si>
    <t>Embarcada</t>
  </si>
  <si>
    <t>Automação</t>
  </si>
  <si>
    <t>Posição do Painel Elétrico</t>
  </si>
  <si>
    <t>380V/3F</t>
  </si>
  <si>
    <t>Tensão de Alimentação</t>
  </si>
  <si>
    <t>ELÉTRICA</t>
  </si>
  <si>
    <t>2</t>
  </si>
  <si>
    <t>Capacidade de refrigeração</t>
  </si>
  <si>
    <t>TWME010</t>
  </si>
  <si>
    <t>Modelo</t>
  </si>
  <si>
    <t>TOSI</t>
  </si>
  <si>
    <t>Fabricante</t>
  </si>
  <si>
    <t>GERAL</t>
  </si>
  <si>
    <t>1</t>
  </si>
  <si>
    <t>Especificado</t>
  </si>
  <si>
    <t>Un.</t>
  </si>
  <si>
    <t>Item</t>
  </si>
  <si>
    <t>Pagamento</t>
  </si>
  <si>
    <t>Entrega</t>
  </si>
  <si>
    <t>N° PC</t>
  </si>
  <si>
    <t>Data OC</t>
  </si>
  <si>
    <t>N° OC</t>
  </si>
  <si>
    <t>FOLHA DE DADOS</t>
  </si>
  <si>
    <t>5.9</t>
  </si>
  <si>
    <t>Inspeção de Pintura</t>
  </si>
  <si>
    <t>Gabinete em Inox</t>
  </si>
  <si>
    <t>5.10</t>
  </si>
  <si>
    <t>5.11</t>
  </si>
  <si>
    <t>5.12</t>
  </si>
  <si>
    <t>PREÇO</t>
  </si>
  <si>
    <t>Proporcional</t>
  </si>
  <si>
    <t>Com Atuador</t>
  </si>
  <si>
    <t>Sim</t>
  </si>
  <si>
    <t>Manual/Detecção</t>
  </si>
  <si>
    <t>Danilo Steffen
(47) 3419-0004
(47) 98417-1907</t>
  </si>
  <si>
    <t>Helen Montoia
(11) 3643-0433</t>
  </si>
  <si>
    <t>helen.montoia@industriastosi.com.br</t>
  </si>
  <si>
    <t>Rocktec Isolantes Térmicos,
São Paulo/SP</t>
  </si>
  <si>
    <t>Vendas
(11) 5670-5555</t>
  </si>
  <si>
    <t>vendas@rocktec.com.br</t>
  </si>
  <si>
    <t>Fornecimento de lona flexível, tamanho 70 x 100 x 70 mm x 25m, fabricante Rocktec.</t>
  </si>
  <si>
    <t>FOLGA</t>
  </si>
  <si>
    <t>1.1.11</t>
  </si>
  <si>
    <t>1.1.12</t>
  </si>
  <si>
    <t>1.1.13</t>
  </si>
  <si>
    <t>1.1.14</t>
  </si>
  <si>
    <t>1.1.15</t>
  </si>
  <si>
    <t>1.1.16</t>
  </si>
  <si>
    <t>1.1.17</t>
  </si>
  <si>
    <t>1.1.18</t>
  </si>
  <si>
    <t>1.1.19</t>
  </si>
  <si>
    <t>1.1.20</t>
  </si>
  <si>
    <t>1.1.21</t>
  </si>
  <si>
    <t>1.1.22</t>
  </si>
  <si>
    <t>1.1.23</t>
  </si>
  <si>
    <t>1.1.24</t>
  </si>
  <si>
    <t>1.1.25</t>
  </si>
  <si>
    <t>1.1.26</t>
  </si>
  <si>
    <t>1.1.27</t>
  </si>
  <si>
    <t>1.1.28</t>
  </si>
  <si>
    <t>1.1.29</t>
  </si>
  <si>
    <t>1.1.30</t>
  </si>
  <si>
    <t>1.1.31</t>
  </si>
  <si>
    <t>1.1.32</t>
  </si>
  <si>
    <t>1.1.33</t>
  </si>
  <si>
    <t>FATOR DE CORREÇÃO</t>
  </si>
  <si>
    <t>REV</t>
  </si>
  <si>
    <t>N° AF</t>
  </si>
  <si>
    <t>CARGAS ELÉTRICAS</t>
  </si>
  <si>
    <t>TAG</t>
  </si>
  <si>
    <t>DESCRIÇÃO</t>
  </si>
  <si>
    <t>CARGA</t>
  </si>
  <si>
    <t>TENSÃO</t>
  </si>
  <si>
    <t>SE-6210001</t>
  </si>
  <si>
    <t>80,0kW</t>
  </si>
  <si>
    <t>480V/3F</t>
  </si>
  <si>
    <t>PS-01</t>
  </si>
  <si>
    <t>Pressurizador Painéis</t>
  </si>
  <si>
    <t>1,8kW</t>
  </si>
  <si>
    <t>PS-02</t>
  </si>
  <si>
    <t>Pressurizador Automação</t>
  </si>
  <si>
    <t>PS-03</t>
  </si>
  <si>
    <t>Pressurizador TIC</t>
  </si>
  <si>
    <t>SE-25412001</t>
  </si>
  <si>
    <t>SE-25412001 - DRIVES</t>
  </si>
  <si>
    <t>UE-03</t>
  </si>
  <si>
    <t>Split System (Futuro)</t>
  </si>
  <si>
    <t>Pressurizador Drives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</si>
</sst>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4">
    <numFmt numFmtId="43" formatCode="_-* #,##0.00_-;\-* #,##0.00_-;_-* &quot;-&quot;??_-;_-@_-"/>
    <numFmt numFmtId="164" formatCode="_(* #,##0.00_);_(* \(#,##0.00\);_(* &quot;-&quot;??_);_(@_)"/>
    <numFmt numFmtId="165" formatCode="0.0000"/>
    <numFmt numFmtId="166" formatCode="0.000"/>
    <numFmt numFmtId="167" formatCode="General\ \W"/>
    <numFmt numFmtId="168" formatCode="[$-F800]dddd\,\ mmmm\ dd\,\ yyyy"/>
    <numFmt numFmtId="169" formatCode="General\ \°\C"/>
    <numFmt numFmtId="170" formatCode="General\ \°"/>
    <numFmt numFmtId="171" formatCode="#,##0.0000"/>
    <numFmt numFmtId="172" formatCode="&quot;R$&quot;\ #,##0.00"/>
    <numFmt numFmtId="173" formatCode="#,##0.00000"/>
    <numFmt numFmtId="174" formatCode="0.00000"/>
    <numFmt numFmtId="175" formatCode="0.0"/>
    <numFmt numFmtId="176" formatCode="#,##0.000000000000000"/>
    <numFmt numFmtId="177" formatCode="#,##0.000"/>
    <numFmt numFmtId="178" formatCode="General\ &quot;m&quot;"/>
    <numFmt numFmtId="179" formatCode="General\ &quot;Pa&quot;"/>
    <numFmt numFmtId="180" formatCode="General\ &quot;l/s&quot;"/>
    <numFmt numFmtId="181" formatCode="General\ &quot;m²&quot;"/>
    <numFmt numFmtId="182" formatCode="General&quot;°&quot;"/>
    <numFmt numFmtId="183" formatCode="&quot;#&quot;General"/>
    <numFmt numFmtId="184" formatCode="General\ &quot;kg&quot;"/>
    <numFmt numFmtId="185" formatCode="General\ &quot;W&quot;"/>
    <numFmt numFmtId="186" formatCode="General\ &quot;TR&quot;"/>
  </numFmts>
  <fonts count="5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5"/>
      <color theme="1"/>
      <name val="Calibri"/>
      <family val="2"/>
      <scheme val="minor"/>
    </font>
    <font>
      <b/>
      <sz val="17"/>
      <color theme="1"/>
      <name val="Calibri"/>
      <family val="2"/>
      <scheme val="minor"/>
    </font>
    <font>
      <b/>
      <sz val="10"/>
      <color theme="1"/>
      <name val="Calibri"/>
      <family val="2"/>
    </font>
    <font>
      <b/>
      <sz val="10"/>
      <color indexed="8"/>
      <name val="Arial"/>
      <family val="2"/>
    </font>
    <font>
      <b/>
      <sz val="10"/>
      <color indexed="8"/>
      <name val="Calibri"/>
      <family val="2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0"/>
      <name val="Arial"/>
      <family val="2"/>
    </font>
    <font>
      <sz val="10"/>
      <name val="Times New Roman"/>
      <family val="1"/>
    </font>
    <font>
      <sz val="10"/>
      <color indexed="8"/>
      <name val="Arial"/>
      <family val="2"/>
    </font>
    <font>
      <b/>
      <sz val="9"/>
      <color indexed="81"/>
      <name val="Tahoma"/>
      <family val="2"/>
    </font>
    <font>
      <b/>
      <sz val="30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11"/>
      <name val="Calibri"/>
      <family val="2"/>
      <scheme val="minor"/>
    </font>
    <font>
      <sz val="9"/>
      <color indexed="81"/>
      <name val="Segoe UI"/>
      <family val="2"/>
    </font>
    <font>
      <b/>
      <sz val="9"/>
      <color indexed="81"/>
      <name val="Segoe UI"/>
      <family val="2"/>
    </font>
    <font>
      <sz val="11"/>
      <name val="Arial"/>
      <family val="2"/>
    </font>
    <font>
      <u/>
      <sz val="11"/>
      <color theme="10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3"/>
      <name val="Arial"/>
      <family val="2"/>
    </font>
    <font>
      <sz val="11"/>
      <color theme="1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5"/>
      <name val="Arial"/>
      <family val="2"/>
    </font>
    <font>
      <sz val="11"/>
      <color theme="1"/>
      <name val="Calibri"/>
      <family val="2"/>
    </font>
    <font>
      <b/>
      <sz val="13"/>
      <color theme="1"/>
      <name val="Calibri"/>
      <family val="2"/>
      <scheme val="minor"/>
    </font>
    <font>
      <b/>
      <sz val="35"/>
      <color theme="1"/>
      <name val="Calibri"/>
      <family val="2"/>
      <scheme val="minor"/>
    </font>
    <font>
      <sz val="9"/>
      <name val="Arial"/>
      <family val="2"/>
    </font>
    <font>
      <sz val="20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0"/>
      <name val="Calibri"/>
      <family val="2"/>
      <scheme val="minor"/>
    </font>
    <font>
      <sz val="20"/>
      <color theme="0"/>
      <name val="Calibri"/>
      <family val="2"/>
      <scheme val="minor"/>
    </font>
    <font>
      <b/>
      <sz val="11"/>
      <name val="Calibri"/>
      <family val="2"/>
      <scheme val="minor"/>
    </font>
    <font>
      <b/>
      <sz val="15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</font>
    <font>
      <b/>
      <sz val="14"/>
      <color theme="0"/>
      <name val="Calibri"/>
      <family val="2"/>
      <scheme val="minor"/>
    </font>
    <font>
      <b/>
      <sz val="8"/>
      <name val="Arial"/>
      <family val="2"/>
    </font>
    <font>
      <sz val="8"/>
      <name val="Arial"/>
      <family val="2"/>
    </font>
    <font>
      <b/>
      <sz val="9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1"/>
      <color rgb="FF000000"/>
      <name val="Calibri"/>
      <family val="2"/>
    </font>
    <font>
      <sz val="8"/>
      <color rgb="FF000000"/>
      <name val="Segoe UI"/>
      <family val="2"/>
    </font>
  </fonts>
  <fills count="2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4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</fills>
  <borders count="8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0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</borders>
  <cellStyleXfs count="8">
    <xf numFmtId="0" fontId="0" fillId="0" borderId="0"/>
    <xf numFmtId="43" fontId="1" fillId="0" borderId="0" applyFont="0" applyFill="0" applyBorder="0" applyAlignment="0" applyProtection="0"/>
    <xf numFmtId="0" fontId="2" fillId="0" borderId="0"/>
    <xf numFmtId="0" fontId="1" fillId="0" borderId="0"/>
    <xf numFmtId="9" fontId="1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4" fillId="0" borderId="0" applyNumberFormat="0" applyFill="0" applyBorder="0" applyAlignment="0" applyProtection="0"/>
    <xf numFmtId="0" fontId="2" fillId="0" borderId="0"/>
  </cellStyleXfs>
  <cellXfs count="1230">
    <xf numFmtId="0" fontId="0" fillId="0" borderId="0" xfId="0"/>
    <xf numFmtId="4" fontId="0" fillId="0" borderId="0" xfId="1" applyNumberFormat="1" applyFont="1" applyAlignment="1">
      <alignment horizontal="center" vertical="center"/>
    </xf>
    <xf numFmtId="4" fontId="0" fillId="0" borderId="0" xfId="1" applyNumberFormat="1" applyFont="1" applyAlignment="1">
      <alignment vertical="center"/>
    </xf>
    <xf numFmtId="0" fontId="0" fillId="0" borderId="0" xfId="0" applyAlignment="1">
      <alignment horizontal="center" vertical="center"/>
    </xf>
    <xf numFmtId="3" fontId="0" fillId="0" borderId="0" xfId="1" applyNumberFormat="1" applyFont="1" applyAlignment="1">
      <alignment horizontal="center" vertical="center"/>
    </xf>
    <xf numFmtId="3" fontId="0" fillId="0" borderId="0" xfId="0" applyNumberFormat="1" applyAlignment="1">
      <alignment horizontal="center"/>
    </xf>
    <xf numFmtId="3" fontId="0" fillId="0" borderId="0" xfId="0" applyNumberFormat="1" applyAlignment="1">
      <alignment horizontal="center" vertical="center"/>
    </xf>
    <xf numFmtId="0" fontId="0" fillId="0" borderId="0" xfId="0" applyAlignment="1">
      <alignment vertical="center"/>
    </xf>
    <xf numFmtId="0" fontId="0" fillId="0" borderId="13" xfId="0" applyBorder="1"/>
    <xf numFmtId="4" fontId="0" fillId="0" borderId="15" xfId="1" applyNumberFormat="1" applyFont="1" applyBorder="1" applyAlignment="1">
      <alignment horizontal="center" vertical="center"/>
    </xf>
    <xf numFmtId="4" fontId="0" fillId="0" borderId="15" xfId="1" applyNumberFormat="1" applyFont="1" applyBorder="1" applyAlignment="1" applyProtection="1">
      <alignment vertical="center"/>
      <protection locked="0"/>
    </xf>
    <xf numFmtId="4" fontId="0" fillId="0" borderId="0" xfId="0" applyNumberFormat="1"/>
    <xf numFmtId="3" fontId="0" fillId="0" borderId="15" xfId="1" applyNumberFormat="1" applyFont="1" applyBorder="1" applyAlignment="1" applyProtection="1">
      <alignment horizontal="center" vertical="center"/>
      <protection locked="0"/>
    </xf>
    <xf numFmtId="0" fontId="0" fillId="0" borderId="15" xfId="0" applyBorder="1" applyAlignment="1">
      <alignment horizontal="center"/>
    </xf>
    <xf numFmtId="0" fontId="0" fillId="0" borderId="15" xfId="0" applyBorder="1"/>
    <xf numFmtId="0" fontId="0" fillId="3" borderId="15" xfId="0" applyFill="1" applyBorder="1" applyAlignment="1">
      <alignment horizontal="center"/>
    </xf>
    <xf numFmtId="0" fontId="3" fillId="4" borderId="15" xfId="0" applyFont="1" applyFill="1" applyBorder="1" applyAlignment="1">
      <alignment horizontal="center" vertical="center"/>
    </xf>
    <xf numFmtId="0" fontId="3" fillId="0" borderId="15" xfId="0" applyFont="1" applyBorder="1" applyAlignment="1">
      <alignment horizontal="center"/>
    </xf>
    <xf numFmtId="0" fontId="3" fillId="0" borderId="15" xfId="0" applyFont="1" applyBorder="1" applyAlignment="1">
      <alignment horizontal="center" vertical="center"/>
    </xf>
    <xf numFmtId="0" fontId="3" fillId="4" borderId="15" xfId="0" applyFont="1" applyFill="1" applyBorder="1" applyAlignment="1">
      <alignment horizontal="center"/>
    </xf>
    <xf numFmtId="0" fontId="3" fillId="4" borderId="15" xfId="0" applyFont="1" applyFill="1" applyBorder="1"/>
    <xf numFmtId="0" fontId="0" fillId="9" borderId="15" xfId="0" applyFill="1" applyBorder="1"/>
    <xf numFmtId="0" fontId="0" fillId="3" borderId="15" xfId="0" applyFill="1" applyBorder="1"/>
    <xf numFmtId="0" fontId="0" fillId="5" borderId="15" xfId="0" applyFill="1" applyBorder="1"/>
    <xf numFmtId="4" fontId="0" fillId="5" borderId="15" xfId="1" applyNumberFormat="1" applyFont="1" applyFill="1" applyBorder="1" applyAlignment="1">
      <alignment horizontal="center" vertical="center"/>
    </xf>
    <xf numFmtId="0" fontId="4" fillId="0" borderId="0" xfId="0" applyFont="1" applyAlignment="1">
      <alignment vertical="center"/>
    </xf>
    <xf numFmtId="4" fontId="0" fillId="0" borderId="15" xfId="0" applyNumberFormat="1" applyBorder="1" applyAlignment="1">
      <alignment horizontal="center" vertical="center"/>
    </xf>
    <xf numFmtId="4" fontId="0" fillId="0" borderId="39" xfId="1" applyNumberFormat="1" applyFont="1" applyBorder="1" applyAlignment="1" applyProtection="1">
      <alignment horizontal="center" vertical="center"/>
      <protection locked="0"/>
    </xf>
    <xf numFmtId="4" fontId="2" fillId="0" borderId="18" xfId="1" applyNumberFormat="1" applyFont="1" applyBorder="1" applyAlignment="1">
      <alignment horizontal="center" vertical="center"/>
    </xf>
    <xf numFmtId="0" fontId="0" fillId="10" borderId="0" xfId="0" applyFill="1"/>
    <xf numFmtId="0" fontId="9" fillId="11" borderId="15" xfId="0" applyFont="1" applyFill="1" applyBorder="1" applyAlignment="1">
      <alignment horizontal="center" vertical="center"/>
    </xf>
    <xf numFmtId="2" fontId="9" fillId="11" borderId="15" xfId="0" applyNumberFormat="1" applyFont="1" applyFill="1" applyBorder="1" applyAlignment="1">
      <alignment horizontal="center" vertical="center"/>
    </xf>
    <xf numFmtId="0" fontId="10" fillId="12" borderId="15" xfId="0" applyFont="1" applyFill="1" applyBorder="1" applyAlignment="1">
      <alignment horizontal="center" vertical="center"/>
    </xf>
    <xf numFmtId="165" fontId="10" fillId="12" borderId="15" xfId="0" applyNumberFormat="1" applyFont="1" applyFill="1" applyBorder="1" applyAlignment="1">
      <alignment horizontal="center" vertical="center"/>
    </xf>
    <xf numFmtId="166" fontId="10" fillId="12" borderId="15" xfId="0" applyNumberFormat="1" applyFont="1" applyFill="1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3" borderId="29" xfId="0" applyFill="1" applyBorder="1"/>
    <xf numFmtId="0" fontId="0" fillId="5" borderId="29" xfId="0" applyFill="1" applyBorder="1"/>
    <xf numFmtId="0" fontId="0" fillId="0" borderId="14" xfId="0" applyBorder="1"/>
    <xf numFmtId="0" fontId="0" fillId="10" borderId="0" xfId="0" applyFill="1" applyAlignment="1">
      <alignment vertical="center"/>
    </xf>
    <xf numFmtId="4" fontId="0" fillId="10" borderId="0" xfId="1" applyNumberFormat="1" applyFont="1" applyFill="1" applyAlignment="1">
      <alignment horizontal="center" vertical="center"/>
    </xf>
    <xf numFmtId="4" fontId="0" fillId="10" borderId="0" xfId="1" applyNumberFormat="1" applyFont="1" applyFill="1" applyAlignment="1">
      <alignment vertical="center"/>
    </xf>
    <xf numFmtId="0" fontId="0" fillId="12" borderId="15" xfId="0" applyFill="1" applyBorder="1"/>
    <xf numFmtId="0" fontId="3" fillId="0" borderId="15" xfId="0" applyFont="1" applyBorder="1" applyAlignment="1">
      <alignment horizontal="left" vertical="center"/>
    </xf>
    <xf numFmtId="4" fontId="2" fillId="0" borderId="54" xfId="1" applyNumberFormat="1" applyFont="1" applyBorder="1" applyAlignment="1">
      <alignment horizontal="center" vertical="center"/>
    </xf>
    <xf numFmtId="0" fontId="0" fillId="0" borderId="0" xfId="0" applyAlignment="1">
      <alignment horizontal="center"/>
    </xf>
    <xf numFmtId="170" fontId="0" fillId="0" borderId="15" xfId="1" applyNumberFormat="1" applyFont="1" applyBorder="1" applyAlignment="1" applyProtection="1">
      <alignment horizontal="center" vertical="center"/>
      <protection locked="0"/>
    </xf>
    <xf numFmtId="0" fontId="0" fillId="0" borderId="15" xfId="1" applyNumberFormat="1" applyFont="1" applyBorder="1" applyAlignment="1" applyProtection="1">
      <alignment horizontal="center" vertical="center"/>
      <protection locked="0"/>
    </xf>
    <xf numFmtId="4" fontId="0" fillId="0" borderId="15" xfId="0" applyNumberFormat="1" applyBorder="1" applyAlignment="1">
      <alignment horizontal="center"/>
    </xf>
    <xf numFmtId="0" fontId="0" fillId="10" borderId="15" xfId="0" applyFill="1" applyBorder="1"/>
    <xf numFmtId="4" fontId="0" fillId="10" borderId="15" xfId="1" applyNumberFormat="1" applyFont="1" applyFill="1" applyBorder="1" applyAlignment="1">
      <alignment horizontal="center" vertical="center"/>
    </xf>
    <xf numFmtId="4" fontId="0" fillId="10" borderId="15" xfId="1" applyNumberFormat="1" applyFont="1" applyFill="1" applyBorder="1" applyAlignment="1" applyProtection="1">
      <alignment vertical="center"/>
      <protection locked="0"/>
    </xf>
    <xf numFmtId="3" fontId="0" fillId="0" borderId="15" xfId="1" applyNumberFormat="1" applyFont="1" applyBorder="1" applyAlignment="1">
      <alignment horizontal="center" vertical="center"/>
    </xf>
    <xf numFmtId="0" fontId="0" fillId="10" borderId="15" xfId="0" applyFill="1" applyBorder="1" applyAlignment="1">
      <alignment horizontal="center" vertical="center"/>
    </xf>
    <xf numFmtId="3" fontId="0" fillId="10" borderId="15" xfId="1" applyNumberFormat="1" applyFont="1" applyFill="1" applyBorder="1" applyAlignment="1">
      <alignment horizontal="center"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/>
    </xf>
    <xf numFmtId="0" fontId="3" fillId="0" borderId="0" xfId="0" applyFont="1"/>
    <xf numFmtId="12" fontId="0" fillId="0" borderId="0" xfId="0" applyNumberFormat="1" applyAlignment="1">
      <alignment vertical="center"/>
    </xf>
    <xf numFmtId="4" fontId="0" fillId="10" borderId="15" xfId="0" applyNumberFormat="1" applyFill="1" applyBorder="1" applyAlignment="1">
      <alignment horizontal="center"/>
    </xf>
    <xf numFmtId="169" fontId="0" fillId="10" borderId="15" xfId="1" applyNumberFormat="1" applyFont="1" applyFill="1" applyBorder="1" applyAlignment="1" applyProtection="1">
      <alignment horizontal="center" vertical="center"/>
      <protection locked="0"/>
    </xf>
    <xf numFmtId="10" fontId="0" fillId="10" borderId="15" xfId="1" applyNumberFormat="1" applyFont="1" applyFill="1" applyBorder="1" applyAlignment="1" applyProtection="1">
      <alignment horizontal="center" vertical="center"/>
      <protection locked="0"/>
    </xf>
    <xf numFmtId="170" fontId="0" fillId="10" borderId="15" xfId="1" applyNumberFormat="1" applyFont="1" applyFill="1" applyBorder="1" applyAlignment="1" applyProtection="1">
      <alignment horizontal="center" vertical="center"/>
      <protection locked="0"/>
    </xf>
    <xf numFmtId="0" fontId="0" fillId="10" borderId="15" xfId="1" applyNumberFormat="1" applyFont="1" applyFill="1" applyBorder="1" applyAlignment="1" applyProtection="1">
      <alignment horizontal="center" vertical="center"/>
      <protection locked="0"/>
    </xf>
    <xf numFmtId="0" fontId="0" fillId="0" borderId="24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15" fillId="4" borderId="20" xfId="0" applyFont="1" applyFill="1" applyBorder="1" applyAlignment="1">
      <alignment horizontal="justify" vertical="center"/>
    </xf>
    <xf numFmtId="0" fontId="15" fillId="4" borderId="20" xfId="0" applyFont="1" applyFill="1" applyBorder="1" applyAlignment="1">
      <alignment horizontal="center" vertical="center"/>
    </xf>
    <xf numFmtId="2" fontId="15" fillId="4" borderId="20" xfId="0" applyNumberFormat="1" applyFont="1" applyFill="1" applyBorder="1" applyAlignment="1">
      <alignment horizontal="center" vertical="center"/>
    </xf>
    <xf numFmtId="2" fontId="15" fillId="4" borderId="20" xfId="0" applyNumberFormat="1" applyFont="1" applyFill="1" applyBorder="1" applyAlignment="1">
      <alignment vertical="center"/>
    </xf>
    <xf numFmtId="2" fontId="14" fillId="3" borderId="20" xfId="0" applyNumberFormat="1" applyFont="1" applyFill="1" applyBorder="1" applyAlignment="1">
      <alignment horizontal="center" vertical="center" wrapText="1"/>
    </xf>
    <xf numFmtId="4" fontId="2" fillId="0" borderId="15" xfId="1" applyNumberFormat="1" applyFont="1" applyBorder="1" applyAlignment="1">
      <alignment horizontal="center" vertical="center"/>
    </xf>
    <xf numFmtId="4" fontId="0" fillId="0" borderId="15" xfId="1" applyNumberFormat="1" applyFont="1" applyBorder="1" applyAlignment="1" applyProtection="1">
      <alignment horizontal="center" vertical="center"/>
      <protection locked="0"/>
    </xf>
    <xf numFmtId="4" fontId="0" fillId="0" borderId="15" xfId="0" applyNumberFormat="1" applyBorder="1"/>
    <xf numFmtId="0" fontId="0" fillId="0" borderId="15" xfId="0" applyBorder="1" applyAlignment="1">
      <alignment horizontal="left" vertical="center"/>
    </xf>
    <xf numFmtId="3" fontId="2" fillId="0" borderId="0" xfId="1" applyNumberFormat="1" applyFont="1" applyAlignment="1">
      <alignment vertical="center"/>
    </xf>
    <xf numFmtId="0" fontId="3" fillId="12" borderId="15" xfId="0" applyFont="1" applyFill="1" applyBorder="1"/>
    <xf numFmtId="0" fontId="0" fillId="9" borderId="14" xfId="0" applyFill="1" applyBorder="1"/>
    <xf numFmtId="0" fontId="0" fillId="3" borderId="14" xfId="0" applyFill="1" applyBorder="1"/>
    <xf numFmtId="0" fontId="0" fillId="5" borderId="14" xfId="0" applyFill="1" applyBorder="1"/>
    <xf numFmtId="4" fontId="0" fillId="10" borderId="29" xfId="0" applyNumberFormat="1" applyFill="1" applyBorder="1" applyAlignment="1">
      <alignment horizontal="center"/>
    </xf>
    <xf numFmtId="0" fontId="0" fillId="0" borderId="15" xfId="0" applyBorder="1" applyAlignment="1">
      <alignment vertical="center"/>
    </xf>
    <xf numFmtId="3" fontId="0" fillId="0" borderId="0" xfId="0" applyNumberFormat="1"/>
    <xf numFmtId="0" fontId="0" fillId="0" borderId="46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167" fontId="0" fillId="0" borderId="15" xfId="0" applyNumberFormat="1" applyBorder="1" applyAlignment="1">
      <alignment horizontal="center" vertical="center"/>
    </xf>
    <xf numFmtId="169" fontId="0" fillId="0" borderId="15" xfId="0" applyNumberFormat="1" applyBorder="1" applyAlignment="1">
      <alignment horizontal="center" vertical="center"/>
    </xf>
    <xf numFmtId="0" fontId="0" fillId="10" borderId="31" xfId="0" applyFill="1" applyBorder="1" applyAlignment="1">
      <alignment horizontal="center" vertical="center"/>
    </xf>
    <xf numFmtId="167" fontId="20" fillId="12" borderId="15" xfId="0" applyNumberFormat="1" applyFont="1" applyFill="1" applyBorder="1" applyAlignment="1">
      <alignment horizontal="center" vertical="center"/>
    </xf>
    <xf numFmtId="0" fontId="20" fillId="12" borderId="15" xfId="0" applyFont="1" applyFill="1" applyBorder="1" applyAlignment="1">
      <alignment horizontal="center" vertical="center"/>
    </xf>
    <xf numFmtId="169" fontId="20" fillId="12" borderId="15" xfId="0" applyNumberFormat="1" applyFont="1" applyFill="1" applyBorder="1" applyAlignment="1">
      <alignment horizontal="center" vertical="center"/>
    </xf>
    <xf numFmtId="169" fontId="0" fillId="0" borderId="15" xfId="1" applyNumberFormat="1" applyFont="1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0" fontId="0" fillId="10" borderId="46" xfId="0" applyFill="1" applyBorder="1" applyAlignment="1">
      <alignment vertical="center"/>
    </xf>
    <xf numFmtId="0" fontId="0" fillId="10" borderId="0" xfId="0" applyFill="1" applyAlignment="1">
      <alignment horizontal="center" vertical="center"/>
    </xf>
    <xf numFmtId="0" fontId="0" fillId="0" borderId="5" xfId="0" applyBorder="1"/>
    <xf numFmtId="9" fontId="0" fillId="0" borderId="0" xfId="0" applyNumberFormat="1"/>
    <xf numFmtId="0" fontId="0" fillId="0" borderId="35" xfId="0" applyBorder="1"/>
    <xf numFmtId="0" fontId="0" fillId="0" borderId="36" xfId="0" applyBorder="1"/>
    <xf numFmtId="0" fontId="0" fillId="0" borderId="37" xfId="0" applyBorder="1"/>
    <xf numFmtId="0" fontId="0" fillId="2" borderId="0" xfId="0" applyFill="1"/>
    <xf numFmtId="172" fontId="0" fillId="14" borderId="0" xfId="0" applyNumberFormat="1" applyFill="1" applyAlignment="1">
      <alignment horizontal="center" vertical="center"/>
    </xf>
    <xf numFmtId="0" fontId="0" fillId="14" borderId="0" xfId="0" applyFill="1"/>
    <xf numFmtId="0" fontId="0" fillId="0" borderId="47" xfId="0" applyBorder="1"/>
    <xf numFmtId="0" fontId="0" fillId="0" borderId="49" xfId="0" applyBorder="1"/>
    <xf numFmtId="0" fontId="0" fillId="14" borderId="47" xfId="0" applyFill="1" applyBorder="1"/>
    <xf numFmtId="3" fontId="0" fillId="5" borderId="15" xfId="0" applyNumberFormat="1" applyFill="1" applyBorder="1" applyAlignment="1">
      <alignment horizontal="center" vertical="center"/>
    </xf>
    <xf numFmtId="0" fontId="0" fillId="0" borderId="37" xfId="0" applyBorder="1" applyAlignment="1">
      <alignment horizontal="center"/>
    </xf>
    <xf numFmtId="0" fontId="0" fillId="0" borderId="35" xfId="0" applyBorder="1" applyAlignment="1">
      <alignment horizontal="center"/>
    </xf>
    <xf numFmtId="0" fontId="0" fillId="0" borderId="48" xfId="0" applyBorder="1" applyAlignment="1">
      <alignment horizontal="center" vertical="center"/>
    </xf>
    <xf numFmtId="3" fontId="0" fillId="2" borderId="15" xfId="0" applyNumberFormat="1" applyFill="1" applyBorder="1" applyAlignment="1">
      <alignment horizontal="center" vertical="center"/>
    </xf>
    <xf numFmtId="0" fontId="0" fillId="12" borderId="15" xfId="0" applyFill="1" applyBorder="1" applyAlignment="1">
      <alignment vertical="center"/>
    </xf>
    <xf numFmtId="0" fontId="5" fillId="0" borderId="0" xfId="0" applyFont="1" applyAlignment="1">
      <alignment vertical="center"/>
    </xf>
    <xf numFmtId="0" fontId="3" fillId="10" borderId="15" xfId="0" applyFont="1" applyFill="1" applyBorder="1" applyAlignment="1">
      <alignment horizontal="center"/>
    </xf>
    <xf numFmtId="0" fontId="0" fillId="0" borderId="0" xfId="0" applyAlignment="1">
      <alignment vertical="top" wrapText="1"/>
    </xf>
    <xf numFmtId="0" fontId="3" fillId="10" borderId="31" xfId="0" applyFont="1" applyFill="1" applyBorder="1" applyAlignment="1">
      <alignment horizontal="center"/>
    </xf>
    <xf numFmtId="0" fontId="0" fillId="0" borderId="46" xfId="0" applyBorder="1"/>
    <xf numFmtId="0" fontId="0" fillId="0" borderId="48" xfId="0" applyBorder="1"/>
    <xf numFmtId="0" fontId="0" fillId="0" borderId="50" xfId="0" applyBorder="1"/>
    <xf numFmtId="3" fontId="0" fillId="0" borderId="49" xfId="0" applyNumberFormat="1" applyBorder="1" applyAlignment="1">
      <alignment horizontal="center" vertical="center"/>
    </xf>
    <xf numFmtId="3" fontId="0" fillId="0" borderId="47" xfId="0" applyNumberFormat="1" applyBorder="1" applyAlignment="1">
      <alignment horizontal="center" vertical="center"/>
    </xf>
    <xf numFmtId="3" fontId="0" fillId="0" borderId="50" xfId="0" applyNumberFormat="1" applyBorder="1" applyAlignment="1">
      <alignment horizontal="center" vertical="center"/>
    </xf>
    <xf numFmtId="0" fontId="0" fillId="10" borderId="48" xfId="0" applyFill="1" applyBorder="1"/>
    <xf numFmtId="0" fontId="0" fillId="10" borderId="49" xfId="0" applyFill="1" applyBorder="1"/>
    <xf numFmtId="0" fontId="0" fillId="10" borderId="50" xfId="0" applyFill="1" applyBorder="1"/>
    <xf numFmtId="0" fontId="0" fillId="10" borderId="46" xfId="0" applyFill="1" applyBorder="1"/>
    <xf numFmtId="0" fontId="0" fillId="10" borderId="47" xfId="0" applyFill="1" applyBorder="1"/>
    <xf numFmtId="3" fontId="0" fillId="10" borderId="0" xfId="0" applyNumberFormat="1" applyFill="1" applyAlignment="1">
      <alignment horizontal="center" vertical="center"/>
    </xf>
    <xf numFmtId="3" fontId="0" fillId="10" borderId="47" xfId="0" applyNumberFormat="1" applyFill="1" applyBorder="1" applyAlignment="1">
      <alignment horizontal="center" vertical="center"/>
    </xf>
    <xf numFmtId="0" fontId="11" fillId="10" borderId="43" xfId="0" applyFont="1" applyFill="1" applyBorder="1"/>
    <xf numFmtId="0" fontId="11" fillId="10" borderId="44" xfId="0" applyFont="1" applyFill="1" applyBorder="1"/>
    <xf numFmtId="0" fontId="11" fillId="0" borderId="0" xfId="0" applyFont="1"/>
    <xf numFmtId="172" fontId="0" fillId="8" borderId="0" xfId="0" applyNumberFormat="1" applyFill="1" applyAlignment="1">
      <alignment horizontal="center" vertical="center"/>
    </xf>
    <xf numFmtId="0" fontId="0" fillId="8" borderId="0" xfId="0" applyFill="1"/>
    <xf numFmtId="0" fontId="0" fillId="8" borderId="47" xfId="0" applyFill="1" applyBorder="1"/>
    <xf numFmtId="0" fontId="0" fillId="8" borderId="46" xfId="0" applyFill="1" applyBorder="1" applyAlignment="1">
      <alignment horizontal="center" vertical="center"/>
    </xf>
    <xf numFmtId="0" fontId="0" fillId="8" borderId="48" xfId="0" applyFill="1" applyBorder="1" applyAlignment="1">
      <alignment horizontal="center" vertical="center"/>
    </xf>
    <xf numFmtId="0" fontId="0" fillId="8" borderId="49" xfId="0" applyFill="1" applyBorder="1"/>
    <xf numFmtId="0" fontId="0" fillId="8" borderId="50" xfId="0" applyFill="1" applyBorder="1"/>
    <xf numFmtId="3" fontId="0" fillId="8" borderId="46" xfId="0" applyNumberFormat="1" applyFill="1" applyBorder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14" borderId="46" xfId="0" applyFill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3" fontId="0" fillId="0" borderId="15" xfId="0" applyNumberFormat="1" applyBorder="1" applyAlignment="1">
      <alignment horizontal="center" vertical="center"/>
    </xf>
    <xf numFmtId="0" fontId="0" fillId="3" borderId="35" xfId="0" applyFill="1" applyBorder="1"/>
    <xf numFmtId="0" fontId="4" fillId="3" borderId="30" xfId="0" applyFont="1" applyFill="1" applyBorder="1" applyAlignment="1">
      <alignment horizontal="center" vertical="center"/>
    </xf>
    <xf numFmtId="0" fontId="11" fillId="3" borderId="35" xfId="0" applyFont="1" applyFill="1" applyBorder="1"/>
    <xf numFmtId="168" fontId="0" fillId="12" borderId="15" xfId="0" applyNumberFormat="1" applyFill="1" applyBorder="1" applyAlignment="1">
      <alignment horizontal="left" vertical="center"/>
    </xf>
    <xf numFmtId="2" fontId="14" fillId="0" borderId="15" xfId="0" applyNumberFormat="1" applyFont="1" applyBorder="1" applyAlignment="1">
      <alignment horizontal="center" vertical="center"/>
    </xf>
    <xf numFmtId="0" fontId="2" fillId="0" borderId="15" xfId="0" applyFont="1" applyBorder="1" applyAlignment="1" applyProtection="1">
      <alignment horizontal="center" vertical="center" wrapText="1"/>
      <protection locked="0"/>
    </xf>
    <xf numFmtId="4" fontId="16" fillId="0" borderId="15" xfId="5" applyNumberFormat="1" applyFont="1" applyBorder="1" applyAlignment="1" applyProtection="1">
      <alignment horizontal="center" vertical="center" wrapText="1"/>
      <protection locked="0"/>
    </xf>
    <xf numFmtId="0" fontId="2" fillId="0" borderId="10" xfId="0" applyFont="1" applyBorder="1" applyAlignment="1" applyProtection="1">
      <alignment horizontal="center" vertical="center" wrapText="1"/>
      <protection locked="0"/>
    </xf>
    <xf numFmtId="4" fontId="16" fillId="0" borderId="10" xfId="5" applyNumberFormat="1" applyFont="1" applyBorder="1" applyAlignment="1" applyProtection="1">
      <alignment horizontal="center" vertical="center" wrapText="1"/>
      <protection locked="0"/>
    </xf>
    <xf numFmtId="2" fontId="14" fillId="0" borderId="15" xfId="0" applyNumberFormat="1" applyFont="1" applyBorder="1" applyAlignment="1" applyProtection="1">
      <alignment horizontal="center" vertical="center"/>
      <protection locked="0"/>
    </xf>
    <xf numFmtId="2" fontId="2" fillId="0" borderId="15" xfId="0" applyNumberFormat="1" applyFont="1" applyBorder="1" applyAlignment="1" applyProtection="1">
      <alignment horizontal="center" vertical="center"/>
      <protection locked="0"/>
    </xf>
    <xf numFmtId="0" fontId="14" fillId="3" borderId="15" xfId="0" applyFont="1" applyFill="1" applyBorder="1" applyAlignment="1">
      <alignment horizontal="center" vertical="center" wrapText="1"/>
    </xf>
    <xf numFmtId="2" fontId="14" fillId="3" borderId="15" xfId="0" applyNumberFormat="1" applyFont="1" applyFill="1" applyBorder="1" applyAlignment="1">
      <alignment horizontal="center" vertical="center" wrapText="1"/>
    </xf>
    <xf numFmtId="4" fontId="27" fillId="4" borderId="15" xfId="5" applyNumberFormat="1" applyFont="1" applyFill="1" applyBorder="1" applyAlignment="1">
      <alignment horizontal="center" vertical="center" wrapText="1"/>
    </xf>
    <xf numFmtId="0" fontId="14" fillId="0" borderId="0" xfId="0" applyFont="1" applyAlignment="1">
      <alignment horizontal="center" vertical="center" wrapText="1"/>
    </xf>
    <xf numFmtId="0" fontId="14" fillId="0" borderId="0" xfId="0" applyFont="1" applyAlignment="1">
      <alignment horizontal="left" vertical="center" wrapText="1"/>
    </xf>
    <xf numFmtId="2" fontId="14" fillId="0" borderId="0" xfId="0" applyNumberFormat="1" applyFont="1" applyAlignment="1">
      <alignment horizontal="center" vertical="center" wrapText="1"/>
    </xf>
    <xf numFmtId="4" fontId="14" fillId="0" borderId="0" xfId="0" applyNumberFormat="1" applyFont="1" applyAlignment="1">
      <alignment horizontal="center" vertical="center" wrapText="1"/>
    </xf>
    <xf numFmtId="0" fontId="2" fillId="0" borderId="0" xfId="0" applyFont="1" applyAlignment="1" applyProtection="1">
      <alignment horizontal="center" vertical="center" wrapText="1"/>
      <protection locked="0"/>
    </xf>
    <xf numFmtId="0" fontId="2" fillId="0" borderId="0" xfId="0" applyFont="1" applyAlignment="1" applyProtection="1">
      <alignment vertical="center" wrapText="1"/>
      <protection locked="0"/>
    </xf>
    <xf numFmtId="4" fontId="16" fillId="0" borderId="0" xfId="5" applyNumberFormat="1" applyFont="1" applyAlignment="1" applyProtection="1">
      <alignment horizontal="center" vertical="center" wrapText="1"/>
      <protection locked="0"/>
    </xf>
    <xf numFmtId="4" fontId="2" fillId="0" borderId="0" xfId="5" applyNumberFormat="1" applyAlignment="1" applyProtection="1">
      <alignment horizontal="center" vertical="center" wrapText="1"/>
      <protection locked="0"/>
    </xf>
    <xf numFmtId="4" fontId="2" fillId="0" borderId="0" xfId="5" applyNumberFormat="1" applyAlignment="1">
      <alignment horizontal="center" vertical="center" wrapText="1"/>
    </xf>
    <xf numFmtId="0" fontId="14" fillId="0" borderId="0" xfId="0" applyFont="1" applyAlignment="1">
      <alignment vertical="center" wrapText="1"/>
    </xf>
    <xf numFmtId="0" fontId="27" fillId="0" borderId="0" xfId="0" applyFont="1" applyAlignment="1" applyProtection="1">
      <alignment vertical="center" wrapText="1"/>
      <protection locked="0"/>
    </xf>
    <xf numFmtId="4" fontId="27" fillId="0" borderId="0" xfId="5" applyNumberFormat="1" applyFont="1" applyAlignment="1">
      <alignment horizontal="center" vertical="center" wrapText="1"/>
    </xf>
    <xf numFmtId="4" fontId="2" fillId="0" borderId="0" xfId="5" applyNumberFormat="1" applyAlignment="1">
      <alignment vertical="center" wrapText="1"/>
    </xf>
    <xf numFmtId="0" fontId="3" fillId="3" borderId="15" xfId="0" applyFont="1" applyFill="1" applyBorder="1" applyAlignment="1">
      <alignment horizontal="center" vertical="center"/>
    </xf>
    <xf numFmtId="0" fontId="0" fillId="4" borderId="13" xfId="0" applyFill="1" applyBorder="1" applyAlignment="1">
      <alignment horizontal="center" vertical="center"/>
    </xf>
    <xf numFmtId="1" fontId="14" fillId="13" borderId="15" xfId="0" applyNumberFormat="1" applyFont="1" applyFill="1" applyBorder="1" applyAlignment="1">
      <alignment horizontal="center" vertical="center" wrapText="1"/>
    </xf>
    <xf numFmtId="0" fontId="0" fillId="3" borderId="13" xfId="0" applyFill="1" applyBorder="1" applyAlignment="1">
      <alignment horizontal="center" vertical="center"/>
    </xf>
    <xf numFmtId="4" fontId="24" fillId="0" borderId="15" xfId="6" applyNumberFormat="1" applyBorder="1" applyAlignment="1">
      <alignment horizontal="center" vertical="center" wrapText="1"/>
    </xf>
    <xf numFmtId="0" fontId="14" fillId="3" borderId="31" xfId="0" applyFont="1" applyFill="1" applyBorder="1" applyAlignment="1">
      <alignment horizontal="center" vertical="center" wrapText="1"/>
    </xf>
    <xf numFmtId="4" fontId="28" fillId="0" borderId="15" xfId="6" applyNumberFormat="1" applyFont="1" applyBorder="1" applyAlignment="1">
      <alignment horizontal="center" vertical="center" wrapText="1"/>
    </xf>
    <xf numFmtId="0" fontId="0" fillId="0" borderId="9" xfId="0" applyBorder="1" applyAlignment="1">
      <alignment horizontal="center" vertical="center"/>
    </xf>
    <xf numFmtId="4" fontId="24" fillId="0" borderId="10" xfId="6" applyNumberFormat="1" applyBorder="1" applyAlignment="1">
      <alignment horizontal="center" vertical="center" wrapText="1"/>
    </xf>
    <xf numFmtId="0" fontId="0" fillId="0" borderId="11" xfId="0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5" borderId="15" xfId="0" applyFill="1" applyBorder="1" applyAlignment="1">
      <alignment horizontal="center" vertical="center"/>
    </xf>
    <xf numFmtId="0" fontId="0" fillId="2" borderId="15" xfId="0" applyFill="1" applyBorder="1" applyAlignment="1">
      <alignment horizontal="center" vertical="center"/>
    </xf>
    <xf numFmtId="0" fontId="3" fillId="0" borderId="15" xfId="0" applyFont="1" applyBorder="1"/>
    <xf numFmtId="0" fontId="3" fillId="3" borderId="16" xfId="0" applyFont="1" applyFill="1" applyBorder="1" applyAlignment="1">
      <alignment horizontal="center" vertical="center"/>
    </xf>
    <xf numFmtId="0" fontId="0" fillId="15" borderId="0" xfId="0" applyFill="1"/>
    <xf numFmtId="3" fontId="0" fillId="8" borderId="42" xfId="0" applyNumberFormat="1" applyFill="1" applyBorder="1" applyAlignment="1">
      <alignment horizontal="center" vertical="center"/>
    </xf>
    <xf numFmtId="0" fontId="0" fillId="8" borderId="43" xfId="0" applyFill="1" applyBorder="1" applyAlignment="1">
      <alignment horizontal="center" vertical="center"/>
    </xf>
    <xf numFmtId="0" fontId="0" fillId="8" borderId="43" xfId="0" applyFill="1" applyBorder="1"/>
    <xf numFmtId="0" fontId="0" fillId="8" borderId="44" xfId="0" applyFill="1" applyBorder="1"/>
    <xf numFmtId="172" fontId="0" fillId="0" borderId="47" xfId="0" applyNumberFormat="1" applyBorder="1" applyAlignment="1">
      <alignment horizontal="center" vertical="center"/>
    </xf>
    <xf numFmtId="172" fontId="0" fillId="0" borderId="47" xfId="0" applyNumberFormat="1" applyBorder="1" applyAlignment="1">
      <alignment horizontal="center"/>
    </xf>
    <xf numFmtId="3" fontId="0" fillId="15" borderId="42" xfId="0" applyNumberFormat="1" applyFill="1" applyBorder="1" applyAlignment="1">
      <alignment horizontal="center" vertical="center"/>
    </xf>
    <xf numFmtId="0" fontId="0" fillId="15" borderId="43" xfId="0" applyFill="1" applyBorder="1"/>
    <xf numFmtId="3" fontId="0" fillId="15" borderId="46" xfId="0" applyNumberFormat="1" applyFill="1" applyBorder="1" applyAlignment="1">
      <alignment horizontal="center" vertical="center"/>
    </xf>
    <xf numFmtId="0" fontId="0" fillId="2" borderId="43" xfId="0" applyFill="1" applyBorder="1" applyAlignment="1">
      <alignment horizontal="center" vertical="center"/>
    </xf>
    <xf numFmtId="0" fontId="0" fillId="2" borderId="0" xfId="0" applyFill="1" applyAlignment="1">
      <alignment horizontal="center"/>
    </xf>
    <xf numFmtId="0" fontId="0" fillId="16" borderId="15" xfId="0" applyFill="1" applyBorder="1" applyAlignment="1">
      <alignment horizontal="center" vertical="center"/>
    </xf>
    <xf numFmtId="3" fontId="0" fillId="16" borderId="15" xfId="0" applyNumberFormat="1" applyFill="1" applyBorder="1" applyAlignment="1">
      <alignment horizontal="center" vertical="center"/>
    </xf>
    <xf numFmtId="4" fontId="0" fillId="2" borderId="15" xfId="0" applyNumberFormat="1" applyFill="1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0" fontId="0" fillId="0" borderId="47" xfId="0" applyBorder="1" applyAlignment="1">
      <alignment vertical="center"/>
    </xf>
    <xf numFmtId="12" fontId="0" fillId="0" borderId="0" xfId="0" applyNumberFormat="1" applyAlignment="1">
      <alignment horizontal="center" vertical="center"/>
    </xf>
    <xf numFmtId="12" fontId="0" fillId="0" borderId="0" xfId="0" applyNumberFormat="1"/>
    <xf numFmtId="4" fontId="4" fillId="0" borderId="15" xfId="1" applyNumberFormat="1" applyFont="1" applyBorder="1" applyAlignment="1">
      <alignment horizontal="center" vertical="center"/>
    </xf>
    <xf numFmtId="3" fontId="0" fillId="0" borderId="0" xfId="1" applyNumberFormat="1" applyFont="1" applyAlignment="1" applyProtection="1">
      <alignment horizontal="center" vertical="center"/>
      <protection locked="0"/>
    </xf>
    <xf numFmtId="3" fontId="3" fillId="0" borderId="0" xfId="1" applyNumberFormat="1" applyFont="1" applyAlignment="1">
      <alignment vertical="center"/>
    </xf>
    <xf numFmtId="3" fontId="0" fillId="0" borderId="0" xfId="1" applyNumberFormat="1" applyFont="1" applyAlignment="1">
      <alignment vertical="center"/>
    </xf>
    <xf numFmtId="4" fontId="4" fillId="0" borderId="31" xfId="1" applyNumberFormat="1" applyFont="1" applyBorder="1" applyAlignment="1">
      <alignment horizontal="center" vertical="center"/>
    </xf>
    <xf numFmtId="0" fontId="0" fillId="0" borderId="62" xfId="0" applyBorder="1"/>
    <xf numFmtId="4" fontId="0" fillId="0" borderId="10" xfId="1" applyNumberFormat="1" applyFont="1" applyBorder="1" applyAlignment="1">
      <alignment horizontal="center" vertical="center"/>
    </xf>
    <xf numFmtId="4" fontId="0" fillId="0" borderId="0" xfId="1" applyNumberFormat="1" applyFont="1" applyAlignment="1" applyProtection="1">
      <alignment vertical="center"/>
      <protection locked="0"/>
    </xf>
    <xf numFmtId="4" fontId="0" fillId="3" borderId="3" xfId="1" applyNumberFormat="1" applyFont="1" applyFill="1" applyBorder="1" applyAlignment="1">
      <alignment horizontal="center" vertical="center"/>
    </xf>
    <xf numFmtId="0" fontId="0" fillId="12" borderId="26" xfId="0" applyFill="1" applyBorder="1"/>
    <xf numFmtId="0" fontId="0" fillId="12" borderId="0" xfId="0" applyFill="1"/>
    <xf numFmtId="4" fontId="0" fillId="3" borderId="7" xfId="1" applyNumberFormat="1" applyFont="1" applyFill="1" applyBorder="1" applyAlignment="1">
      <alignment vertical="center"/>
    </xf>
    <xf numFmtId="4" fontId="4" fillId="0" borderId="0" xfId="1" applyNumberFormat="1" applyFont="1" applyAlignment="1">
      <alignment horizontal="center" vertical="center"/>
    </xf>
    <xf numFmtId="4" fontId="1" fillId="0" borderId="0" xfId="1" applyNumberFormat="1" applyAlignment="1">
      <alignment horizontal="center" vertical="center"/>
    </xf>
    <xf numFmtId="4" fontId="1" fillId="0" borderId="0" xfId="1" applyNumberFormat="1" applyAlignment="1">
      <alignment vertical="center"/>
    </xf>
    <xf numFmtId="4" fontId="30" fillId="0" borderId="0" xfId="1" applyNumberFormat="1" applyFont="1" applyAlignment="1">
      <alignment vertical="center" wrapText="1"/>
    </xf>
    <xf numFmtId="4" fontId="0" fillId="0" borderId="15" xfId="1" applyNumberFormat="1" applyFont="1" applyBorder="1" applyAlignment="1">
      <alignment vertical="center"/>
    </xf>
    <xf numFmtId="4" fontId="0" fillId="3" borderId="15" xfId="1" applyNumberFormat="1" applyFont="1" applyFill="1" applyBorder="1" applyAlignment="1">
      <alignment horizontal="center" vertical="center"/>
    </xf>
    <xf numFmtId="0" fontId="31" fillId="0" borderId="13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7" xfId="0" applyBorder="1"/>
    <xf numFmtId="0" fontId="0" fillId="12" borderId="47" xfId="0" applyFill="1" applyBorder="1"/>
    <xf numFmtId="0" fontId="0" fillId="6" borderId="0" xfId="0" applyFill="1"/>
    <xf numFmtId="0" fontId="0" fillId="6" borderId="47" xfId="0" applyFill="1" applyBorder="1"/>
    <xf numFmtId="0" fontId="0" fillId="12" borderId="23" xfId="0" applyFill="1" applyBorder="1"/>
    <xf numFmtId="0" fontId="0" fillId="12" borderId="24" xfId="0" applyFill="1" applyBorder="1"/>
    <xf numFmtId="0" fontId="0" fillId="12" borderId="25" xfId="0" applyFill="1" applyBorder="1"/>
    <xf numFmtId="0" fontId="0" fillId="12" borderId="41" xfId="0" applyFill="1" applyBorder="1"/>
    <xf numFmtId="0" fontId="0" fillId="12" borderId="27" xfId="0" applyFill="1" applyBorder="1"/>
    <xf numFmtId="0" fontId="0" fillId="12" borderId="22" xfId="0" applyFill="1" applyBorder="1"/>
    <xf numFmtId="0" fontId="0" fillId="12" borderId="28" xfId="0" applyFill="1" applyBorder="1"/>
    <xf numFmtId="0" fontId="31" fillId="14" borderId="13" xfId="0" applyFont="1" applyFill="1" applyBorder="1" applyAlignment="1">
      <alignment horizontal="center" vertical="center"/>
    </xf>
    <xf numFmtId="0" fontId="0" fillId="14" borderId="13" xfId="0" applyFill="1" applyBorder="1" applyAlignment="1">
      <alignment horizontal="center" vertical="center"/>
    </xf>
    <xf numFmtId="0" fontId="0" fillId="2" borderId="23" xfId="0" applyFill="1" applyBorder="1"/>
    <xf numFmtId="0" fontId="0" fillId="2" borderId="26" xfId="0" applyFill="1" applyBorder="1"/>
    <xf numFmtId="174" fontId="0" fillId="0" borderId="15" xfId="0" applyNumberFormat="1" applyBorder="1" applyAlignment="1">
      <alignment horizontal="center" vertical="center"/>
    </xf>
    <xf numFmtId="174" fontId="0" fillId="14" borderId="15" xfId="0" applyNumberFormat="1" applyFill="1" applyBorder="1" applyAlignment="1">
      <alignment horizontal="center" vertical="center"/>
    </xf>
    <xf numFmtId="175" fontId="0" fillId="14" borderId="15" xfId="0" applyNumberFormat="1" applyFill="1" applyBorder="1" applyAlignment="1">
      <alignment horizontal="center" vertical="center"/>
    </xf>
    <xf numFmtId="174" fontId="0" fillId="14" borderId="15" xfId="0" applyNumberFormat="1" applyFill="1" applyBorder="1" applyAlignment="1">
      <alignment horizontal="center"/>
    </xf>
    <xf numFmtId="3" fontId="0" fillId="14" borderId="15" xfId="0" applyNumberFormat="1" applyFill="1" applyBorder="1" applyAlignment="1">
      <alignment horizontal="center" vertical="center"/>
    </xf>
    <xf numFmtId="0" fontId="0" fillId="3" borderId="33" xfId="0" applyFill="1" applyBorder="1" applyAlignment="1">
      <alignment horizontal="center" vertical="center"/>
    </xf>
    <xf numFmtId="0" fontId="0" fillId="14" borderId="24" xfId="0" applyFill="1" applyBorder="1" applyAlignment="1">
      <alignment horizontal="center" vertical="center"/>
    </xf>
    <xf numFmtId="174" fontId="0" fillId="0" borderId="7" xfId="0" applyNumberForma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6" borderId="0" xfId="0" applyFill="1" applyAlignment="1">
      <alignment horizontal="center"/>
    </xf>
    <xf numFmtId="0" fontId="0" fillId="6" borderId="47" xfId="0" applyFill="1" applyBorder="1" applyAlignment="1">
      <alignment horizontal="center"/>
    </xf>
    <xf numFmtId="0" fontId="0" fillId="14" borderId="15" xfId="0" applyFill="1" applyBorder="1" applyAlignment="1">
      <alignment horizontal="center"/>
    </xf>
    <xf numFmtId="0" fontId="0" fillId="14" borderId="15" xfId="0" applyFill="1" applyBorder="1" applyAlignment="1">
      <alignment horizontal="center" vertical="center"/>
    </xf>
    <xf numFmtId="4" fontId="0" fillId="3" borderId="15" xfId="1" applyNumberFormat="1" applyFont="1" applyFill="1" applyBorder="1" applyAlignment="1" applyProtection="1">
      <alignment horizontal="center" vertical="center"/>
      <protection locked="0"/>
    </xf>
    <xf numFmtId="4" fontId="1" fillId="0" borderId="15" xfId="1" applyNumberFormat="1" applyBorder="1" applyAlignment="1">
      <alignment horizontal="center" vertical="center"/>
    </xf>
    <xf numFmtId="0" fontId="11" fillId="6" borderId="15" xfId="0" applyFont="1" applyFill="1" applyBorder="1" applyAlignment="1">
      <alignment horizontal="center" vertical="center"/>
    </xf>
    <xf numFmtId="0" fontId="25" fillId="0" borderId="0" xfId="0" applyFont="1" applyAlignment="1">
      <alignment vertical="center"/>
    </xf>
    <xf numFmtId="4" fontId="0" fillId="0" borderId="7" xfId="0" applyNumberFormat="1" applyBorder="1" applyAlignment="1">
      <alignment horizontal="center" vertical="center"/>
    </xf>
    <xf numFmtId="0" fontId="0" fillId="4" borderId="15" xfId="0" applyFill="1" applyBorder="1" applyAlignment="1">
      <alignment horizontal="center" vertical="center"/>
    </xf>
    <xf numFmtId="0" fontId="0" fillId="4" borderId="16" xfId="0" applyFill="1" applyBorder="1" applyAlignment="1">
      <alignment horizontal="center" vertical="center"/>
    </xf>
    <xf numFmtId="0" fontId="0" fillId="0" borderId="7" xfId="0" applyBorder="1" applyAlignment="1">
      <alignment horizontal="center"/>
    </xf>
    <xf numFmtId="4" fontId="0" fillId="0" borderId="7" xfId="0" applyNumberFormat="1" applyBorder="1" applyAlignment="1">
      <alignment horizontal="center"/>
    </xf>
    <xf numFmtId="0" fontId="0" fillId="0" borderId="8" xfId="0" applyBorder="1" applyAlignment="1">
      <alignment horizontal="center"/>
    </xf>
    <xf numFmtId="4" fontId="0" fillId="0" borderId="31" xfId="1" applyNumberFormat="1" applyFont="1" applyBorder="1" applyAlignment="1">
      <alignment horizontal="center" vertical="center"/>
    </xf>
    <xf numFmtId="4" fontId="0" fillId="3" borderId="7" xfId="1" applyNumberFormat="1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13" fillId="10" borderId="46" xfId="0" applyFont="1" applyFill="1" applyBorder="1" applyAlignment="1">
      <alignment vertical="center"/>
    </xf>
    <xf numFmtId="0" fontId="13" fillId="10" borderId="0" xfId="0" applyFont="1" applyFill="1" applyAlignment="1">
      <alignment vertical="center"/>
    </xf>
    <xf numFmtId="166" fontId="4" fillId="3" borderId="15" xfId="0" applyNumberFormat="1" applyFont="1" applyFill="1" applyBorder="1" applyAlignment="1">
      <alignment horizontal="center" vertical="center"/>
    </xf>
    <xf numFmtId="175" fontId="0" fillId="0" borderId="15" xfId="0" applyNumberFormat="1" applyBorder="1" applyAlignment="1">
      <alignment horizontal="center" vertical="center"/>
    </xf>
    <xf numFmtId="166" fontId="4" fillId="3" borderId="31" xfId="0" applyNumberFormat="1" applyFont="1" applyFill="1" applyBorder="1" applyAlignment="1">
      <alignment horizontal="center" vertical="center"/>
    </xf>
    <xf numFmtId="4" fontId="0" fillId="3" borderId="6" xfId="1" applyNumberFormat="1" applyFont="1" applyFill="1" applyBorder="1" applyAlignment="1">
      <alignment horizontal="center" vertical="center"/>
    </xf>
    <xf numFmtId="4" fontId="12" fillId="10" borderId="0" xfId="1" applyNumberFormat="1" applyFont="1" applyFill="1" applyAlignment="1">
      <alignment vertical="center"/>
    </xf>
    <xf numFmtId="4" fontId="0" fillId="10" borderId="0" xfId="0" applyNumberFormat="1" applyFill="1"/>
    <xf numFmtId="0" fontId="25" fillId="10" borderId="0" xfId="0" applyFont="1" applyFill="1" applyAlignment="1">
      <alignment vertical="center"/>
    </xf>
    <xf numFmtId="0" fontId="0" fillId="0" borderId="29" xfId="0" applyBorder="1"/>
    <xf numFmtId="178" fontId="0" fillId="0" borderId="15" xfId="0" applyNumberFormat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4" fontId="0" fillId="3" borderId="34" xfId="1" applyNumberFormat="1" applyFont="1" applyFill="1" applyBorder="1" applyAlignment="1">
      <alignment horizontal="center" vertical="center"/>
    </xf>
    <xf numFmtId="4" fontId="0" fillId="3" borderId="38" xfId="1" applyNumberFormat="1" applyFont="1" applyFill="1" applyBorder="1" applyAlignment="1">
      <alignment horizontal="center" vertical="center"/>
    </xf>
    <xf numFmtId="0" fontId="0" fillId="3" borderId="34" xfId="0" applyFill="1" applyBorder="1" applyAlignment="1">
      <alignment horizontal="center" vertical="center"/>
    </xf>
    <xf numFmtId="0" fontId="0" fillId="3" borderId="30" xfId="0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4" fontId="4" fillId="5" borderId="29" xfId="0" applyNumberFormat="1" applyFont="1" applyFill="1" applyBorder="1" applyAlignment="1">
      <alignment horizontal="center" vertical="center"/>
    </xf>
    <xf numFmtId="4" fontId="4" fillId="5" borderId="20" xfId="0" applyNumberFormat="1" applyFont="1" applyFill="1" applyBorder="1" applyAlignment="1">
      <alignment horizontal="center" vertical="center"/>
    </xf>
    <xf numFmtId="0" fontId="3" fillId="4" borderId="20" xfId="0" applyFont="1" applyFill="1" applyBorder="1" applyAlignment="1">
      <alignment horizontal="center" vertical="center"/>
    </xf>
    <xf numFmtId="0" fontId="3" fillId="12" borderId="26" xfId="0" applyFont="1" applyFill="1" applyBorder="1"/>
    <xf numFmtId="0" fontId="3" fillId="12" borderId="29" xfId="0" applyFont="1" applyFill="1" applyBorder="1"/>
    <xf numFmtId="0" fontId="0" fillId="3" borderId="15" xfId="0" applyFill="1" applyBorder="1" applyAlignment="1">
      <alignment horizontal="center" vertical="center"/>
    </xf>
    <xf numFmtId="0" fontId="0" fillId="0" borderId="20" xfId="0" applyBorder="1"/>
    <xf numFmtId="173" fontId="0" fillId="3" borderId="29" xfId="1" applyNumberFormat="1" applyFont="1" applyFill="1" applyBorder="1" applyAlignment="1">
      <alignment vertical="center"/>
    </xf>
    <xf numFmtId="169" fontId="0" fillId="0" borderId="29" xfId="0" applyNumberFormat="1" applyBorder="1"/>
    <xf numFmtId="4" fontId="0" fillId="0" borderId="29" xfId="1" applyNumberFormat="1" applyFont="1" applyBorder="1" applyAlignment="1">
      <alignment vertical="center"/>
    </xf>
    <xf numFmtId="173" fontId="20" fillId="2" borderId="15" xfId="0" applyNumberFormat="1" applyFont="1" applyFill="1" applyBorder="1" applyAlignment="1">
      <alignment horizontal="center" vertical="center"/>
    </xf>
    <xf numFmtId="0" fontId="3" fillId="4" borderId="29" xfId="0" applyFont="1" applyFill="1" applyBorder="1" applyAlignment="1">
      <alignment vertical="center"/>
    </xf>
    <xf numFmtId="4" fontId="0" fillId="3" borderId="15" xfId="0" applyNumberFormat="1" applyFill="1" applyBorder="1" applyAlignment="1">
      <alignment horizontal="center"/>
    </xf>
    <xf numFmtId="177" fontId="0" fillId="0" borderId="15" xfId="1" applyNumberFormat="1" applyFont="1" applyBorder="1" applyAlignment="1" applyProtection="1">
      <alignment horizontal="center" vertical="center"/>
      <protection locked="0"/>
    </xf>
    <xf numFmtId="169" fontId="0" fillId="2" borderId="15" xfId="1" applyNumberFormat="1" applyFont="1" applyFill="1" applyBorder="1" applyAlignment="1" applyProtection="1">
      <alignment horizontal="center" vertical="center"/>
      <protection locked="0"/>
    </xf>
    <xf numFmtId="10" fontId="0" fillId="2" borderId="15" xfId="1" applyNumberFormat="1" applyFont="1" applyFill="1" applyBorder="1" applyAlignment="1" applyProtection="1">
      <alignment horizontal="center" vertical="center"/>
      <protection locked="0"/>
    </xf>
    <xf numFmtId="169" fontId="0" fillId="10" borderId="15" xfId="1" applyNumberFormat="1" applyFont="1" applyFill="1" applyBorder="1" applyAlignment="1">
      <alignment horizontal="center" vertical="center"/>
    </xf>
    <xf numFmtId="178" fontId="0" fillId="3" borderId="15" xfId="0" applyNumberFormat="1" applyFill="1" applyBorder="1" applyAlignment="1">
      <alignment horizontal="center" vertical="center"/>
    </xf>
    <xf numFmtId="4" fontId="19" fillId="0" borderId="15" xfId="1" applyNumberFormat="1" applyFont="1" applyBorder="1" applyAlignment="1">
      <alignment horizontal="center" vertical="center"/>
    </xf>
    <xf numFmtId="4" fontId="0" fillId="3" borderId="8" xfId="1" applyNumberFormat="1" applyFont="1" applyFill="1" applyBorder="1" applyAlignment="1">
      <alignment horizontal="center" vertical="center"/>
    </xf>
    <xf numFmtId="0" fontId="3" fillId="3" borderId="33" xfId="0" applyFont="1" applyFill="1" applyBorder="1" applyAlignment="1">
      <alignment horizontal="center" vertical="center"/>
    </xf>
    <xf numFmtId="0" fontId="3" fillId="3" borderId="34" xfId="0" applyFont="1" applyFill="1" applyBorder="1" applyAlignment="1">
      <alignment horizontal="center" vertical="center"/>
    </xf>
    <xf numFmtId="0" fontId="13" fillId="10" borderId="43" xfId="0" applyFont="1" applyFill="1" applyBorder="1" applyAlignment="1">
      <alignment horizontal="center" vertical="center"/>
    </xf>
    <xf numFmtId="0" fontId="3" fillId="10" borderId="49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center" vertical="center"/>
    </xf>
    <xf numFmtId="2" fontId="4" fillId="10" borderId="22" xfId="0" applyNumberFormat="1" applyFont="1" applyFill="1" applyBorder="1" applyAlignment="1">
      <alignment horizontal="center" vertical="center"/>
    </xf>
    <xf numFmtId="2" fontId="4" fillId="10" borderId="24" xfId="0" applyNumberFormat="1" applyFont="1" applyFill="1" applyBorder="1" applyAlignment="1">
      <alignment horizontal="center" vertical="center"/>
    </xf>
    <xf numFmtId="2" fontId="4" fillId="10" borderId="20" xfId="0" applyNumberFormat="1" applyFont="1" applyFill="1" applyBorder="1" applyAlignment="1">
      <alignment horizontal="center" vertical="center"/>
    </xf>
    <xf numFmtId="0" fontId="0" fillId="0" borderId="67" xfId="0" applyBorder="1" applyAlignment="1">
      <alignment horizontal="center" vertical="center"/>
    </xf>
    <xf numFmtId="0" fontId="0" fillId="0" borderId="24" xfId="0" applyBorder="1"/>
    <xf numFmtId="0" fontId="0" fillId="0" borderId="52" xfId="0" applyBorder="1"/>
    <xf numFmtId="0" fontId="0" fillId="8" borderId="15" xfId="0" applyFill="1" applyBorder="1" applyAlignment="1">
      <alignment horizontal="center"/>
    </xf>
    <xf numFmtId="0" fontId="0" fillId="8" borderId="15" xfId="0" applyFill="1" applyBorder="1" applyAlignment="1">
      <alignment horizontal="center" vertical="center"/>
    </xf>
    <xf numFmtId="0" fontId="18" fillId="3" borderId="20" xfId="0" applyFont="1" applyFill="1" applyBorder="1" applyAlignment="1">
      <alignment vertical="center"/>
    </xf>
    <xf numFmtId="0" fontId="18" fillId="3" borderId="21" xfId="0" applyFont="1" applyFill="1" applyBorder="1" applyAlignment="1">
      <alignment vertical="center"/>
    </xf>
    <xf numFmtId="0" fontId="0" fillId="0" borderId="15" xfId="0" applyBorder="1" applyAlignment="1">
      <alignment horizontal="center" wrapText="1"/>
    </xf>
    <xf numFmtId="0" fontId="0" fillId="0" borderId="15" xfId="0" applyBorder="1" applyAlignment="1">
      <alignment horizontal="center" vertical="center" wrapText="1"/>
    </xf>
    <xf numFmtId="4" fontId="12" fillId="0" borderId="15" xfId="1" applyNumberFormat="1" applyFont="1" applyBorder="1" applyAlignment="1">
      <alignment vertical="center"/>
    </xf>
    <xf numFmtId="0" fontId="0" fillId="0" borderId="70" xfId="0" applyBorder="1" applyAlignment="1">
      <alignment horizontal="center" vertical="center"/>
    </xf>
    <xf numFmtId="4" fontId="0" fillId="3" borderId="10" xfId="1" applyNumberFormat="1" applyFont="1" applyFill="1" applyBorder="1" applyAlignment="1">
      <alignment horizontal="center" vertical="center"/>
    </xf>
    <xf numFmtId="4" fontId="12" fillId="3" borderId="15" xfId="1" applyNumberFormat="1" applyFont="1" applyFill="1" applyBorder="1" applyAlignment="1">
      <alignment vertical="center"/>
    </xf>
    <xf numFmtId="0" fontId="18" fillId="0" borderId="15" xfId="0" applyFont="1" applyBorder="1" applyAlignment="1">
      <alignment vertical="center"/>
    </xf>
    <xf numFmtId="4" fontId="0" fillId="0" borderId="15" xfId="1" applyNumberFormat="1" applyFont="1" applyBorder="1" applyAlignment="1">
      <alignment horizontal="center" vertical="center" wrapText="1"/>
    </xf>
    <xf numFmtId="4" fontId="2" fillId="0" borderId="15" xfId="1" applyNumberFormat="1" applyFont="1" applyBorder="1" applyAlignment="1">
      <alignment horizontal="center" vertical="center" wrapText="1"/>
    </xf>
    <xf numFmtId="0" fontId="14" fillId="0" borderId="15" xfId="0" applyFont="1" applyBorder="1" applyAlignment="1" applyProtection="1">
      <alignment vertical="center"/>
      <protection locked="0"/>
    </xf>
    <xf numFmtId="171" fontId="0" fillId="0" borderId="15" xfId="1" applyNumberFormat="1" applyFont="1" applyBorder="1" applyAlignment="1">
      <alignment horizontal="center" vertical="center"/>
    </xf>
    <xf numFmtId="4" fontId="4" fillId="0" borderId="15" xfId="1" applyNumberFormat="1" applyFont="1" applyBorder="1" applyAlignment="1">
      <alignment vertical="center"/>
    </xf>
    <xf numFmtId="4" fontId="19" fillId="0" borderId="15" xfId="1" applyNumberFormat="1" applyFont="1" applyBorder="1" applyAlignment="1">
      <alignment vertical="center"/>
    </xf>
    <xf numFmtId="0" fontId="23" fillId="0" borderId="15" xfId="0" applyFont="1" applyBorder="1" applyAlignment="1">
      <alignment horizontal="center" vertical="center"/>
    </xf>
    <xf numFmtId="0" fontId="2" fillId="0" borderId="15" xfId="0" applyFont="1" applyBorder="1" applyAlignment="1" applyProtection="1">
      <alignment vertical="center"/>
      <protection locked="0"/>
    </xf>
    <xf numFmtId="4" fontId="4" fillId="0" borderId="15" xfId="0" applyNumberFormat="1" applyFont="1" applyBorder="1" applyAlignment="1">
      <alignment vertical="center"/>
    </xf>
    <xf numFmtId="0" fontId="18" fillId="10" borderId="15" xfId="0" applyFont="1" applyFill="1" applyBorder="1" applyAlignment="1">
      <alignment vertical="center"/>
    </xf>
    <xf numFmtId="4" fontId="0" fillId="10" borderId="15" xfId="0" applyNumberFormat="1" applyFill="1" applyBorder="1"/>
    <xf numFmtId="4" fontId="0" fillId="10" borderId="15" xfId="1" applyNumberFormat="1" applyFont="1" applyFill="1" applyBorder="1" applyAlignment="1">
      <alignment horizontal="center" vertical="center" wrapText="1"/>
    </xf>
    <xf numFmtId="4" fontId="0" fillId="10" borderId="15" xfId="1" applyNumberFormat="1" applyFont="1" applyFill="1" applyBorder="1" applyAlignment="1" applyProtection="1">
      <alignment horizontal="center" vertical="center"/>
      <protection locked="0"/>
    </xf>
    <xf numFmtId="0" fontId="2" fillId="10" borderId="15" xfId="0" applyFont="1" applyFill="1" applyBorder="1" applyAlignment="1" applyProtection="1">
      <alignment vertical="center"/>
      <protection locked="0"/>
    </xf>
    <xf numFmtId="4" fontId="0" fillId="10" borderId="29" xfId="1" applyNumberFormat="1" applyFont="1" applyFill="1" applyBorder="1" applyAlignment="1">
      <alignment horizontal="center" vertical="center"/>
    </xf>
    <xf numFmtId="0" fontId="18" fillId="10" borderId="29" xfId="0" applyFont="1" applyFill="1" applyBorder="1" applyAlignment="1">
      <alignment vertical="center"/>
    </xf>
    <xf numFmtId="4" fontId="0" fillId="10" borderId="29" xfId="1" applyNumberFormat="1" applyFont="1" applyFill="1" applyBorder="1" applyAlignment="1">
      <alignment vertical="center"/>
    </xf>
    <xf numFmtId="4" fontId="2" fillId="10" borderId="29" xfId="1" applyNumberFormat="1" applyFont="1" applyFill="1" applyBorder="1" applyAlignment="1">
      <alignment horizontal="center" vertical="center"/>
    </xf>
    <xf numFmtId="0" fontId="14" fillId="10" borderId="29" xfId="0" applyFont="1" applyFill="1" applyBorder="1" applyAlignment="1" applyProtection="1">
      <alignment vertical="center"/>
      <protection locked="0"/>
    </xf>
    <xf numFmtId="171" fontId="0" fillId="10" borderId="29" xfId="1" applyNumberFormat="1" applyFont="1" applyFill="1" applyBorder="1" applyAlignment="1">
      <alignment horizontal="center" vertical="center"/>
    </xf>
    <xf numFmtId="4" fontId="0" fillId="3" borderId="10" xfId="1" applyNumberFormat="1" applyFont="1" applyFill="1" applyBorder="1" applyAlignment="1" applyProtection="1">
      <alignment horizontal="center" vertical="center"/>
      <protection locked="0"/>
    </xf>
    <xf numFmtId="4" fontId="0" fillId="3" borderId="10" xfId="1" applyNumberFormat="1" applyFont="1" applyFill="1" applyBorder="1" applyAlignment="1">
      <alignment vertical="center"/>
    </xf>
    <xf numFmtId="4" fontId="0" fillId="3" borderId="69" xfId="1" applyNumberFormat="1" applyFont="1" applyFill="1" applyBorder="1" applyAlignment="1">
      <alignment vertical="center"/>
    </xf>
    <xf numFmtId="4" fontId="0" fillId="3" borderId="43" xfId="1" applyNumberFormat="1" applyFont="1" applyFill="1" applyBorder="1" applyAlignment="1">
      <alignment vertical="center"/>
    </xf>
    <xf numFmtId="4" fontId="0" fillId="3" borderId="44" xfId="1" applyNumberFormat="1" applyFont="1" applyFill="1" applyBorder="1" applyAlignment="1">
      <alignment vertical="center"/>
    </xf>
    <xf numFmtId="4" fontId="0" fillId="10" borderId="20" xfId="1" applyNumberFormat="1" applyFont="1" applyFill="1" applyBorder="1" applyAlignment="1">
      <alignment horizontal="center" vertical="center"/>
    </xf>
    <xf numFmtId="4" fontId="2" fillId="0" borderId="15" xfId="5" applyNumberFormat="1" applyBorder="1" applyAlignment="1">
      <alignment horizontal="center" vertical="center" wrapText="1"/>
    </xf>
    <xf numFmtId="0" fontId="14" fillId="0" borderId="15" xfId="0" applyFont="1" applyBorder="1" applyAlignment="1">
      <alignment horizontal="center" vertical="center"/>
    </xf>
    <xf numFmtId="14" fontId="14" fillId="0" borderId="15" xfId="0" applyNumberFormat="1" applyFont="1" applyBorder="1" applyAlignment="1" applyProtection="1">
      <alignment horizontal="center" vertical="center"/>
      <protection locked="0"/>
    </xf>
    <xf numFmtId="2" fontId="14" fillId="0" borderId="15" xfId="0" applyNumberFormat="1" applyFont="1" applyBorder="1" applyAlignment="1">
      <alignment horizontal="center" vertical="center" wrapText="1"/>
    </xf>
    <xf numFmtId="4" fontId="2" fillId="0" borderId="15" xfId="5" applyNumberFormat="1" applyBorder="1" applyAlignment="1" applyProtection="1">
      <alignment horizontal="center" vertical="center" wrapText="1"/>
      <protection locked="0"/>
    </xf>
    <xf numFmtId="2" fontId="14" fillId="0" borderId="15" xfId="5" applyNumberFormat="1" applyFont="1" applyBorder="1" applyAlignment="1">
      <alignment horizontal="center" vertical="center" wrapText="1"/>
    </xf>
    <xf numFmtId="4" fontId="2" fillId="0" borderId="29" xfId="5" applyNumberFormat="1" applyBorder="1" applyAlignment="1">
      <alignment horizontal="center" vertical="center" wrapText="1"/>
    </xf>
    <xf numFmtId="0" fontId="14" fillId="3" borderId="20" xfId="0" applyFont="1" applyFill="1" applyBorder="1" applyAlignment="1">
      <alignment horizontal="center" vertical="center" wrapText="1"/>
    </xf>
    <xf numFmtId="1" fontId="14" fillId="0" borderId="13" xfId="0" applyNumberFormat="1" applyFont="1" applyBorder="1" applyAlignment="1">
      <alignment horizontal="center" vertical="center"/>
    </xf>
    <xf numFmtId="1" fontId="2" fillId="0" borderId="13" xfId="0" applyNumberFormat="1" applyFont="1" applyBorder="1" applyAlignment="1">
      <alignment horizontal="center" vertical="center"/>
    </xf>
    <xf numFmtId="4" fontId="0" fillId="3" borderId="40" xfId="1" applyNumberFormat="1" applyFont="1" applyFill="1" applyBorder="1" applyAlignment="1" applyProtection="1">
      <alignment horizontal="center" vertical="center"/>
      <protection locked="0"/>
    </xf>
    <xf numFmtId="2" fontId="15" fillId="4" borderId="0" xfId="0" applyNumberFormat="1" applyFont="1" applyFill="1" applyAlignment="1">
      <alignment vertical="center"/>
    </xf>
    <xf numFmtId="4" fontId="14" fillId="3" borderId="0" xfId="0" applyNumberFormat="1" applyFont="1" applyFill="1" applyAlignment="1">
      <alignment horizontal="center" vertical="center" wrapText="1"/>
    </xf>
    <xf numFmtId="1" fontId="15" fillId="4" borderId="19" xfId="0" applyNumberFormat="1" applyFont="1" applyFill="1" applyBorder="1" applyAlignment="1">
      <alignment vertical="center"/>
    </xf>
    <xf numFmtId="2" fontId="15" fillId="4" borderId="47" xfId="0" applyNumberFormat="1" applyFont="1" applyFill="1" applyBorder="1" applyAlignment="1">
      <alignment vertical="center"/>
    </xf>
    <xf numFmtId="2" fontId="14" fillId="0" borderId="16" xfId="0" applyNumberFormat="1" applyFont="1" applyBorder="1" applyAlignment="1">
      <alignment horizontal="center" vertical="center" wrapText="1"/>
    </xf>
    <xf numFmtId="1" fontId="14" fillId="13" borderId="9" xfId="0" applyNumberFormat="1" applyFont="1" applyFill="1" applyBorder="1" applyAlignment="1">
      <alignment horizontal="center" vertical="center" wrapText="1"/>
    </xf>
    <xf numFmtId="0" fontId="14" fillId="3" borderId="13" xfId="0" applyFont="1" applyFill="1" applyBorder="1" applyAlignment="1">
      <alignment horizontal="center" vertical="center" wrapText="1"/>
    </xf>
    <xf numFmtId="4" fontId="14" fillId="3" borderId="47" xfId="0" applyNumberFormat="1" applyFont="1" applyFill="1" applyBorder="1" applyAlignment="1">
      <alignment horizontal="center" vertical="center" wrapText="1"/>
    </xf>
    <xf numFmtId="0" fontId="2" fillId="0" borderId="13" xfId="0" applyFont="1" applyBorder="1" applyAlignment="1" applyProtection="1">
      <alignment horizontal="center" vertical="center" wrapText="1"/>
      <protection locked="0"/>
    </xf>
    <xf numFmtId="4" fontId="2" fillId="0" borderId="16" xfId="5" applyNumberFormat="1" applyBorder="1" applyAlignment="1">
      <alignment horizontal="center" vertical="center" wrapText="1"/>
    </xf>
    <xf numFmtId="0" fontId="2" fillId="10" borderId="48" xfId="0" applyFont="1" applyFill="1" applyBorder="1" applyAlignment="1" applyProtection="1">
      <alignment vertical="center" wrapText="1"/>
      <protection locked="0"/>
    </xf>
    <xf numFmtId="0" fontId="2" fillId="10" borderId="49" xfId="0" applyFont="1" applyFill="1" applyBorder="1" applyAlignment="1" applyProtection="1">
      <alignment vertical="center" wrapText="1"/>
      <protection locked="0"/>
    </xf>
    <xf numFmtId="4" fontId="2" fillId="10" borderId="49" xfId="5" applyNumberFormat="1" applyFill="1" applyBorder="1" applyAlignment="1">
      <alignment vertical="center" wrapText="1"/>
    </xf>
    <xf numFmtId="4" fontId="2" fillId="10" borderId="50" xfId="5" applyNumberFormat="1" applyFill="1" applyBorder="1" applyAlignment="1">
      <alignment vertical="center" wrapText="1"/>
    </xf>
    <xf numFmtId="4" fontId="14" fillId="3" borderId="29" xfId="0" applyNumberFormat="1" applyFont="1" applyFill="1" applyBorder="1" applyAlignment="1">
      <alignment horizontal="center" vertical="center" wrapText="1"/>
    </xf>
    <xf numFmtId="4" fontId="27" fillId="4" borderId="29" xfId="5" applyNumberFormat="1" applyFont="1" applyFill="1" applyBorder="1" applyAlignment="1">
      <alignment horizontal="center" vertical="center" wrapText="1"/>
    </xf>
    <xf numFmtId="0" fontId="3" fillId="10" borderId="10" xfId="0" applyFont="1" applyFill="1" applyBorder="1" applyAlignment="1">
      <alignment horizontal="center"/>
    </xf>
    <xf numFmtId="0" fontId="3" fillId="10" borderId="11" xfId="0" applyFont="1" applyFill="1" applyBorder="1" applyAlignment="1">
      <alignment horizontal="center"/>
    </xf>
    <xf numFmtId="2" fontId="15" fillId="4" borderId="46" xfId="0" applyNumberFormat="1" applyFont="1" applyFill="1" applyBorder="1" applyAlignment="1">
      <alignment vertical="center"/>
    </xf>
    <xf numFmtId="2" fontId="14" fillId="0" borderId="13" xfId="0" applyNumberFormat="1" applyFont="1" applyBorder="1" applyAlignment="1">
      <alignment horizontal="center" vertical="center" wrapText="1"/>
    </xf>
    <xf numFmtId="4" fontId="14" fillId="3" borderId="46" xfId="0" applyNumberFormat="1" applyFont="1" applyFill="1" applyBorder="1" applyAlignment="1">
      <alignment horizontal="center" vertical="center" wrapText="1"/>
    </xf>
    <xf numFmtId="4" fontId="2" fillId="0" borderId="13" xfId="5" applyNumberFormat="1" applyBorder="1" applyAlignment="1">
      <alignment horizontal="center" vertical="center" wrapText="1"/>
    </xf>
    <xf numFmtId="4" fontId="2" fillId="10" borderId="48" xfId="5" applyNumberFormat="1" applyFill="1" applyBorder="1" applyAlignment="1">
      <alignment vertical="center" wrapText="1"/>
    </xf>
    <xf numFmtId="9" fontId="2" fillId="0" borderId="15" xfId="4" applyFont="1" applyBorder="1" applyAlignment="1">
      <alignment horizontal="center" vertical="center" wrapText="1"/>
    </xf>
    <xf numFmtId="0" fontId="0" fillId="0" borderId="0" xfId="0" applyAlignment="1">
      <alignment horizontal="left"/>
    </xf>
    <xf numFmtId="4" fontId="2" fillId="0" borderId="0" xfId="5" applyNumberFormat="1" applyAlignment="1">
      <alignment horizontal="left" vertical="center" wrapText="1"/>
    </xf>
    <xf numFmtId="4" fontId="0" fillId="3" borderId="40" xfId="1" applyNumberFormat="1" applyFont="1" applyFill="1" applyBorder="1" applyAlignment="1">
      <alignment horizontal="center" vertical="center"/>
    </xf>
    <xf numFmtId="9" fontId="0" fillId="0" borderId="15" xfId="4" applyFont="1" applyBorder="1" applyAlignment="1">
      <alignment horizontal="center" vertical="center"/>
    </xf>
    <xf numFmtId="4" fontId="0" fillId="0" borderId="0" xfId="1" applyNumberFormat="1" applyFont="1" applyAlignment="1" applyProtection="1">
      <alignment horizontal="center" vertical="center"/>
      <protection locked="0"/>
    </xf>
    <xf numFmtId="4" fontId="0" fillId="0" borderId="47" xfId="1" applyNumberFormat="1" applyFont="1" applyBorder="1" applyAlignment="1">
      <alignment horizontal="center" vertical="center"/>
    </xf>
    <xf numFmtId="4" fontId="0" fillId="0" borderId="47" xfId="1" applyNumberFormat="1" applyFont="1" applyBorder="1" applyAlignment="1" applyProtection="1">
      <alignment horizontal="center" vertical="center"/>
      <protection locked="0"/>
    </xf>
    <xf numFmtId="4" fontId="0" fillId="0" borderId="49" xfId="1" applyNumberFormat="1" applyFont="1" applyBorder="1" applyAlignment="1" applyProtection="1">
      <alignment horizontal="center" vertical="center"/>
      <protection locked="0"/>
    </xf>
    <xf numFmtId="4" fontId="0" fillId="0" borderId="50" xfId="1" applyNumberFormat="1" applyFont="1" applyBorder="1" applyAlignment="1" applyProtection="1">
      <alignment horizontal="center" vertical="center"/>
      <protection locked="0"/>
    </xf>
    <xf numFmtId="3" fontId="0" fillId="4" borderId="15" xfId="1" applyNumberFormat="1" applyFont="1" applyFill="1" applyBorder="1" applyAlignment="1">
      <alignment horizontal="center" vertical="center"/>
    </xf>
    <xf numFmtId="3" fontId="0" fillId="4" borderId="16" xfId="1" applyNumberFormat="1" applyFont="1" applyFill="1" applyBorder="1" applyAlignment="1">
      <alignment horizontal="center" vertical="center"/>
    </xf>
    <xf numFmtId="4" fontId="0" fillId="0" borderId="46" xfId="0" applyNumberFormat="1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32" fillId="0" borderId="0" xfId="0" applyFont="1" applyAlignment="1">
      <alignment vertical="center"/>
    </xf>
    <xf numFmtId="0" fontId="0" fillId="0" borderId="0" xfId="0" applyAlignment="1">
      <alignment horizontal="left" vertical="center"/>
    </xf>
    <xf numFmtId="10" fontId="35" fillId="0" borderId="0" xfId="4" applyNumberFormat="1" applyFont="1" applyAlignment="1">
      <alignment horizontal="center" vertical="center"/>
    </xf>
    <xf numFmtId="0" fontId="0" fillId="3" borderId="31" xfId="0" applyFill="1" applyBorder="1" applyAlignment="1">
      <alignment horizontal="center" vertical="center"/>
    </xf>
    <xf numFmtId="0" fontId="32" fillId="6" borderId="48" xfId="0" applyFont="1" applyFill="1" applyBorder="1" applyAlignment="1">
      <alignment horizontal="center" vertical="center"/>
    </xf>
    <xf numFmtId="172" fontId="0" fillId="3" borderId="31" xfId="0" applyNumberFormat="1" applyFill="1" applyBorder="1" applyAlignment="1">
      <alignment horizontal="center"/>
    </xf>
    <xf numFmtId="9" fontId="27" fillId="4" borderId="15" xfId="4" applyFont="1" applyFill="1" applyBorder="1" applyAlignment="1">
      <alignment horizontal="center" vertical="center" wrapText="1"/>
    </xf>
    <xf numFmtId="0" fontId="27" fillId="10" borderId="13" xfId="0" applyFont="1" applyFill="1" applyBorder="1" applyAlignment="1" applyProtection="1">
      <alignment horizontal="right" vertical="center" wrapText="1" indent="3"/>
      <protection locked="0"/>
    </xf>
    <xf numFmtId="0" fontId="27" fillId="10" borderId="15" xfId="0" applyFont="1" applyFill="1" applyBorder="1" applyAlignment="1" applyProtection="1">
      <alignment horizontal="right" vertical="center" wrapText="1" indent="3"/>
      <protection locked="0"/>
    </xf>
    <xf numFmtId="4" fontId="27" fillId="10" borderId="15" xfId="5" applyNumberFormat="1" applyFont="1" applyFill="1" applyBorder="1" applyAlignment="1">
      <alignment horizontal="center" vertical="center" wrapText="1"/>
    </xf>
    <xf numFmtId="9" fontId="27" fillId="10" borderId="15" xfId="4" applyFont="1" applyFill="1" applyBorder="1" applyAlignment="1">
      <alignment horizontal="center" vertical="center" wrapText="1"/>
    </xf>
    <xf numFmtId="4" fontId="27" fillId="10" borderId="29" xfId="5" applyNumberFormat="1" applyFont="1" applyFill="1" applyBorder="1" applyAlignment="1">
      <alignment horizontal="center" vertical="center" wrapText="1"/>
    </xf>
    <xf numFmtId="4" fontId="27" fillId="4" borderId="15" xfId="4" applyNumberFormat="1" applyFont="1" applyFill="1" applyBorder="1" applyAlignment="1">
      <alignment horizontal="center" vertical="center" wrapText="1"/>
    </xf>
    <xf numFmtId="4" fontId="27" fillId="10" borderId="46" xfId="5" applyNumberFormat="1" applyFont="1" applyFill="1" applyBorder="1" applyAlignment="1">
      <alignment horizontal="center" vertical="center" wrapText="1"/>
    </xf>
    <xf numFmtId="4" fontId="27" fillId="10" borderId="0" xfId="5" applyNumberFormat="1" applyFont="1" applyFill="1" applyBorder="1" applyAlignment="1">
      <alignment horizontal="center" vertical="center" wrapText="1"/>
    </xf>
    <xf numFmtId="4" fontId="27" fillId="10" borderId="47" xfId="5" applyNumberFormat="1" applyFont="1" applyFill="1" applyBorder="1" applyAlignment="1">
      <alignment horizontal="center" vertical="center" wrapText="1"/>
    </xf>
    <xf numFmtId="0" fontId="2" fillId="10" borderId="13" xfId="0" applyFont="1" applyFill="1" applyBorder="1" applyAlignment="1" applyProtection="1">
      <alignment horizontal="center" vertical="center" wrapText="1"/>
      <protection locked="0"/>
    </xf>
    <xf numFmtId="0" fontId="2" fillId="10" borderId="15" xfId="0" applyFont="1" applyFill="1" applyBorder="1" applyAlignment="1" applyProtection="1">
      <alignment horizontal="left" vertical="center" wrapText="1"/>
      <protection locked="0"/>
    </xf>
    <xf numFmtId="0" fontId="2" fillId="10" borderId="15" xfId="0" applyFont="1" applyFill="1" applyBorder="1" applyAlignment="1" applyProtection="1">
      <alignment horizontal="center" vertical="center" wrapText="1"/>
      <protection locked="0"/>
    </xf>
    <xf numFmtId="4" fontId="16" fillId="10" borderId="15" xfId="5" applyNumberFormat="1" applyFont="1" applyFill="1" applyBorder="1" applyAlignment="1" applyProtection="1">
      <alignment horizontal="center" vertical="center" wrapText="1"/>
      <protection locked="0"/>
    </xf>
    <xf numFmtId="4" fontId="2" fillId="10" borderId="15" xfId="5" applyNumberFormat="1" applyFill="1" applyBorder="1" applyAlignment="1" applyProtection="1">
      <alignment horizontal="center" vertical="center" wrapText="1"/>
      <protection locked="0"/>
    </xf>
    <xf numFmtId="4" fontId="2" fillId="10" borderId="15" xfId="5" applyNumberFormat="1" applyFill="1" applyBorder="1" applyAlignment="1">
      <alignment horizontal="center" vertical="center" wrapText="1"/>
    </xf>
    <xf numFmtId="4" fontId="2" fillId="10" borderId="29" xfId="5" applyNumberFormat="1" applyFill="1" applyBorder="1" applyAlignment="1">
      <alignment horizontal="center" vertical="center" wrapText="1"/>
    </xf>
    <xf numFmtId="4" fontId="2" fillId="10" borderId="65" xfId="5" applyNumberFormat="1" applyFill="1" applyBorder="1" applyAlignment="1">
      <alignment horizontal="center" vertical="center" wrapText="1"/>
    </xf>
    <xf numFmtId="4" fontId="2" fillId="10" borderId="24" xfId="5" applyNumberFormat="1" applyFill="1" applyBorder="1" applyAlignment="1">
      <alignment horizontal="center" vertical="center" wrapText="1"/>
    </xf>
    <xf numFmtId="4" fontId="2" fillId="10" borderId="52" xfId="5" applyNumberFormat="1" applyFill="1" applyBorder="1" applyAlignment="1">
      <alignment horizontal="center" vertical="center" wrapText="1"/>
    </xf>
    <xf numFmtId="0" fontId="2" fillId="0" borderId="15" xfId="0" applyFont="1" applyBorder="1" applyAlignment="1">
      <alignment horizontal="center"/>
    </xf>
    <xf numFmtId="0" fontId="2" fillId="0" borderId="15" xfId="0" applyFont="1" applyBorder="1"/>
    <xf numFmtId="172" fontId="0" fillId="0" borderId="15" xfId="0" applyNumberFormat="1" applyBorder="1" applyAlignment="1">
      <alignment horizontal="center"/>
    </xf>
    <xf numFmtId="0" fontId="0" fillId="3" borderId="31" xfId="0" applyFill="1" applyBorder="1"/>
    <xf numFmtId="172" fontId="0" fillId="3" borderId="15" xfId="0" applyNumberFormat="1" applyFill="1" applyBorder="1"/>
    <xf numFmtId="172" fontId="0" fillId="3" borderId="31" xfId="0" applyNumberFormat="1" applyFill="1" applyBorder="1"/>
    <xf numFmtId="0" fontId="32" fillId="6" borderId="37" xfId="0" applyFont="1" applyFill="1" applyBorder="1" applyAlignment="1">
      <alignment vertical="center"/>
    </xf>
    <xf numFmtId="172" fontId="0" fillId="3" borderId="31" xfId="0" applyNumberFormat="1" applyFill="1" applyBorder="1" applyAlignment="1">
      <alignment horizontal="center" vertical="center"/>
    </xf>
    <xf numFmtId="4" fontId="0" fillId="0" borderId="0" xfId="0" applyNumberFormat="1" applyProtection="1">
      <protection hidden="1"/>
    </xf>
    <xf numFmtId="2" fontId="0" fillId="0" borderId="0" xfId="0" applyNumberFormat="1" applyProtection="1">
      <protection hidden="1"/>
    </xf>
    <xf numFmtId="0" fontId="0" fillId="0" borderId="0" xfId="0" applyProtection="1">
      <protection locked="0"/>
    </xf>
    <xf numFmtId="0" fontId="2" fillId="0" borderId="0" xfId="0" applyFont="1" applyAlignment="1">
      <alignment horizontal="right"/>
    </xf>
    <xf numFmtId="0" fontId="2" fillId="0" borderId="0" xfId="0" applyFont="1"/>
    <xf numFmtId="10" fontId="0" fillId="0" borderId="0" xfId="0" applyNumberFormat="1" applyProtection="1">
      <protection locked="0"/>
    </xf>
    <xf numFmtId="2" fontId="0" fillId="0" borderId="0" xfId="0" applyNumberFormat="1"/>
    <xf numFmtId="0" fontId="32" fillId="6" borderId="48" xfId="0" applyFont="1" applyFill="1" applyBorder="1" applyAlignment="1">
      <alignment vertical="center"/>
    </xf>
    <xf numFmtId="0" fontId="32" fillId="6" borderId="50" xfId="0" applyFont="1" applyFill="1" applyBorder="1" applyAlignment="1">
      <alignment vertical="center"/>
    </xf>
    <xf numFmtId="0" fontId="32" fillId="6" borderId="30" xfId="0" applyFont="1" applyFill="1" applyBorder="1" applyAlignment="1">
      <alignment horizontal="center" vertical="center"/>
    </xf>
    <xf numFmtId="4" fontId="27" fillId="4" borderId="29" xfId="5" applyNumberFormat="1" applyFont="1" applyFill="1" applyBorder="1" applyAlignment="1" applyProtection="1">
      <alignment horizontal="center" vertical="center" wrapText="1"/>
      <protection hidden="1"/>
    </xf>
    <xf numFmtId="4" fontId="0" fillId="3" borderId="15" xfId="1" applyNumberFormat="1" applyFont="1" applyFill="1" applyBorder="1" applyAlignment="1" applyProtection="1">
      <alignment horizontal="center" vertical="center"/>
      <protection hidden="1"/>
    </xf>
    <xf numFmtId="4" fontId="4" fillId="3" borderId="31" xfId="1" applyNumberFormat="1" applyFont="1" applyFill="1" applyBorder="1" applyAlignment="1" applyProtection="1">
      <alignment horizontal="center" vertical="center"/>
      <protection hidden="1"/>
    </xf>
    <xf numFmtId="4" fontId="4" fillId="3" borderId="15" xfId="1" applyNumberFormat="1" applyFont="1" applyFill="1" applyBorder="1" applyAlignment="1" applyProtection="1">
      <alignment horizontal="center" vertical="center"/>
      <protection hidden="1"/>
    </xf>
    <xf numFmtId="4" fontId="0" fillId="3" borderId="31" xfId="1" applyNumberFormat="1" applyFont="1" applyFill="1" applyBorder="1" applyAlignment="1" applyProtection="1">
      <alignment horizontal="center" vertical="center"/>
      <protection hidden="1"/>
    </xf>
    <xf numFmtId="4" fontId="0" fillId="3" borderId="10" xfId="1" applyNumberFormat="1" applyFont="1" applyFill="1" applyBorder="1" applyAlignment="1" applyProtection="1">
      <alignment horizontal="center" vertical="center"/>
      <protection hidden="1"/>
    </xf>
    <xf numFmtId="4" fontId="1" fillId="3" borderId="31" xfId="1" applyNumberFormat="1" applyFill="1" applyBorder="1" applyAlignment="1" applyProtection="1">
      <alignment horizontal="center" vertical="center"/>
      <protection hidden="1"/>
    </xf>
    <xf numFmtId="4" fontId="1" fillId="3" borderId="10" xfId="1" applyNumberFormat="1" applyFill="1" applyBorder="1" applyAlignment="1" applyProtection="1">
      <alignment horizontal="center" vertical="center"/>
      <protection hidden="1"/>
    </xf>
    <xf numFmtId="4" fontId="1" fillId="3" borderId="15" xfId="1" applyNumberFormat="1" applyFill="1" applyBorder="1" applyAlignment="1" applyProtection="1">
      <alignment horizontal="center" vertical="center"/>
      <protection hidden="1"/>
    </xf>
    <xf numFmtId="4" fontId="12" fillId="5" borderId="15" xfId="1" applyNumberFormat="1" applyFont="1" applyFill="1" applyBorder="1" applyAlignment="1" applyProtection="1">
      <alignment horizontal="center" vertical="center"/>
      <protection hidden="1"/>
    </xf>
    <xf numFmtId="4" fontId="12" fillId="5" borderId="10" xfId="1" applyNumberFormat="1" applyFont="1" applyFill="1" applyBorder="1" applyAlignment="1" applyProtection="1">
      <alignment horizontal="center" vertical="center"/>
      <protection hidden="1"/>
    </xf>
    <xf numFmtId="0" fontId="0" fillId="0" borderId="28" xfId="0" applyBorder="1" applyAlignment="1" applyProtection="1">
      <alignment horizontal="center" vertical="center"/>
      <protection locked="0"/>
    </xf>
    <xf numFmtId="0" fontId="4" fillId="0" borderId="31" xfId="0" applyFont="1" applyBorder="1" applyAlignment="1" applyProtection="1">
      <alignment horizontal="center" vertical="center"/>
      <protection locked="0"/>
    </xf>
    <xf numFmtId="0" fontId="0" fillId="0" borderId="14" xfId="0" applyBorder="1" applyAlignment="1" applyProtection="1">
      <alignment horizontal="center" vertical="center"/>
      <protection locked="0"/>
    </xf>
    <xf numFmtId="0" fontId="4" fillId="0" borderId="15" xfId="0" applyFont="1" applyBorder="1" applyAlignment="1" applyProtection="1">
      <alignment horizontal="center" vertical="center"/>
      <protection locked="0"/>
    </xf>
    <xf numFmtId="0" fontId="4" fillId="0" borderId="10" xfId="0" applyFont="1" applyBorder="1" applyAlignment="1" applyProtection="1">
      <alignment horizontal="center" vertical="center"/>
      <protection locked="0"/>
    </xf>
    <xf numFmtId="4" fontId="0" fillId="0" borderId="31" xfId="1" applyNumberFormat="1" applyFont="1" applyBorder="1" applyAlignment="1" applyProtection="1">
      <alignment horizontal="center" vertical="center"/>
      <protection locked="0"/>
    </xf>
    <xf numFmtId="2" fontId="0" fillId="0" borderId="31" xfId="0" applyNumberFormat="1" applyBorder="1" applyAlignment="1" applyProtection="1">
      <alignment horizontal="center" vertical="center"/>
      <protection locked="0"/>
    </xf>
    <xf numFmtId="175" fontId="0" fillId="0" borderId="31" xfId="0" applyNumberFormat="1" applyBorder="1" applyAlignment="1" applyProtection="1">
      <alignment horizontal="center" vertical="center"/>
      <protection locked="0"/>
    </xf>
    <xf numFmtId="2" fontId="0" fillId="0" borderId="15" xfId="0" applyNumberFormat="1" applyBorder="1" applyAlignment="1" applyProtection="1">
      <alignment horizontal="center" vertical="center"/>
      <protection locked="0"/>
    </xf>
    <xf numFmtId="175" fontId="0" fillId="0" borderId="15" xfId="0" applyNumberFormat="1" applyBorder="1" applyAlignment="1" applyProtection="1">
      <alignment horizontal="center" vertical="center"/>
      <protection locked="0"/>
    </xf>
    <xf numFmtId="4" fontId="1" fillId="0" borderId="10" xfId="1" applyNumberFormat="1" applyBorder="1" applyAlignment="1" applyProtection="1">
      <alignment horizontal="center" vertical="center"/>
      <protection locked="0"/>
    </xf>
    <xf numFmtId="4" fontId="1" fillId="0" borderId="15" xfId="1" applyNumberFormat="1" applyBorder="1" applyAlignment="1" applyProtection="1">
      <alignment horizontal="center" vertical="center"/>
      <protection locked="0"/>
    </xf>
    <xf numFmtId="3" fontId="0" fillId="0" borderId="31" xfId="1" applyNumberFormat="1" applyFont="1" applyBorder="1" applyAlignment="1" applyProtection="1">
      <alignment horizontal="center" vertical="center"/>
      <protection locked="0"/>
    </xf>
    <xf numFmtId="3" fontId="0" fillId="0" borderId="31" xfId="1" applyNumberFormat="1" applyFont="1" applyBorder="1" applyAlignment="1" applyProtection="1">
      <alignment horizontal="center" vertical="center"/>
      <protection hidden="1"/>
    </xf>
    <xf numFmtId="4" fontId="0" fillId="0" borderId="31" xfId="1" applyNumberFormat="1" applyFont="1" applyBorder="1" applyAlignment="1" applyProtection="1">
      <alignment horizontal="center" vertical="center"/>
      <protection hidden="1"/>
    </xf>
    <xf numFmtId="2" fontId="0" fillId="0" borderId="15" xfId="0" applyNumberFormat="1" applyBorder="1" applyAlignment="1">
      <alignment horizontal="center" vertical="center"/>
    </xf>
    <xf numFmtId="175" fontId="0" fillId="3" borderId="15" xfId="0" applyNumberFormat="1" applyFill="1" applyBorder="1" applyAlignment="1">
      <alignment horizontal="center" vertical="center"/>
    </xf>
    <xf numFmtId="0" fontId="14" fillId="4" borderId="15" xfId="0" applyFont="1" applyFill="1" applyBorder="1" applyAlignment="1">
      <alignment horizontal="left" vertical="center" wrapText="1"/>
    </xf>
    <xf numFmtId="4" fontId="27" fillId="4" borderId="7" xfId="5" applyNumberFormat="1" applyFont="1" applyFill="1" applyBorder="1" applyAlignment="1">
      <alignment horizontal="center" vertical="center" wrapText="1"/>
    </xf>
    <xf numFmtId="4" fontId="27" fillId="4" borderId="40" xfId="5" applyNumberFormat="1" applyFont="1" applyFill="1" applyBorder="1" applyAlignment="1">
      <alignment horizontal="center" vertical="center" wrapText="1"/>
    </xf>
    <xf numFmtId="4" fontId="27" fillId="4" borderId="31" xfId="5" applyNumberFormat="1" applyFont="1" applyFill="1" applyBorder="1" applyAlignment="1">
      <alignment horizontal="center" vertical="center" wrapText="1"/>
    </xf>
    <xf numFmtId="9" fontId="27" fillId="4" borderId="31" xfId="4" applyFont="1" applyFill="1" applyBorder="1" applyAlignment="1">
      <alignment horizontal="center" vertical="center" wrapText="1"/>
    </xf>
    <xf numFmtId="4" fontId="27" fillId="4" borderId="27" xfId="5" applyNumberFormat="1" applyFont="1" applyFill="1" applyBorder="1" applyAlignment="1" applyProtection="1">
      <alignment horizontal="center" vertical="center" wrapText="1"/>
      <protection hidden="1"/>
    </xf>
    <xf numFmtId="0" fontId="0" fillId="12" borderId="15" xfId="0" applyFill="1" applyBorder="1" applyAlignment="1">
      <alignment horizontal="center"/>
    </xf>
    <xf numFmtId="0" fontId="0" fillId="12" borderId="15" xfId="0" applyFill="1" applyBorder="1" applyAlignment="1">
      <alignment horizontal="left"/>
    </xf>
    <xf numFmtId="0" fontId="0" fillId="12" borderId="15" xfId="0" applyFill="1" applyBorder="1" applyAlignment="1">
      <alignment horizontal="left" vertical="center"/>
    </xf>
    <xf numFmtId="4" fontId="0" fillId="0" borderId="0" xfId="0" applyNumberFormat="1" applyAlignment="1">
      <alignment horizontal="center" vertical="center"/>
    </xf>
    <xf numFmtId="169" fontId="0" fillId="2" borderId="0" xfId="1" applyNumberFormat="1" applyFont="1" applyFill="1" applyBorder="1" applyAlignment="1" applyProtection="1">
      <alignment horizontal="center" vertical="center"/>
      <protection locked="0"/>
    </xf>
    <xf numFmtId="10" fontId="0" fillId="2" borderId="0" xfId="1" applyNumberFormat="1" applyFont="1" applyFill="1" applyBorder="1" applyAlignment="1" applyProtection="1">
      <alignment horizontal="center" vertical="center"/>
      <protection locked="0"/>
    </xf>
    <xf numFmtId="170" fontId="0" fillId="2" borderId="0" xfId="1" applyNumberFormat="1" applyFont="1" applyFill="1" applyBorder="1" applyAlignment="1" applyProtection="1">
      <alignment horizontal="center" vertical="center"/>
      <protection locked="0"/>
    </xf>
    <xf numFmtId="4" fontId="0" fillId="0" borderId="0" xfId="1" applyNumberFormat="1" applyFont="1" applyBorder="1" applyAlignment="1">
      <alignment horizontal="center" vertical="center"/>
    </xf>
    <xf numFmtId="4" fontId="0" fillId="0" borderId="0" xfId="1" applyNumberFormat="1" applyFont="1" applyBorder="1" applyAlignment="1" applyProtection="1">
      <alignment horizontal="center" vertical="center"/>
      <protection locked="0"/>
    </xf>
    <xf numFmtId="4" fontId="0" fillId="2" borderId="0" xfId="1" applyNumberFormat="1" applyFont="1" applyFill="1" applyBorder="1" applyAlignment="1" applyProtection="1">
      <alignment horizontal="center" vertical="center"/>
      <protection locked="0"/>
    </xf>
    <xf numFmtId="4" fontId="0" fillId="2" borderId="0" xfId="1" applyNumberFormat="1" applyFont="1" applyFill="1" applyBorder="1" applyAlignment="1">
      <alignment horizontal="center" vertical="center"/>
    </xf>
    <xf numFmtId="0" fontId="0" fillId="2" borderId="47" xfId="1" applyNumberFormat="1" applyFont="1" applyFill="1" applyBorder="1" applyAlignment="1" applyProtection="1">
      <alignment horizontal="center" vertical="center"/>
      <protection locked="0"/>
    </xf>
    <xf numFmtId="0" fontId="0" fillId="2" borderId="46" xfId="0" applyFill="1" applyBorder="1" applyAlignment="1">
      <alignment horizontal="center"/>
    </xf>
    <xf numFmtId="4" fontId="0" fillId="2" borderId="46" xfId="0" applyNumberFormat="1" applyFill="1" applyBorder="1" applyAlignment="1">
      <alignment horizontal="center"/>
    </xf>
    <xf numFmtId="0" fontId="0" fillId="2" borderId="46" xfId="0" applyFill="1" applyBorder="1" applyAlignment="1">
      <alignment horizontal="center" vertical="center"/>
    </xf>
    <xf numFmtId="3" fontId="0" fillId="0" borderId="0" xfId="1" applyNumberFormat="1" applyFont="1" applyFill="1" applyBorder="1" applyAlignment="1">
      <alignment horizontal="center" vertical="center"/>
    </xf>
    <xf numFmtId="169" fontId="0" fillId="0" borderId="0" xfId="1" applyNumberFormat="1" applyFont="1" applyFill="1" applyBorder="1" applyAlignment="1" applyProtection="1">
      <alignment horizontal="center" vertical="center"/>
      <protection locked="0"/>
    </xf>
    <xf numFmtId="10" fontId="0" fillId="0" borderId="0" xfId="1" applyNumberFormat="1" applyFont="1" applyFill="1" applyBorder="1" applyAlignment="1" applyProtection="1">
      <alignment horizontal="center" vertical="center"/>
      <protection locked="0"/>
    </xf>
    <xf numFmtId="170" fontId="0" fillId="0" borderId="0" xfId="1" applyNumberFormat="1" applyFont="1" applyFill="1" applyBorder="1" applyAlignment="1" applyProtection="1">
      <alignment horizontal="center" vertical="center"/>
      <protection locked="0"/>
    </xf>
    <xf numFmtId="0" fontId="0" fillId="0" borderId="0" xfId="1" applyNumberFormat="1" applyFont="1" applyFill="1" applyBorder="1" applyAlignment="1" applyProtection="1">
      <alignment horizontal="center" vertical="center"/>
      <protection locked="0"/>
    </xf>
    <xf numFmtId="16" fontId="0" fillId="0" borderId="0" xfId="0" applyNumberFormat="1"/>
    <xf numFmtId="16" fontId="0" fillId="0" borderId="0" xfId="0" applyNumberFormat="1" applyAlignment="1">
      <alignment horizontal="center" vertical="center"/>
    </xf>
    <xf numFmtId="184" fontId="0" fillId="3" borderId="15" xfId="0" applyNumberFormat="1" applyFill="1" applyBorder="1" applyAlignment="1">
      <alignment horizontal="center" vertical="center"/>
    </xf>
    <xf numFmtId="166" fontId="0" fillId="0" borderId="0" xfId="0" applyNumberFormat="1"/>
    <xf numFmtId="0" fontId="0" fillId="10" borderId="0" xfId="0" applyFill="1" applyAlignment="1">
      <alignment horizontal="center"/>
    </xf>
    <xf numFmtId="169" fontId="0" fillId="0" borderId="15" xfId="1" applyNumberFormat="1" applyFont="1" applyBorder="1" applyAlignment="1" applyProtection="1">
      <alignment vertical="center"/>
      <protection locked="0"/>
    </xf>
    <xf numFmtId="170" fontId="0" fillId="0" borderId="15" xfId="0" applyNumberFormat="1" applyBorder="1" applyAlignment="1">
      <alignment vertical="center"/>
    </xf>
    <xf numFmtId="0" fontId="37" fillId="18" borderId="0" xfId="0" applyFont="1" applyFill="1"/>
    <xf numFmtId="0" fontId="37" fillId="18" borderId="0" xfId="0" applyFont="1" applyFill="1" applyAlignment="1">
      <alignment horizontal="center" vertical="center"/>
    </xf>
    <xf numFmtId="0" fontId="20" fillId="0" borderId="15" xfId="0" applyFont="1" applyBorder="1" applyAlignment="1">
      <alignment horizontal="center" vertical="center"/>
    </xf>
    <xf numFmtId="0" fontId="37" fillId="18" borderId="0" xfId="0" applyFont="1" applyFill="1" applyAlignment="1">
      <alignment horizontal="center"/>
    </xf>
    <xf numFmtId="0" fontId="37" fillId="18" borderId="0" xfId="0" applyFont="1" applyFill="1" applyAlignment="1">
      <alignment vertical="center"/>
    </xf>
    <xf numFmtId="0" fontId="0" fillId="18" borderId="0" xfId="0" applyFill="1"/>
    <xf numFmtId="0" fontId="0" fillId="0" borderId="71" xfId="0" applyBorder="1" applyAlignment="1">
      <alignment horizontal="center"/>
    </xf>
    <xf numFmtId="0" fontId="39" fillId="0" borderId="15" xfId="0" applyFont="1" applyBorder="1" applyAlignment="1">
      <alignment horizontal="center" vertical="center"/>
    </xf>
    <xf numFmtId="172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 vertical="center"/>
    </xf>
    <xf numFmtId="0" fontId="3" fillId="10" borderId="62" xfId="0" applyFont="1" applyFill="1" applyBorder="1" applyAlignment="1">
      <alignment horizontal="center"/>
    </xf>
    <xf numFmtId="0" fontId="3" fillId="0" borderId="29" xfId="0" applyFont="1" applyBorder="1" applyAlignment="1">
      <alignment horizontal="left" vertical="center"/>
    </xf>
    <xf numFmtId="0" fontId="0" fillId="12" borderId="14" xfId="0" applyFill="1" applyBorder="1" applyAlignment="1">
      <alignment vertical="center"/>
    </xf>
    <xf numFmtId="0" fontId="0" fillId="12" borderId="14" xfId="0" applyFill="1" applyBorder="1"/>
    <xf numFmtId="14" fontId="0" fillId="12" borderId="14" xfId="0" applyNumberFormat="1" applyFill="1" applyBorder="1" applyAlignment="1">
      <alignment horizontal="left" vertical="center"/>
    </xf>
    <xf numFmtId="172" fontId="3" fillId="3" borderId="0" xfId="0" applyNumberFormat="1" applyFont="1" applyFill="1" applyAlignment="1">
      <alignment horizontal="center" vertical="center"/>
    </xf>
    <xf numFmtId="172" fontId="0" fillId="0" borderId="0" xfId="0" applyNumberFormat="1"/>
    <xf numFmtId="172" fontId="0" fillId="2" borderId="0" xfId="0" applyNumberForma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172" fontId="0" fillId="2" borderId="0" xfId="0" applyNumberForma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4" fontId="0" fillId="2" borderId="0" xfId="1" applyNumberFormat="1" applyFont="1" applyFill="1" applyAlignment="1" applyProtection="1">
      <alignment horizontal="center" vertical="center"/>
      <protection locked="0"/>
    </xf>
    <xf numFmtId="4" fontId="0" fillId="2" borderId="47" xfId="1" applyNumberFormat="1" applyFont="1" applyFill="1" applyBorder="1" applyAlignment="1" applyProtection="1">
      <alignment horizontal="center" vertical="center"/>
      <protection locked="0"/>
    </xf>
    <xf numFmtId="169" fontId="0" fillId="0" borderId="0" xfId="0" applyNumberFormat="1" applyAlignment="1">
      <alignment horizontal="center" vertical="center"/>
    </xf>
    <xf numFmtId="0" fontId="2" fillId="0" borderId="9" xfId="0" applyFont="1" applyBorder="1" applyAlignment="1" applyProtection="1">
      <alignment horizontal="center" vertical="center" wrapText="1"/>
      <protection locked="0"/>
    </xf>
    <xf numFmtId="0" fontId="0" fillId="2" borderId="47" xfId="0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172" fontId="14" fillId="3" borderId="29" xfId="0" applyNumberFormat="1" applyFont="1" applyFill="1" applyBorder="1" applyAlignment="1">
      <alignment horizontal="center" vertical="center" wrapText="1"/>
    </xf>
    <xf numFmtId="172" fontId="14" fillId="4" borderId="23" xfId="0" applyNumberFormat="1" applyFont="1" applyFill="1" applyBorder="1" applyAlignment="1">
      <alignment horizontal="center" vertical="center" wrapText="1"/>
    </xf>
    <xf numFmtId="0" fontId="9" fillId="0" borderId="15" xfId="0" applyFont="1" applyBorder="1" applyAlignment="1">
      <alignment horizontal="left" vertical="center"/>
    </xf>
    <xf numFmtId="0" fontId="13" fillId="19" borderId="46" xfId="0" applyFont="1" applyFill="1" applyBorder="1" applyAlignment="1">
      <alignment horizontal="center" vertical="center"/>
    </xf>
    <xf numFmtId="0" fontId="13" fillId="19" borderId="0" xfId="0" applyFont="1" applyFill="1" applyAlignment="1">
      <alignment horizontal="center" vertical="center"/>
    </xf>
    <xf numFmtId="0" fontId="3" fillId="19" borderId="20" xfId="0" applyFont="1" applyFill="1" applyBorder="1" applyAlignment="1">
      <alignment horizontal="left"/>
    </xf>
    <xf numFmtId="0" fontId="3" fillId="19" borderId="22" xfId="0" applyFont="1" applyFill="1" applyBorder="1" applyAlignment="1">
      <alignment vertical="top"/>
    </xf>
    <xf numFmtId="0" fontId="3" fillId="19" borderId="53" xfId="0" applyFont="1" applyFill="1" applyBorder="1" applyAlignment="1">
      <alignment vertical="top"/>
    </xf>
    <xf numFmtId="0" fontId="12" fillId="19" borderId="47" xfId="0" applyFont="1" applyFill="1" applyBorder="1" applyAlignment="1">
      <alignment vertical="center"/>
    </xf>
    <xf numFmtId="0" fontId="3" fillId="0" borderId="13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top"/>
    </xf>
    <xf numFmtId="0" fontId="3" fillId="0" borderId="16" xfId="0" applyFont="1" applyBorder="1" applyAlignment="1">
      <alignment horizontal="center" vertical="top"/>
    </xf>
    <xf numFmtId="0" fontId="0" fillId="0" borderId="15" xfId="0" applyBorder="1" applyAlignment="1">
      <alignment horizontal="center" vertical="top"/>
    </xf>
    <xf numFmtId="14" fontId="0" fillId="0" borderId="16" xfId="0" applyNumberFormat="1" applyBorder="1" applyAlignment="1">
      <alignment horizontal="center" vertical="top"/>
    </xf>
    <xf numFmtId="0" fontId="41" fillId="0" borderId="15" xfId="0" applyFont="1" applyBorder="1" applyAlignment="1">
      <alignment horizontal="center" vertical="center"/>
    </xf>
    <xf numFmtId="169" fontId="3" fillId="0" borderId="16" xfId="0" applyNumberFormat="1" applyFont="1" applyBorder="1" applyAlignment="1">
      <alignment horizontal="left" vertical="center"/>
    </xf>
    <xf numFmtId="0" fontId="3" fillId="2" borderId="0" xfId="0" applyFont="1" applyFill="1" applyAlignment="1">
      <alignment horizontal="center"/>
    </xf>
    <xf numFmtId="0" fontId="0" fillId="2" borderId="47" xfId="0" applyFill="1" applyBorder="1"/>
    <xf numFmtId="0" fontId="0" fillId="3" borderId="46" xfId="0" applyFill="1" applyBorder="1" applyAlignment="1">
      <alignment horizontal="center"/>
    </xf>
    <xf numFmtId="0" fontId="0" fillId="3" borderId="47" xfId="0" applyFill="1" applyBorder="1" applyAlignment="1">
      <alignment horizontal="center"/>
    </xf>
    <xf numFmtId="0" fontId="0" fillId="0" borderId="6" xfId="0" applyBorder="1" applyAlignment="1">
      <alignment horizontal="left"/>
    </xf>
    <xf numFmtId="0" fontId="3" fillId="0" borderId="28" xfId="0" applyFont="1" applyBorder="1" applyAlignment="1">
      <alignment horizontal="center" vertical="center"/>
    </xf>
    <xf numFmtId="0" fontId="0" fillId="0" borderId="14" xfId="0" applyBorder="1" applyAlignment="1">
      <alignment horizontal="left"/>
    </xf>
    <xf numFmtId="0" fontId="3" fillId="0" borderId="20" xfId="0" applyFont="1" applyBorder="1" applyAlignment="1">
      <alignment horizontal="left" vertical="center"/>
    </xf>
    <xf numFmtId="0" fontId="3" fillId="0" borderId="21" xfId="0" applyFont="1" applyBorder="1" applyAlignment="1">
      <alignment horizontal="left" vertical="center"/>
    </xf>
    <xf numFmtId="0" fontId="3" fillId="0" borderId="14" xfId="0" applyFont="1" applyBorder="1" applyAlignment="1">
      <alignment horizontal="left" vertical="center"/>
    </xf>
    <xf numFmtId="0" fontId="3" fillId="0" borderId="29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17" borderId="29" xfId="0" applyFont="1" applyFill="1" applyBorder="1" applyAlignment="1">
      <alignment horizontal="center" vertical="center"/>
    </xf>
    <xf numFmtId="0" fontId="3" fillId="0" borderId="25" xfId="0" applyFont="1" applyBorder="1" applyAlignment="1">
      <alignment horizontal="center" vertical="center"/>
    </xf>
    <xf numFmtId="0" fontId="0" fillId="17" borderId="15" xfId="0" applyFill="1" applyBorder="1" applyAlignment="1">
      <alignment horizontal="center" vertical="center"/>
    </xf>
    <xf numFmtId="0" fontId="3" fillId="17" borderId="15" xfId="0" applyFont="1" applyFill="1" applyBorder="1" applyAlignment="1">
      <alignment horizontal="center" vertical="center" wrapText="1"/>
    </xf>
    <xf numFmtId="0" fontId="43" fillId="17" borderId="15" xfId="0" applyFont="1" applyFill="1" applyBorder="1" applyAlignment="1">
      <alignment horizontal="center" vertical="center" wrapText="1"/>
    </xf>
    <xf numFmtId="0" fontId="3" fillId="17" borderId="15" xfId="0" applyFont="1" applyFill="1" applyBorder="1" applyAlignment="1">
      <alignment horizontal="center" vertical="center"/>
    </xf>
    <xf numFmtId="0" fontId="43" fillId="17" borderId="15" xfId="0" applyFont="1" applyFill="1" applyBorder="1" applyAlignment="1">
      <alignment horizontal="center" vertical="center"/>
    </xf>
    <xf numFmtId="0" fontId="3" fillId="17" borderId="15" xfId="0" applyFont="1" applyFill="1" applyBorder="1" applyAlignment="1">
      <alignment horizontal="center"/>
    </xf>
    <xf numFmtId="0" fontId="0" fillId="17" borderId="15" xfId="0" applyFill="1" applyBorder="1" applyAlignment="1">
      <alignment horizontal="center"/>
    </xf>
    <xf numFmtId="3" fontId="0" fillId="0" borderId="15" xfId="0" applyNumberFormat="1" applyBorder="1" applyAlignment="1">
      <alignment horizontal="center"/>
    </xf>
    <xf numFmtId="2" fontId="0" fillId="0" borderId="15" xfId="0" applyNumberFormat="1" applyBorder="1" applyAlignment="1">
      <alignment horizontal="center"/>
    </xf>
    <xf numFmtId="185" fontId="0" fillId="0" borderId="0" xfId="0" applyNumberFormat="1"/>
    <xf numFmtId="0" fontId="3" fillId="17" borderId="23" xfId="0" applyFont="1" applyFill="1" applyBorder="1" applyAlignment="1">
      <alignment horizontal="center" vertical="center"/>
    </xf>
    <xf numFmtId="0" fontId="3" fillId="4" borderId="29" xfId="0" applyFont="1" applyFill="1" applyBorder="1" applyAlignment="1">
      <alignment horizontal="center"/>
    </xf>
    <xf numFmtId="0" fontId="3" fillId="0" borderId="22" xfId="0" applyFont="1" applyBorder="1" applyAlignment="1">
      <alignment horizontal="center" vertical="center"/>
    </xf>
    <xf numFmtId="186" fontId="0" fillId="0" borderId="0" xfId="0" applyNumberFormat="1"/>
    <xf numFmtId="186" fontId="0" fillId="0" borderId="0" xfId="0" applyNumberFormat="1" applyAlignment="1">
      <alignment horizontal="center"/>
    </xf>
    <xf numFmtId="0" fontId="40" fillId="0" borderId="42" xfId="0" applyFont="1" applyBorder="1"/>
    <xf numFmtId="0" fontId="40" fillId="0" borderId="43" xfId="0" applyFont="1" applyBorder="1"/>
    <xf numFmtId="180" fontId="0" fillId="0" borderId="0" xfId="0" applyNumberFormat="1" applyAlignment="1">
      <alignment horizontal="center" vertical="center"/>
    </xf>
    <xf numFmtId="186" fontId="3" fillId="3" borderId="64" xfId="0" applyNumberFormat="1" applyFont="1" applyFill="1" applyBorder="1" applyAlignment="1">
      <alignment horizontal="center" vertical="center"/>
    </xf>
    <xf numFmtId="169" fontId="3" fillId="3" borderId="16" xfId="0" applyNumberFormat="1" applyFont="1" applyFill="1" applyBorder="1" applyAlignment="1">
      <alignment horizontal="center" vertical="center"/>
    </xf>
    <xf numFmtId="169" fontId="0" fillId="0" borderId="0" xfId="0" applyNumberFormat="1" applyAlignment="1">
      <alignment horizontal="center"/>
    </xf>
    <xf numFmtId="186" fontId="0" fillId="3" borderId="0" xfId="0" applyNumberFormat="1" applyFill="1" applyAlignment="1">
      <alignment horizontal="center"/>
    </xf>
    <xf numFmtId="186" fontId="0" fillId="20" borderId="15" xfId="0" applyNumberFormat="1" applyFill="1" applyBorder="1" applyAlignment="1">
      <alignment horizontal="center"/>
    </xf>
    <xf numFmtId="181" fontId="41" fillId="17" borderId="0" xfId="0" applyNumberFormat="1" applyFont="1" applyFill="1" applyAlignment="1">
      <alignment horizontal="center" vertical="center"/>
    </xf>
    <xf numFmtId="178" fontId="41" fillId="17" borderId="0" xfId="0" applyNumberFormat="1" applyFont="1" applyFill="1" applyAlignment="1">
      <alignment horizontal="center" vertical="center"/>
    </xf>
    <xf numFmtId="167" fontId="41" fillId="17" borderId="0" xfId="0" applyNumberFormat="1" applyFont="1" applyFill="1" applyAlignment="1">
      <alignment horizontal="center" vertical="center"/>
    </xf>
    <xf numFmtId="0" fontId="41" fillId="17" borderId="0" xfId="0" applyFont="1" applyFill="1" applyAlignment="1">
      <alignment horizontal="center" vertical="center"/>
    </xf>
    <xf numFmtId="1" fontId="41" fillId="17" borderId="0" xfId="0" applyNumberFormat="1" applyFont="1" applyFill="1" applyAlignment="1">
      <alignment horizontal="center" vertical="center"/>
    </xf>
    <xf numFmtId="179" fontId="3" fillId="0" borderId="21" xfId="0" applyNumberFormat="1" applyFont="1" applyBorder="1" applyAlignment="1">
      <alignment horizontal="left" vertical="center"/>
    </xf>
    <xf numFmtId="0" fontId="39" fillId="0" borderId="15" xfId="0" applyFont="1" applyBorder="1" applyAlignment="1">
      <alignment horizontal="center"/>
    </xf>
    <xf numFmtId="181" fontId="20" fillId="0" borderId="15" xfId="0" applyNumberFormat="1" applyFont="1" applyBorder="1" applyAlignment="1">
      <alignment horizontal="center" vertical="center"/>
    </xf>
    <xf numFmtId="178" fontId="20" fillId="0" borderId="15" xfId="0" applyNumberFormat="1" applyFont="1" applyBorder="1" applyAlignment="1">
      <alignment horizontal="center" vertical="center"/>
    </xf>
    <xf numFmtId="185" fontId="20" fillId="0" borderId="15" xfId="0" applyNumberFormat="1" applyFont="1" applyBorder="1" applyAlignment="1">
      <alignment horizontal="center" vertical="center"/>
    </xf>
    <xf numFmtId="179" fontId="20" fillId="0" borderId="15" xfId="0" applyNumberFormat="1" applyFont="1" applyBorder="1" applyAlignment="1">
      <alignment horizontal="center" vertical="center"/>
    </xf>
    <xf numFmtId="169" fontId="20" fillId="0" borderId="15" xfId="0" applyNumberFormat="1" applyFont="1" applyBorder="1" applyAlignment="1">
      <alignment horizontal="center" vertical="center"/>
    </xf>
    <xf numFmtId="0" fontId="42" fillId="19" borderId="75" xfId="0" applyFont="1" applyFill="1" applyBorder="1" applyAlignment="1">
      <alignment horizontal="right"/>
    </xf>
    <xf numFmtId="0" fontId="42" fillId="19" borderId="75" xfId="0" applyFont="1" applyFill="1" applyBorder="1" applyAlignment="1">
      <alignment horizontal="right" vertical="center"/>
    </xf>
    <xf numFmtId="0" fontId="37" fillId="19" borderId="75" xfId="0" applyFont="1" applyFill="1" applyBorder="1" applyAlignment="1">
      <alignment horizontal="right"/>
    </xf>
    <xf numFmtId="0" fontId="20" fillId="0" borderId="15" xfId="0" applyFont="1" applyBorder="1" applyAlignment="1">
      <alignment horizontal="center"/>
    </xf>
    <xf numFmtId="0" fontId="3" fillId="0" borderId="9" xfId="0" applyFont="1" applyBorder="1" applyAlignment="1">
      <alignment horizontal="center" vertical="center"/>
    </xf>
    <xf numFmtId="0" fontId="0" fillId="0" borderId="10" xfId="0" applyBorder="1" applyAlignment="1">
      <alignment horizontal="center" vertical="top"/>
    </xf>
    <xf numFmtId="0" fontId="3" fillId="0" borderId="10" xfId="0" applyFont="1" applyBorder="1" applyAlignment="1">
      <alignment horizontal="center" vertical="top"/>
    </xf>
    <xf numFmtId="0" fontId="0" fillId="0" borderId="11" xfId="0" applyBorder="1" applyAlignment="1">
      <alignment horizontal="center" vertical="top"/>
    </xf>
    <xf numFmtId="0" fontId="3" fillId="0" borderId="22" xfId="0" applyFont="1" applyBorder="1" applyAlignment="1">
      <alignment horizontal="left" vertical="center"/>
    </xf>
    <xf numFmtId="0" fontId="3" fillId="0" borderId="53" xfId="0" applyFont="1" applyBorder="1" applyAlignment="1">
      <alignment horizontal="left" vertical="center"/>
    </xf>
    <xf numFmtId="0" fontId="42" fillId="21" borderId="74" xfId="0" applyFont="1" applyFill="1" applyBorder="1" applyAlignment="1">
      <alignment horizontal="center" vertical="center"/>
    </xf>
    <xf numFmtId="0" fontId="42" fillId="21" borderId="74" xfId="0" applyFont="1" applyFill="1" applyBorder="1" applyAlignment="1">
      <alignment vertical="center"/>
    </xf>
    <xf numFmtId="0" fontId="42" fillId="21" borderId="74" xfId="0" applyFont="1" applyFill="1" applyBorder="1" applyAlignment="1">
      <alignment horizontal="center" vertical="top"/>
    </xf>
    <xf numFmtId="178" fontId="42" fillId="21" borderId="74" xfId="0" applyNumberFormat="1" applyFont="1" applyFill="1" applyBorder="1" applyAlignment="1">
      <alignment horizontal="center" vertical="center"/>
    </xf>
    <xf numFmtId="182" fontId="42" fillId="21" borderId="74" xfId="0" applyNumberFormat="1" applyFont="1" applyFill="1" applyBorder="1" applyAlignment="1">
      <alignment horizontal="center" vertical="center"/>
    </xf>
    <xf numFmtId="169" fontId="42" fillId="21" borderId="74" xfId="0" applyNumberFormat="1" applyFont="1" applyFill="1" applyBorder="1" applyAlignment="1">
      <alignment horizontal="center" vertical="center"/>
    </xf>
    <xf numFmtId="10" fontId="0" fillId="3" borderId="0" xfId="0" applyNumberFormat="1" applyFill="1" applyAlignment="1">
      <alignment horizontal="center"/>
    </xf>
    <xf numFmtId="49" fontId="46" fillId="0" borderId="7" xfId="7" applyNumberFormat="1" applyFont="1" applyBorder="1" applyAlignment="1">
      <alignment horizontal="center" vertical="center"/>
    </xf>
    <xf numFmtId="49" fontId="46" fillId="22" borderId="5" xfId="7" applyNumberFormat="1" applyFont="1" applyFill="1" applyBorder="1" applyAlignment="1">
      <alignment horizontal="center"/>
    </xf>
    <xf numFmtId="49" fontId="46" fillId="0" borderId="15" xfId="7" applyNumberFormat="1" applyFont="1" applyBorder="1" applyAlignment="1">
      <alignment horizontal="center" vertical="center"/>
    </xf>
    <xf numFmtId="49" fontId="46" fillId="22" borderId="13" xfId="7" applyNumberFormat="1" applyFont="1" applyFill="1" applyBorder="1" applyAlignment="1">
      <alignment horizontal="center"/>
    </xf>
    <xf numFmtId="49" fontId="45" fillId="23" borderId="29" xfId="7" applyNumberFormat="1" applyFont="1" applyFill="1" applyBorder="1" applyAlignment="1">
      <alignment horizontal="left" vertical="center" wrapText="1"/>
    </xf>
    <xf numFmtId="49" fontId="45" fillId="23" borderId="15" xfId="7" applyNumberFormat="1" applyFont="1" applyFill="1" applyBorder="1" applyAlignment="1">
      <alignment horizontal="center" vertical="center" wrapText="1"/>
    </xf>
    <xf numFmtId="49" fontId="45" fillId="23" borderId="13" xfId="7" applyNumberFormat="1" applyFont="1" applyFill="1" applyBorder="1" applyAlignment="1">
      <alignment horizontal="center" vertical="center" wrapText="1"/>
    </xf>
    <xf numFmtId="49" fontId="46" fillId="12" borderId="15" xfId="7" applyNumberFormat="1" applyFont="1" applyFill="1" applyBorder="1" applyAlignment="1">
      <alignment horizontal="center" vertical="center"/>
    </xf>
    <xf numFmtId="0" fontId="45" fillId="0" borderId="15" xfId="0" applyFont="1" applyBorder="1" applyAlignment="1">
      <alignment horizontal="center" vertical="center"/>
    </xf>
    <xf numFmtId="0" fontId="45" fillId="0" borderId="13" xfId="0" applyFont="1" applyBorder="1" applyAlignment="1">
      <alignment horizontal="center" vertical="center"/>
    </xf>
    <xf numFmtId="49" fontId="46" fillId="0" borderId="29" xfId="7" applyNumberFormat="1" applyFont="1" applyBorder="1" applyAlignment="1">
      <alignment horizontal="center" vertical="center"/>
    </xf>
    <xf numFmtId="49" fontId="46" fillId="0" borderId="40" xfId="7" applyNumberFormat="1" applyFont="1" applyBorder="1" applyAlignment="1">
      <alignment horizontal="center" vertical="center"/>
    </xf>
    <xf numFmtId="49" fontId="46" fillId="22" borderId="15" xfId="7" applyNumberFormat="1" applyFont="1" applyFill="1" applyBorder="1" applyAlignment="1">
      <alignment horizontal="center"/>
    </xf>
    <xf numFmtId="49" fontId="46" fillId="22" borderId="31" xfId="7" applyNumberFormat="1" applyFont="1" applyFill="1" applyBorder="1" applyAlignment="1">
      <alignment horizontal="center"/>
    </xf>
    <xf numFmtId="0" fontId="45" fillId="0" borderId="29" xfId="0" applyFont="1" applyBorder="1" applyAlignment="1">
      <alignment horizontal="center" vertical="center"/>
    </xf>
    <xf numFmtId="49" fontId="46" fillId="0" borderId="51" xfId="7" applyNumberFormat="1" applyFont="1" applyBorder="1" applyAlignment="1">
      <alignment horizontal="center" vertical="center"/>
    </xf>
    <xf numFmtId="49" fontId="46" fillId="22" borderId="0" xfId="7" applyNumberFormat="1" applyFont="1" applyFill="1" applyAlignment="1">
      <alignment horizontal="center"/>
    </xf>
    <xf numFmtId="180" fontId="20" fillId="4" borderId="15" xfId="0" applyNumberFormat="1" applyFont="1" applyFill="1" applyBorder="1" applyAlignment="1">
      <alignment horizontal="center" vertical="center"/>
    </xf>
    <xf numFmtId="0" fontId="3" fillId="4" borderId="20" xfId="0" applyFont="1" applyFill="1" applyBorder="1" applyAlignment="1">
      <alignment horizontal="center"/>
    </xf>
    <xf numFmtId="0" fontId="0" fillId="0" borderId="57" xfId="0" applyBorder="1" applyAlignment="1">
      <alignment horizontal="left"/>
    </xf>
    <xf numFmtId="0" fontId="0" fillId="0" borderId="58" xfId="0" applyBorder="1" applyAlignment="1">
      <alignment horizontal="left"/>
    </xf>
    <xf numFmtId="0" fontId="3" fillId="4" borderId="19" xfId="0" applyFont="1" applyFill="1" applyBorder="1" applyAlignment="1">
      <alignment horizontal="center"/>
    </xf>
    <xf numFmtId="0" fontId="3" fillId="4" borderId="21" xfId="0" applyFont="1" applyFill="1" applyBorder="1" applyAlignment="1">
      <alignment horizontal="center"/>
    </xf>
    <xf numFmtId="10" fontId="0" fillId="0" borderId="0" xfId="4" applyNumberFormat="1" applyFont="1"/>
    <xf numFmtId="0" fontId="3" fillId="0" borderId="31" xfId="0" applyFont="1" applyBorder="1" applyAlignment="1">
      <alignment vertical="top"/>
    </xf>
    <xf numFmtId="0" fontId="41" fillId="0" borderId="10" xfId="0" applyFont="1" applyBorder="1" applyAlignment="1">
      <alignment horizontal="center" vertical="center"/>
    </xf>
    <xf numFmtId="179" fontId="3" fillId="0" borderId="52" xfId="0" applyNumberFormat="1" applyFont="1" applyBorder="1" applyAlignment="1">
      <alignment horizontal="left" vertical="center"/>
    </xf>
    <xf numFmtId="169" fontId="3" fillId="0" borderId="11" xfId="0" applyNumberFormat="1" applyFont="1" applyBorder="1" applyAlignment="1">
      <alignment horizontal="left" vertical="center"/>
    </xf>
    <xf numFmtId="186" fontId="3" fillId="4" borderId="29" xfId="0" applyNumberFormat="1" applyFont="1" applyFill="1" applyBorder="1" applyAlignment="1">
      <alignment horizontal="center"/>
    </xf>
    <xf numFmtId="1" fontId="14" fillId="0" borderId="13" xfId="0" applyNumberFormat="1" applyFont="1" applyBorder="1" applyAlignment="1">
      <alignment horizontal="center" vertical="center" wrapText="1"/>
    </xf>
    <xf numFmtId="0" fontId="14" fillId="3" borderId="20" xfId="0" applyFont="1" applyFill="1" applyBorder="1" applyAlignment="1">
      <alignment horizontal="left" vertical="center" wrapText="1"/>
    </xf>
    <xf numFmtId="0" fontId="14" fillId="0" borderId="15" xfId="0" applyFont="1" applyBorder="1" applyAlignment="1">
      <alignment horizontal="center" vertical="center" wrapText="1"/>
    </xf>
    <xf numFmtId="1" fontId="14" fillId="0" borderId="15" xfId="0" applyNumberFormat="1" applyFont="1" applyBorder="1" applyAlignment="1">
      <alignment horizontal="center" vertical="center" wrapText="1"/>
    </xf>
    <xf numFmtId="2" fontId="14" fillId="0" borderId="10" xfId="0" applyNumberFormat="1" applyFont="1" applyBorder="1" applyAlignment="1">
      <alignment horizontal="center" vertical="center" wrapText="1"/>
    </xf>
    <xf numFmtId="2" fontId="14" fillId="0" borderId="11" xfId="0" applyNumberFormat="1" applyFont="1" applyBorder="1" applyAlignment="1">
      <alignment horizontal="center" vertical="center" wrapText="1"/>
    </xf>
    <xf numFmtId="0" fontId="14" fillId="4" borderId="20" xfId="0" applyFont="1" applyFill="1" applyBorder="1" applyAlignment="1">
      <alignment horizontal="left" vertical="center" wrapText="1"/>
    </xf>
    <xf numFmtId="0" fontId="14" fillId="3" borderId="29" xfId="0" applyFont="1" applyFill="1" applyBorder="1" applyAlignment="1">
      <alignment horizontal="left" vertical="center" wrapText="1"/>
    </xf>
    <xf numFmtId="2" fontId="14" fillId="0" borderId="23" xfId="0" applyNumberFormat="1" applyFont="1" applyBorder="1" applyAlignment="1">
      <alignment horizontal="center" vertical="center"/>
    </xf>
    <xf numFmtId="2" fontId="14" fillId="0" borderId="26" xfId="0" applyNumberFormat="1" applyFont="1" applyBorder="1" applyAlignment="1" applyProtection="1">
      <alignment horizontal="center" vertical="center"/>
      <protection locked="0"/>
    </xf>
    <xf numFmtId="2" fontId="2" fillId="0" borderId="27" xfId="0" applyNumberFormat="1" applyFont="1" applyBorder="1" applyAlignment="1" applyProtection="1">
      <alignment horizontal="center" vertical="center"/>
      <protection locked="0"/>
    </xf>
    <xf numFmtId="2" fontId="14" fillId="0" borderId="23" xfId="0" applyNumberFormat="1" applyFont="1" applyBorder="1" applyAlignment="1">
      <alignment horizontal="center" vertical="center" wrapText="1"/>
    </xf>
    <xf numFmtId="4" fontId="24" fillId="0" borderId="29" xfId="6" applyNumberFormat="1" applyBorder="1" applyAlignment="1">
      <alignment horizontal="center" vertical="center" wrapText="1"/>
    </xf>
    <xf numFmtId="4" fontId="28" fillId="0" borderId="29" xfId="6" applyNumberFormat="1" applyFont="1" applyBorder="1" applyAlignment="1">
      <alignment horizontal="center" vertical="center" wrapText="1"/>
    </xf>
    <xf numFmtId="4" fontId="24" fillId="0" borderId="23" xfId="6" applyNumberFormat="1" applyBorder="1" applyAlignment="1">
      <alignment horizontal="center" vertical="center" wrapText="1"/>
    </xf>
    <xf numFmtId="0" fontId="45" fillId="0" borderId="14" xfId="0" applyFont="1" applyBorder="1" applyAlignment="1">
      <alignment horizontal="center" vertical="center"/>
    </xf>
    <xf numFmtId="49" fontId="45" fillId="23" borderId="14" xfId="7" applyNumberFormat="1" applyFont="1" applyFill="1" applyBorder="1" applyAlignment="1">
      <alignment horizontal="center" vertical="center" wrapText="1"/>
    </xf>
    <xf numFmtId="49" fontId="46" fillId="22" borderId="20" xfId="7" applyNumberFormat="1" applyFont="1" applyFill="1" applyBorder="1" applyAlignment="1">
      <alignment horizontal="center"/>
    </xf>
    <xf numFmtId="49" fontId="45" fillId="23" borderId="20" xfId="7" applyNumberFormat="1" applyFont="1" applyFill="1" applyBorder="1" applyAlignment="1">
      <alignment horizontal="center" vertical="center" wrapText="1"/>
    </xf>
    <xf numFmtId="49" fontId="46" fillId="2" borderId="15" xfId="7" applyNumberFormat="1" applyFont="1" applyFill="1" applyBorder="1" applyAlignment="1">
      <alignment horizontal="center" vertical="center"/>
    </xf>
    <xf numFmtId="185" fontId="0" fillId="10" borderId="0" xfId="0" applyNumberFormat="1" applyFill="1" applyAlignment="1">
      <alignment horizontal="center"/>
    </xf>
    <xf numFmtId="0" fontId="42" fillId="19" borderId="79" xfId="0" applyFont="1" applyFill="1" applyBorder="1" applyAlignment="1">
      <alignment horizontal="right"/>
    </xf>
    <xf numFmtId="0" fontId="39" fillId="0" borderId="31" xfId="0" applyFont="1" applyBorder="1" applyAlignment="1">
      <alignment horizontal="center"/>
    </xf>
    <xf numFmtId="186" fontId="3" fillId="4" borderId="15" xfId="0" applyNumberFormat="1" applyFont="1" applyFill="1" applyBorder="1" applyAlignment="1">
      <alignment horizontal="center"/>
    </xf>
    <xf numFmtId="185" fontId="3" fillId="4" borderId="20" xfId="0" applyNumberFormat="1" applyFont="1" applyFill="1" applyBorder="1" applyAlignment="1">
      <alignment horizontal="center"/>
    </xf>
    <xf numFmtId="0" fontId="3" fillId="4" borderId="20" xfId="0" applyFont="1" applyFill="1" applyBorder="1" applyAlignment="1">
      <alignment horizontal="center"/>
    </xf>
    <xf numFmtId="0" fontId="3" fillId="4" borderId="14" xfId="0" applyFont="1" applyFill="1" applyBorder="1" applyAlignment="1">
      <alignment horizontal="center"/>
    </xf>
    <xf numFmtId="0" fontId="44" fillId="10" borderId="0" xfId="0" applyFont="1" applyFill="1" applyAlignment="1">
      <alignment horizontal="center" vertical="center"/>
    </xf>
    <xf numFmtId="185" fontId="3" fillId="0" borderId="15" xfId="0" applyNumberFormat="1" applyFont="1" applyBorder="1" applyAlignment="1">
      <alignment horizontal="center" vertical="center"/>
    </xf>
    <xf numFmtId="185" fontId="3" fillId="0" borderId="15" xfId="0" applyNumberFormat="1" applyFont="1" applyBorder="1" applyAlignment="1">
      <alignment horizontal="center"/>
    </xf>
    <xf numFmtId="185" fontId="3" fillId="4" borderId="15" xfId="0" applyNumberFormat="1" applyFont="1" applyFill="1" applyBorder="1" applyAlignment="1">
      <alignment horizontal="center"/>
    </xf>
    <xf numFmtId="0" fontId="3" fillId="3" borderId="22" xfId="0" applyFont="1" applyFill="1" applyBorder="1" applyAlignment="1">
      <alignment horizontal="center"/>
    </xf>
    <xf numFmtId="185" fontId="3" fillId="17" borderId="15" xfId="0" applyNumberFormat="1" applyFont="1" applyFill="1" applyBorder="1" applyAlignment="1">
      <alignment horizontal="center"/>
    </xf>
    <xf numFmtId="185" fontId="3" fillId="17" borderId="29" xfId="0" applyNumberFormat="1" applyFont="1" applyFill="1" applyBorder="1" applyAlignment="1">
      <alignment horizontal="center"/>
    </xf>
    <xf numFmtId="185" fontId="3" fillId="17" borderId="20" xfId="0" applyNumberFormat="1" applyFont="1" applyFill="1" applyBorder="1" applyAlignment="1">
      <alignment horizontal="center"/>
    </xf>
    <xf numFmtId="185" fontId="3" fillId="17" borderId="14" xfId="0" applyNumberFormat="1" applyFont="1" applyFill="1" applyBorder="1" applyAlignment="1">
      <alignment horizontal="center"/>
    </xf>
    <xf numFmtId="0" fontId="3" fillId="4" borderId="15" xfId="0" applyFont="1" applyFill="1" applyBorder="1" applyAlignment="1">
      <alignment horizontal="center"/>
    </xf>
    <xf numFmtId="185" fontId="3" fillId="17" borderId="23" xfId="0" applyNumberFormat="1" applyFont="1" applyFill="1" applyBorder="1" applyAlignment="1">
      <alignment horizontal="center"/>
    </xf>
    <xf numFmtId="185" fontId="3" fillId="17" borderId="24" xfId="0" applyNumberFormat="1" applyFont="1" applyFill="1" applyBorder="1" applyAlignment="1">
      <alignment horizontal="center"/>
    </xf>
    <xf numFmtId="185" fontId="3" fillId="17" borderId="15" xfId="0" applyNumberFormat="1" applyFont="1" applyFill="1" applyBorder="1" applyAlignment="1">
      <alignment horizontal="center" vertical="center"/>
    </xf>
    <xf numFmtId="0" fontId="3" fillId="0" borderId="29" xfId="0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29" xfId="0" applyFont="1" applyBorder="1" applyAlignment="1">
      <alignment horizontal="left" vertical="center"/>
    </xf>
    <xf numFmtId="0" fontId="3" fillId="0" borderId="20" xfId="0" applyFont="1" applyBorder="1" applyAlignment="1">
      <alignment horizontal="left" vertical="center"/>
    </xf>
    <xf numFmtId="0" fontId="3" fillId="0" borderId="14" xfId="0" applyFont="1" applyBorder="1" applyAlignment="1">
      <alignment horizontal="left" vertical="center"/>
    </xf>
    <xf numFmtId="0" fontId="40" fillId="19" borderId="42" xfId="0" applyFont="1" applyFill="1" applyBorder="1" applyAlignment="1">
      <alignment horizontal="center"/>
    </xf>
    <xf numFmtId="0" fontId="40" fillId="19" borderId="43" xfId="0" applyFont="1" applyFill="1" applyBorder="1" applyAlignment="1">
      <alignment horizontal="center"/>
    </xf>
    <xf numFmtId="0" fontId="40" fillId="19" borderId="44" xfId="0" applyFont="1" applyFill="1" applyBorder="1" applyAlignment="1">
      <alignment horizontal="center"/>
    </xf>
    <xf numFmtId="14" fontId="3" fillId="0" borderId="29" xfId="0" applyNumberFormat="1" applyFont="1" applyBorder="1" applyAlignment="1">
      <alignment horizontal="left"/>
    </xf>
    <xf numFmtId="14" fontId="3" fillId="0" borderId="20" xfId="0" applyNumberFormat="1" applyFont="1" applyBorder="1" applyAlignment="1">
      <alignment horizontal="left"/>
    </xf>
    <xf numFmtId="0" fontId="3" fillId="0" borderId="0" xfId="0" applyFont="1" applyAlignment="1">
      <alignment horizontal="center" vertical="top" wrapText="1"/>
    </xf>
    <xf numFmtId="0" fontId="3" fillId="0" borderId="47" xfId="0" applyFont="1" applyBorder="1" applyAlignment="1">
      <alignment horizontal="center" vertical="top" wrapText="1"/>
    </xf>
    <xf numFmtId="0" fontId="3" fillId="0" borderId="15" xfId="0" applyFont="1" applyBorder="1" applyAlignment="1">
      <alignment horizontal="center" vertical="center" wrapText="1"/>
    </xf>
    <xf numFmtId="0" fontId="13" fillId="0" borderId="42" xfId="0" applyFont="1" applyBorder="1" applyAlignment="1">
      <alignment horizontal="center" vertical="center"/>
    </xf>
    <xf numFmtId="0" fontId="13" fillId="0" borderId="43" xfId="0" applyFont="1" applyBorder="1" applyAlignment="1">
      <alignment horizontal="center" vertical="center"/>
    </xf>
    <xf numFmtId="0" fontId="13" fillId="0" borderId="46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0" fillId="0" borderId="19" xfId="0" applyBorder="1" applyAlignment="1">
      <alignment horizontal="left"/>
    </xf>
    <xf numFmtId="0" fontId="0" fillId="0" borderId="20" xfId="0" applyBorder="1" applyAlignment="1">
      <alignment horizontal="left"/>
    </xf>
    <xf numFmtId="0" fontId="0" fillId="0" borderId="14" xfId="0" applyBorder="1" applyAlignment="1">
      <alignment horizontal="left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3" fillId="17" borderId="0" xfId="0" applyFont="1" applyFill="1" applyAlignment="1">
      <alignment horizontal="center" vertical="center"/>
    </xf>
    <xf numFmtId="0" fontId="3" fillId="0" borderId="15" xfId="0" applyFont="1" applyBorder="1" applyAlignment="1">
      <alignment horizontal="left" vertical="top"/>
    </xf>
    <xf numFmtId="0" fontId="37" fillId="0" borderId="64" xfId="0" applyFont="1" applyBorder="1" applyAlignment="1">
      <alignment horizontal="center"/>
    </xf>
    <xf numFmtId="0" fontId="37" fillId="0" borderId="22" xfId="0" applyFont="1" applyBorder="1" applyAlignment="1">
      <alignment horizontal="center"/>
    </xf>
    <xf numFmtId="0" fontId="37" fillId="0" borderId="53" xfId="0" applyFont="1" applyBorder="1" applyAlignment="1">
      <alignment horizontal="center"/>
    </xf>
    <xf numFmtId="0" fontId="0" fillId="0" borderId="46" xfId="0" applyBorder="1"/>
    <xf numFmtId="0" fontId="0" fillId="0" borderId="0" xfId="0"/>
    <xf numFmtId="0" fontId="0" fillId="2" borderId="0" xfId="0" applyFill="1"/>
    <xf numFmtId="0" fontId="0" fillId="2" borderId="0" xfId="0" applyFill="1" applyAlignment="1">
      <alignment vertical="top" wrapText="1"/>
    </xf>
    <xf numFmtId="0" fontId="0" fillId="2" borderId="47" xfId="0" applyFill="1" applyBorder="1"/>
    <xf numFmtId="0" fontId="3" fillId="3" borderId="46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3" fillId="3" borderId="47" xfId="0" applyFont="1" applyFill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0" fontId="3" fillId="4" borderId="19" xfId="0" applyFont="1" applyFill="1" applyBorder="1" applyAlignment="1">
      <alignment horizontal="center"/>
    </xf>
    <xf numFmtId="0" fontId="3" fillId="4" borderId="21" xfId="0" applyFont="1" applyFill="1" applyBorder="1" applyAlignment="1">
      <alignment horizontal="center"/>
    </xf>
    <xf numFmtId="0" fontId="37" fillId="0" borderId="65" xfId="0" applyFont="1" applyBorder="1" applyAlignment="1">
      <alignment horizontal="center"/>
    </xf>
    <xf numFmtId="0" fontId="37" fillId="0" borderId="24" xfId="0" applyFont="1" applyBorder="1" applyAlignment="1">
      <alignment horizontal="center"/>
    </xf>
    <xf numFmtId="0" fontId="37" fillId="0" borderId="52" xfId="0" applyFont="1" applyBorder="1" applyAlignment="1">
      <alignment horizontal="center"/>
    </xf>
    <xf numFmtId="0" fontId="37" fillId="0" borderId="46" xfId="0" applyFont="1" applyBorder="1" applyAlignment="1">
      <alignment horizontal="center"/>
    </xf>
    <xf numFmtId="0" fontId="37" fillId="0" borderId="0" xfId="0" applyFont="1" applyAlignment="1">
      <alignment horizontal="center"/>
    </xf>
    <xf numFmtId="0" fontId="37" fillId="0" borderId="47" xfId="0" applyFont="1" applyBorder="1" applyAlignment="1">
      <alignment horizontal="center"/>
    </xf>
    <xf numFmtId="0" fontId="3" fillId="0" borderId="23" xfId="0" applyFont="1" applyBorder="1" applyAlignment="1">
      <alignment horizontal="center" vertical="center"/>
    </xf>
    <xf numFmtId="0" fontId="3" fillId="0" borderId="24" xfId="0" applyFont="1" applyBorder="1" applyAlignment="1">
      <alignment horizontal="center" vertical="center"/>
    </xf>
    <xf numFmtId="0" fontId="3" fillId="0" borderId="25" xfId="0" applyFont="1" applyBorder="1" applyAlignment="1">
      <alignment horizontal="center" vertical="center"/>
    </xf>
    <xf numFmtId="0" fontId="42" fillId="21" borderId="74" xfId="0" applyFont="1" applyFill="1" applyBorder="1" applyAlignment="1">
      <alignment horizontal="center" vertical="center"/>
    </xf>
    <xf numFmtId="0" fontId="42" fillId="21" borderId="0" xfId="0" applyFont="1" applyFill="1" applyAlignment="1">
      <alignment horizontal="center" vertical="center"/>
    </xf>
    <xf numFmtId="0" fontId="42" fillId="21" borderId="78" xfId="0" applyFont="1" applyFill="1" applyBorder="1" applyAlignment="1">
      <alignment horizontal="center" vertical="center"/>
    </xf>
    <xf numFmtId="0" fontId="42" fillId="21" borderId="75" xfId="0" applyFont="1" applyFill="1" applyBorder="1" applyAlignment="1">
      <alignment horizontal="center" vertical="center"/>
    </xf>
    <xf numFmtId="0" fontId="42" fillId="21" borderId="76" xfId="0" applyFont="1" applyFill="1" applyBorder="1" applyAlignment="1">
      <alignment horizontal="center" vertical="center"/>
    </xf>
    <xf numFmtId="0" fontId="42" fillId="21" borderId="77" xfId="0" applyFont="1" applyFill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0" borderId="22" xfId="0" applyFont="1" applyBorder="1" applyAlignment="1">
      <alignment horizontal="center" vertical="center"/>
    </xf>
    <xf numFmtId="0" fontId="3" fillId="0" borderId="28" xfId="0" applyFont="1" applyBorder="1" applyAlignment="1">
      <alignment horizontal="center" vertical="center"/>
    </xf>
    <xf numFmtId="0" fontId="42" fillId="21" borderId="74" xfId="0" applyFont="1" applyFill="1" applyBorder="1" applyAlignment="1">
      <alignment horizontal="left" vertical="center"/>
    </xf>
    <xf numFmtId="0" fontId="3" fillId="0" borderId="29" xfId="0" applyFont="1" applyBorder="1" applyAlignment="1">
      <alignment horizontal="center" vertical="top"/>
    </xf>
    <xf numFmtId="0" fontId="3" fillId="0" borderId="20" xfId="0" applyFont="1" applyBorder="1" applyAlignment="1">
      <alignment horizontal="center" vertical="top"/>
    </xf>
    <xf numFmtId="0" fontId="3" fillId="0" borderId="14" xfId="0" applyFont="1" applyBorder="1" applyAlignment="1">
      <alignment horizontal="center" vertical="top"/>
    </xf>
    <xf numFmtId="49" fontId="45" fillId="0" borderId="29" xfId="7" applyNumberFormat="1" applyFont="1" applyBorder="1" applyAlignment="1">
      <alignment horizontal="center" vertical="center"/>
    </xf>
    <xf numFmtId="49" fontId="45" fillId="0" borderId="20" xfId="7" applyNumberFormat="1" applyFont="1" applyBorder="1" applyAlignment="1">
      <alignment horizontal="center" vertical="center"/>
    </xf>
    <xf numFmtId="49" fontId="45" fillId="0" borderId="21" xfId="7" applyNumberFormat="1" applyFont="1" applyBorder="1" applyAlignment="1">
      <alignment horizontal="center" vertical="center"/>
    </xf>
    <xf numFmtId="49" fontId="46" fillId="0" borderId="20" xfId="7" applyNumberFormat="1" applyFont="1" applyBorder="1" applyAlignment="1">
      <alignment horizontal="left" vertical="center" wrapText="1" indent="1"/>
    </xf>
    <xf numFmtId="49" fontId="46" fillId="0" borderId="14" xfId="7" applyNumberFormat="1" applyFont="1" applyBorder="1" applyAlignment="1">
      <alignment horizontal="left" vertical="center" wrapText="1" indent="1"/>
    </xf>
    <xf numFmtId="49" fontId="45" fillId="23" borderId="29" xfId="7" applyNumberFormat="1" applyFont="1" applyFill="1" applyBorder="1" applyAlignment="1">
      <alignment horizontal="center" vertical="center"/>
    </xf>
    <xf numFmtId="49" fontId="45" fillId="23" borderId="20" xfId="7" applyNumberFormat="1" applyFont="1" applyFill="1" applyBorder="1" applyAlignment="1">
      <alignment horizontal="center" vertical="center"/>
    </xf>
    <xf numFmtId="49" fontId="45" fillId="23" borderId="21" xfId="7" applyNumberFormat="1" applyFont="1" applyFill="1" applyBorder="1" applyAlignment="1">
      <alignment horizontal="center" vertical="center"/>
    </xf>
    <xf numFmtId="49" fontId="45" fillId="0" borderId="40" xfId="7" applyNumberFormat="1" applyFont="1" applyBorder="1" applyAlignment="1">
      <alignment horizontal="center" vertical="center"/>
    </xf>
    <xf numFmtId="49" fontId="45" fillId="0" borderId="58" xfId="7" applyNumberFormat="1" applyFont="1" applyBorder="1" applyAlignment="1">
      <alignment horizontal="center" vertical="center"/>
    </xf>
    <xf numFmtId="49" fontId="45" fillId="0" borderId="59" xfId="7" applyNumberFormat="1" applyFont="1" applyBorder="1" applyAlignment="1">
      <alignment horizontal="center" vertical="center"/>
    </xf>
    <xf numFmtId="0" fontId="47" fillId="0" borderId="15" xfId="0" applyFont="1" applyBorder="1" applyAlignment="1">
      <alignment horizontal="center" vertical="center"/>
    </xf>
    <xf numFmtId="0" fontId="47" fillId="0" borderId="16" xfId="0" applyFont="1" applyBorder="1" applyAlignment="1">
      <alignment horizontal="center" vertical="center"/>
    </xf>
    <xf numFmtId="49" fontId="45" fillId="23" borderId="15" xfId="7" applyNumberFormat="1" applyFont="1" applyFill="1" applyBorder="1" applyAlignment="1">
      <alignment horizontal="center" vertical="center"/>
    </xf>
    <xf numFmtId="49" fontId="45" fillId="23" borderId="16" xfId="7" applyNumberFormat="1" applyFont="1" applyFill="1" applyBorder="1" applyAlignment="1">
      <alignment horizontal="center" vertical="center"/>
    </xf>
    <xf numFmtId="0" fontId="45" fillId="0" borderId="15" xfId="0" applyFont="1" applyBorder="1" applyAlignment="1">
      <alignment horizontal="center" vertical="center"/>
    </xf>
    <xf numFmtId="49" fontId="46" fillId="22" borderId="29" xfId="7" applyNumberFormat="1" applyFont="1" applyFill="1" applyBorder="1" applyAlignment="1">
      <alignment horizontal="left" vertical="center" indent="1"/>
    </xf>
    <xf numFmtId="49" fontId="46" fillId="22" borderId="20" xfId="7" applyNumberFormat="1" applyFont="1" applyFill="1" applyBorder="1" applyAlignment="1">
      <alignment horizontal="left" vertical="center" indent="1"/>
    </xf>
    <xf numFmtId="49" fontId="46" fillId="22" borderId="14" xfId="7" applyNumberFormat="1" applyFont="1" applyFill="1" applyBorder="1" applyAlignment="1">
      <alignment horizontal="left" vertical="center" indent="1"/>
    </xf>
    <xf numFmtId="49" fontId="46" fillId="0" borderId="29" xfId="7" applyNumberFormat="1" applyFont="1" applyBorder="1" applyAlignment="1">
      <alignment horizontal="left" vertical="center" wrapText="1" indent="1"/>
    </xf>
    <xf numFmtId="0" fontId="47" fillId="0" borderId="29" xfId="0" applyFont="1" applyBorder="1" applyAlignment="1">
      <alignment horizontal="left" vertical="center"/>
    </xf>
    <xf numFmtId="0" fontId="47" fillId="0" borderId="14" xfId="0" applyFont="1" applyBorder="1" applyAlignment="1">
      <alignment horizontal="left" vertical="center"/>
    </xf>
    <xf numFmtId="49" fontId="45" fillId="23" borderId="29" xfId="7" applyNumberFormat="1" applyFont="1" applyFill="1" applyBorder="1" applyAlignment="1">
      <alignment horizontal="left" vertical="center" wrapText="1"/>
    </xf>
    <xf numFmtId="49" fontId="45" fillId="23" borderId="20" xfId="7" applyNumberFormat="1" applyFont="1" applyFill="1" applyBorder="1" applyAlignment="1">
      <alignment horizontal="left" vertical="center" wrapText="1"/>
    </xf>
    <xf numFmtId="49" fontId="45" fillId="23" borderId="14" xfId="7" applyNumberFormat="1" applyFont="1" applyFill="1" applyBorder="1" applyAlignment="1">
      <alignment horizontal="left" vertical="center" wrapText="1"/>
    </xf>
    <xf numFmtId="0" fontId="48" fillId="19" borderId="42" xfId="0" applyFont="1" applyFill="1" applyBorder="1" applyAlignment="1">
      <alignment horizontal="center" vertical="center" wrapText="1"/>
    </xf>
    <xf numFmtId="0" fontId="48" fillId="19" borderId="43" xfId="0" applyFont="1" applyFill="1" applyBorder="1" applyAlignment="1">
      <alignment horizontal="center" vertical="center" wrapText="1"/>
    </xf>
    <xf numFmtId="0" fontId="48" fillId="19" borderId="44" xfId="0" applyFont="1" applyFill="1" applyBorder="1" applyAlignment="1">
      <alignment horizontal="center" vertical="center" wrapText="1"/>
    </xf>
    <xf numFmtId="49" fontId="45" fillId="23" borderId="15" xfId="7" applyNumberFormat="1" applyFont="1" applyFill="1" applyBorder="1" applyAlignment="1">
      <alignment horizontal="left" vertical="center" wrapText="1"/>
    </xf>
    <xf numFmtId="0" fontId="13" fillId="0" borderId="41" xfId="0" applyFont="1" applyBorder="1" applyAlignment="1">
      <alignment horizontal="center" vertical="center"/>
    </xf>
    <xf numFmtId="0" fontId="13" fillId="0" borderId="64" xfId="0" applyFont="1" applyBorder="1" applyAlignment="1">
      <alignment horizontal="center" vertical="center"/>
    </xf>
    <xf numFmtId="0" fontId="13" fillId="0" borderId="28" xfId="0" applyFont="1" applyBorder="1" applyAlignment="1">
      <alignment horizontal="center" vertical="center"/>
    </xf>
    <xf numFmtId="0" fontId="45" fillId="0" borderId="16" xfId="0" applyFont="1" applyBorder="1" applyAlignment="1">
      <alignment horizontal="center" vertical="center"/>
    </xf>
    <xf numFmtId="49" fontId="46" fillId="0" borderId="40" xfId="7" applyNumberFormat="1" applyFont="1" applyBorder="1" applyAlignment="1">
      <alignment horizontal="left" vertical="center" wrapText="1" indent="1"/>
    </xf>
    <xf numFmtId="49" fontId="46" fillId="0" borderId="58" xfId="7" applyNumberFormat="1" applyFont="1" applyBorder="1" applyAlignment="1">
      <alignment horizontal="left" vertical="center" wrapText="1" indent="1"/>
    </xf>
    <xf numFmtId="49" fontId="46" fillId="0" borderId="6" xfId="7" applyNumberFormat="1" applyFont="1" applyBorder="1" applyAlignment="1">
      <alignment horizontal="left" vertical="center" wrapText="1" indent="1"/>
    </xf>
    <xf numFmtId="4" fontId="18" fillId="3" borderId="29" xfId="0" applyNumberFormat="1" applyFont="1" applyFill="1" applyBorder="1" applyAlignment="1">
      <alignment horizontal="center" vertical="center"/>
    </xf>
    <xf numFmtId="4" fontId="18" fillId="3" borderId="20" xfId="0" applyNumberFormat="1" applyFont="1" applyFill="1" applyBorder="1" applyAlignment="1">
      <alignment horizontal="center" vertical="center"/>
    </xf>
    <xf numFmtId="4" fontId="18" fillId="3" borderId="14" xfId="0" applyNumberFormat="1" applyFont="1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56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10" xfId="0" applyBorder="1" applyAlignment="1">
      <alignment horizontal="center" vertical="center" wrapText="1"/>
    </xf>
    <xf numFmtId="0" fontId="0" fillId="0" borderId="56" xfId="0" applyBorder="1" applyAlignment="1">
      <alignment horizontal="center" vertical="center" wrapText="1"/>
    </xf>
    <xf numFmtId="0" fontId="0" fillId="0" borderId="31" xfId="0" applyBorder="1" applyAlignment="1">
      <alignment horizontal="center" vertical="center" wrapText="1"/>
    </xf>
    <xf numFmtId="0" fontId="0" fillId="0" borderId="29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5" fillId="6" borderId="3" xfId="0" applyFont="1" applyFill="1" applyBorder="1" applyAlignment="1">
      <alignment horizontal="center" vertical="center"/>
    </xf>
    <xf numFmtId="0" fontId="3" fillId="12" borderId="29" xfId="0" applyFont="1" applyFill="1" applyBorder="1" applyAlignment="1">
      <alignment horizontal="center" vertical="center"/>
    </xf>
    <xf numFmtId="0" fontId="3" fillId="12" borderId="20" xfId="0" applyFont="1" applyFill="1" applyBorder="1" applyAlignment="1">
      <alignment horizontal="center" vertical="center"/>
    </xf>
    <xf numFmtId="0" fontId="0" fillId="12" borderId="29" xfId="0" applyFill="1" applyBorder="1" applyAlignment="1">
      <alignment horizontal="left" vertical="center"/>
    </xf>
    <xf numFmtId="0" fontId="0" fillId="12" borderId="20" xfId="0" applyFill="1" applyBorder="1" applyAlignment="1">
      <alignment horizontal="left" vertical="center"/>
    </xf>
    <xf numFmtId="0" fontId="0" fillId="12" borderId="14" xfId="0" applyFill="1" applyBorder="1" applyAlignment="1">
      <alignment horizontal="left" vertical="center"/>
    </xf>
    <xf numFmtId="168" fontId="0" fillId="12" borderId="29" xfId="0" applyNumberFormat="1" applyFill="1" applyBorder="1" applyAlignment="1">
      <alignment horizontal="left" vertical="center"/>
    </xf>
    <xf numFmtId="168" fontId="0" fillId="12" borderId="20" xfId="0" applyNumberFormat="1" applyFill="1" applyBorder="1" applyAlignment="1">
      <alignment horizontal="left" vertical="center"/>
    </xf>
    <xf numFmtId="168" fontId="0" fillId="12" borderId="14" xfId="0" applyNumberFormat="1" applyFill="1" applyBorder="1" applyAlignment="1">
      <alignment horizontal="left" vertical="center"/>
    </xf>
    <xf numFmtId="0" fontId="0" fillId="12" borderId="15" xfId="0" applyFill="1" applyBorder="1" applyAlignment="1">
      <alignment horizontal="center"/>
    </xf>
    <xf numFmtId="0" fontId="0" fillId="12" borderId="15" xfId="0" applyFill="1" applyBorder="1" applyAlignment="1">
      <alignment horizontal="left" vertical="top" wrapText="1"/>
    </xf>
    <xf numFmtId="0" fontId="0" fillId="12" borderId="27" xfId="0" applyFill="1" applyBorder="1" applyAlignment="1">
      <alignment horizontal="left" vertical="top" wrapText="1"/>
    </xf>
    <xf numFmtId="0" fontId="0" fillId="12" borderId="22" xfId="0" applyFill="1" applyBorder="1" applyAlignment="1">
      <alignment horizontal="left" vertical="top" wrapText="1"/>
    </xf>
    <xf numFmtId="0" fontId="0" fillId="12" borderId="28" xfId="0" applyFill="1" applyBorder="1" applyAlignment="1">
      <alignment horizontal="left" vertical="top" wrapText="1"/>
    </xf>
    <xf numFmtId="4" fontId="0" fillId="2" borderId="10" xfId="1" applyNumberFormat="1" applyFont="1" applyFill="1" applyBorder="1" applyAlignment="1" applyProtection="1">
      <alignment horizontal="center" vertical="center"/>
      <protection locked="0"/>
    </xf>
    <xf numFmtId="4" fontId="14" fillId="3" borderId="55" xfId="1" applyNumberFormat="1" applyFont="1" applyFill="1" applyBorder="1" applyAlignment="1">
      <alignment horizontal="center" vertical="center"/>
    </xf>
    <xf numFmtId="4" fontId="14" fillId="3" borderId="35" xfId="1" applyNumberFormat="1" applyFont="1" applyFill="1" applyBorder="1" applyAlignment="1">
      <alignment horizontal="center" vertical="center"/>
    </xf>
    <xf numFmtId="176" fontId="0" fillId="3" borderId="51" xfId="1" applyNumberFormat="1" applyFont="1" applyFill="1" applyBorder="1" applyAlignment="1" applyProtection="1">
      <alignment horizontal="center" vertical="center"/>
      <protection hidden="1"/>
    </xf>
    <xf numFmtId="176" fontId="0" fillId="3" borderId="45" xfId="1" applyNumberFormat="1" applyFont="1" applyFill="1" applyBorder="1" applyAlignment="1" applyProtection="1">
      <alignment horizontal="center" vertical="center"/>
      <protection hidden="1"/>
    </xf>
    <xf numFmtId="173" fontId="0" fillId="3" borderId="29" xfId="1" applyNumberFormat="1" applyFont="1" applyFill="1" applyBorder="1" applyAlignment="1" applyProtection="1">
      <alignment horizontal="center" vertical="center"/>
      <protection hidden="1"/>
    </xf>
    <xf numFmtId="173" fontId="0" fillId="3" borderId="20" xfId="1" applyNumberFormat="1" applyFont="1" applyFill="1" applyBorder="1" applyAlignment="1" applyProtection="1">
      <alignment horizontal="center" vertical="center"/>
      <protection hidden="1"/>
    </xf>
    <xf numFmtId="0" fontId="18" fillId="6" borderId="42" xfId="0" applyFont="1" applyFill="1" applyBorder="1" applyAlignment="1">
      <alignment horizontal="center" vertical="center"/>
    </xf>
    <xf numFmtId="0" fontId="18" fillId="6" borderId="43" xfId="0" applyFont="1" applyFill="1" applyBorder="1" applyAlignment="1">
      <alignment horizontal="center" vertical="center"/>
    </xf>
    <xf numFmtId="0" fontId="18" fillId="6" borderId="44" xfId="0" applyFont="1" applyFill="1" applyBorder="1" applyAlignment="1">
      <alignment horizontal="center" vertical="center"/>
    </xf>
    <xf numFmtId="0" fontId="18" fillId="6" borderId="46" xfId="0" applyFont="1" applyFill="1" applyBorder="1" applyAlignment="1">
      <alignment horizontal="center" vertical="center"/>
    </xf>
    <xf numFmtId="0" fontId="18" fillId="6" borderId="0" xfId="0" applyFont="1" applyFill="1" applyAlignment="1">
      <alignment horizontal="center" vertical="center"/>
    </xf>
    <xf numFmtId="0" fontId="18" fillId="6" borderId="49" xfId="0" applyFont="1" applyFill="1" applyBorder="1" applyAlignment="1">
      <alignment horizontal="center" vertical="center"/>
    </xf>
    <xf numFmtId="0" fontId="18" fillId="6" borderId="50" xfId="0" applyFont="1" applyFill="1" applyBorder="1" applyAlignment="1">
      <alignment horizontal="center" vertical="center"/>
    </xf>
    <xf numFmtId="0" fontId="13" fillId="3" borderId="37" xfId="0" applyFont="1" applyFill="1" applyBorder="1" applyAlignment="1">
      <alignment horizontal="center" vertical="center"/>
    </xf>
    <xf numFmtId="0" fontId="13" fillId="3" borderId="35" xfId="0" applyFont="1" applyFill="1" applyBorder="1" applyAlignment="1">
      <alignment horizontal="center" vertical="center"/>
    </xf>
    <xf numFmtId="0" fontId="13" fillId="3" borderId="36" xfId="0" applyFont="1" applyFill="1" applyBorder="1" applyAlignment="1">
      <alignment horizontal="center" vertical="center"/>
    </xf>
    <xf numFmtId="0" fontId="3" fillId="3" borderId="48" xfId="0" applyFont="1" applyFill="1" applyBorder="1" applyAlignment="1">
      <alignment horizontal="center" vertical="center"/>
    </xf>
    <xf numFmtId="0" fontId="3" fillId="3" borderId="49" xfId="0" applyFont="1" applyFill="1" applyBorder="1" applyAlignment="1">
      <alignment horizontal="center" vertical="center"/>
    </xf>
    <xf numFmtId="4" fontId="3" fillId="3" borderId="48" xfId="1" applyNumberFormat="1" applyFont="1" applyFill="1" applyBorder="1" applyAlignment="1">
      <alignment horizontal="center" vertical="center"/>
    </xf>
    <xf numFmtId="4" fontId="3" fillId="3" borderId="49" xfId="1" applyNumberFormat="1" applyFont="1" applyFill="1" applyBorder="1" applyAlignment="1">
      <alignment horizontal="center" vertical="center"/>
    </xf>
    <xf numFmtId="4" fontId="0" fillId="3" borderId="33" xfId="1" applyNumberFormat="1" applyFont="1" applyFill="1" applyBorder="1" applyAlignment="1">
      <alignment horizontal="center" vertical="center"/>
    </xf>
    <xf numFmtId="4" fontId="0" fillId="3" borderId="34" xfId="1" applyNumberFormat="1" applyFont="1" applyFill="1" applyBorder="1" applyAlignment="1">
      <alignment horizontal="center" vertical="center"/>
    </xf>
    <xf numFmtId="4" fontId="0" fillId="3" borderId="38" xfId="1" applyNumberFormat="1" applyFont="1" applyFill="1" applyBorder="1" applyAlignment="1">
      <alignment horizontal="center" vertical="center"/>
    </xf>
    <xf numFmtId="0" fontId="0" fillId="0" borderId="29" xfId="0" applyBorder="1" applyAlignment="1" applyProtection="1">
      <alignment horizontal="center"/>
      <protection locked="0"/>
    </xf>
    <xf numFmtId="0" fontId="0" fillId="0" borderId="20" xfId="0" applyBorder="1" applyAlignment="1" applyProtection="1">
      <alignment horizontal="center"/>
      <protection locked="0"/>
    </xf>
    <xf numFmtId="0" fontId="0" fillId="0" borderId="19" xfId="0" applyBorder="1" applyAlignment="1">
      <alignment horizontal="center"/>
    </xf>
    <xf numFmtId="4" fontId="0" fillId="0" borderId="9" xfId="1" applyNumberFormat="1" applyFont="1" applyBorder="1" applyAlignment="1">
      <alignment horizontal="center" vertical="center"/>
    </xf>
    <xf numFmtId="4" fontId="1" fillId="0" borderId="10" xfId="1" applyNumberFormat="1" applyBorder="1" applyAlignment="1">
      <alignment horizontal="center" vertical="center"/>
    </xf>
    <xf numFmtId="2" fontId="0" fillId="0" borderId="51" xfId="0" applyNumberFormat="1" applyBorder="1" applyAlignment="1" applyProtection="1">
      <alignment horizontal="center"/>
      <protection locked="0"/>
    </xf>
    <xf numFmtId="2" fontId="0" fillId="0" borderId="45" xfId="0" applyNumberFormat="1" applyBorder="1" applyAlignment="1" applyProtection="1">
      <alignment horizontal="center"/>
      <protection locked="0"/>
    </xf>
    <xf numFmtId="0" fontId="0" fillId="0" borderId="1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2" xfId="0" applyBorder="1" applyAlignment="1">
      <alignment horizontal="center"/>
    </xf>
    <xf numFmtId="4" fontId="0" fillId="0" borderId="13" xfId="1" applyNumberFormat="1" applyFont="1" applyBorder="1" applyAlignment="1">
      <alignment horizontal="center" vertical="center"/>
    </xf>
    <xf numFmtId="4" fontId="1" fillId="0" borderId="15" xfId="1" applyNumberFormat="1" applyBorder="1" applyAlignment="1">
      <alignment horizontal="center" vertical="center"/>
    </xf>
    <xf numFmtId="0" fontId="3" fillId="3" borderId="55" xfId="0" applyFont="1" applyFill="1" applyBorder="1" applyAlignment="1">
      <alignment horizontal="center" vertical="center"/>
    </xf>
    <xf numFmtId="0" fontId="3" fillId="3" borderId="35" xfId="0" applyFont="1" applyFill="1" applyBorder="1" applyAlignment="1">
      <alignment horizontal="center" vertical="center"/>
    </xf>
    <xf numFmtId="0" fontId="3" fillId="3" borderId="37" xfId="0" applyFont="1" applyFill="1" applyBorder="1" applyAlignment="1">
      <alignment horizontal="center" vertical="center"/>
    </xf>
    <xf numFmtId="0" fontId="3" fillId="3" borderId="60" xfId="0" applyFont="1" applyFill="1" applyBorder="1" applyAlignment="1">
      <alignment horizontal="center" vertical="center"/>
    </xf>
    <xf numFmtId="4" fontId="0" fillId="0" borderId="62" xfId="1" applyNumberFormat="1" applyFont="1" applyBorder="1" applyAlignment="1">
      <alignment horizontal="center" vertical="center"/>
    </xf>
    <xf numFmtId="4" fontId="1" fillId="0" borderId="31" xfId="1" applyNumberFormat="1" applyBorder="1" applyAlignment="1">
      <alignment horizontal="center" vertical="center"/>
    </xf>
    <xf numFmtId="0" fontId="3" fillId="3" borderId="36" xfId="0" applyFont="1" applyFill="1" applyBorder="1" applyAlignment="1">
      <alignment horizontal="center" vertical="center"/>
    </xf>
    <xf numFmtId="2" fontId="4" fillId="0" borderId="42" xfId="0" applyNumberFormat="1" applyFont="1" applyBorder="1" applyAlignment="1" applyProtection="1">
      <alignment horizontal="center" vertical="center"/>
      <protection locked="0"/>
    </xf>
    <xf numFmtId="2" fontId="4" fillId="0" borderId="44" xfId="0" applyNumberFormat="1" applyFont="1" applyBorder="1" applyAlignment="1" applyProtection="1">
      <alignment horizontal="center" vertical="center"/>
      <protection locked="0"/>
    </xf>
    <xf numFmtId="2" fontId="4" fillId="0" borderId="46" xfId="0" applyNumberFormat="1" applyFont="1" applyBorder="1" applyAlignment="1" applyProtection="1">
      <alignment horizontal="center" vertical="center"/>
      <protection locked="0"/>
    </xf>
    <xf numFmtId="2" fontId="4" fillId="0" borderId="47" xfId="0" applyNumberFormat="1" applyFont="1" applyBorder="1" applyAlignment="1" applyProtection="1">
      <alignment horizontal="center" vertical="center"/>
      <protection locked="0"/>
    </xf>
    <xf numFmtId="2" fontId="4" fillId="0" borderId="48" xfId="0" applyNumberFormat="1" applyFont="1" applyBorder="1" applyAlignment="1" applyProtection="1">
      <alignment horizontal="center" vertical="center"/>
      <protection locked="0"/>
    </xf>
    <xf numFmtId="2" fontId="4" fillId="0" borderId="50" xfId="0" applyNumberFormat="1" applyFont="1" applyBorder="1" applyAlignment="1" applyProtection="1">
      <alignment horizontal="center" vertical="center"/>
      <protection locked="0"/>
    </xf>
    <xf numFmtId="177" fontId="0" fillId="0" borderId="40" xfId="1" applyNumberFormat="1" applyFont="1" applyBorder="1" applyAlignment="1" applyProtection="1">
      <alignment horizontal="center" vertical="center"/>
      <protection locked="0"/>
    </xf>
    <xf numFmtId="177" fontId="0" fillId="0" borderId="58" xfId="1" applyNumberFormat="1" applyFont="1" applyBorder="1" applyAlignment="1" applyProtection="1">
      <alignment horizontal="center" vertical="center"/>
      <protection locked="0"/>
    </xf>
    <xf numFmtId="4" fontId="0" fillId="3" borderId="37" xfId="1" applyNumberFormat="1" applyFont="1" applyFill="1" applyBorder="1" applyAlignment="1" applyProtection="1">
      <alignment horizontal="center" vertical="center"/>
      <protection locked="0"/>
    </xf>
    <xf numFmtId="4" fontId="0" fillId="3" borderId="60" xfId="1" applyNumberFormat="1" applyFont="1" applyFill="1" applyBorder="1" applyAlignment="1" applyProtection="1">
      <alignment horizontal="center" vertical="center"/>
      <protection locked="0"/>
    </xf>
    <xf numFmtId="2" fontId="4" fillId="3" borderId="51" xfId="0" applyNumberFormat="1" applyFont="1" applyFill="1" applyBorder="1" applyAlignment="1">
      <alignment horizontal="center" vertical="center"/>
    </xf>
    <xf numFmtId="2" fontId="4" fillId="3" borderId="45" xfId="0" applyNumberFormat="1" applyFont="1" applyFill="1" applyBorder="1" applyAlignment="1">
      <alignment horizontal="center" vertical="center"/>
    </xf>
    <xf numFmtId="2" fontId="4" fillId="3" borderId="29" xfId="0" applyNumberFormat="1" applyFont="1" applyFill="1" applyBorder="1" applyAlignment="1">
      <alignment horizontal="center" vertical="center"/>
    </xf>
    <xf numFmtId="2" fontId="4" fillId="3" borderId="20" xfId="0" applyNumberFormat="1" applyFont="1" applyFill="1" applyBorder="1" applyAlignment="1">
      <alignment horizontal="center" vertical="center"/>
    </xf>
    <xf numFmtId="4" fontId="0" fillId="0" borderId="15" xfId="1" applyNumberFormat="1" applyFont="1" applyBorder="1" applyAlignment="1">
      <alignment horizontal="center" vertical="center"/>
    </xf>
    <xf numFmtId="4" fontId="0" fillId="2" borderId="15" xfId="1" applyNumberFormat="1" applyFont="1" applyFill="1" applyBorder="1" applyAlignment="1" applyProtection="1">
      <alignment horizontal="center" vertical="center"/>
      <protection locked="0"/>
    </xf>
    <xf numFmtId="0" fontId="0" fillId="3" borderId="40" xfId="0" applyFill="1" applyBorder="1" applyAlignment="1" applyProtection="1">
      <alignment horizontal="center"/>
      <protection hidden="1"/>
    </xf>
    <xf numFmtId="0" fontId="0" fillId="3" borderId="58" xfId="0" applyFill="1" applyBorder="1" applyAlignment="1" applyProtection="1">
      <alignment horizontal="center"/>
      <protection hidden="1"/>
    </xf>
    <xf numFmtId="0" fontId="0" fillId="0" borderId="57" xfId="0" applyBorder="1" applyAlignment="1">
      <alignment horizontal="center"/>
    </xf>
    <xf numFmtId="0" fontId="0" fillId="0" borderId="58" xfId="0" applyBorder="1" applyAlignment="1">
      <alignment horizontal="center"/>
    </xf>
    <xf numFmtId="0" fontId="0" fillId="0" borderId="6" xfId="0" applyBorder="1" applyAlignment="1">
      <alignment horizontal="center"/>
    </xf>
    <xf numFmtId="4" fontId="0" fillId="3" borderId="29" xfId="1" applyNumberFormat="1" applyFont="1" applyFill="1" applyBorder="1" applyAlignment="1" applyProtection="1">
      <alignment horizontal="center" vertical="center"/>
      <protection hidden="1"/>
    </xf>
    <xf numFmtId="4" fontId="0" fillId="3" borderId="20" xfId="1" applyNumberFormat="1" applyFont="1" applyFill="1" applyBorder="1" applyAlignment="1" applyProtection="1">
      <alignment horizontal="center" vertical="center"/>
      <protection hidden="1"/>
    </xf>
    <xf numFmtId="4" fontId="12" fillId="5" borderId="68" xfId="1" applyNumberFormat="1" applyFont="1" applyFill="1" applyBorder="1" applyAlignment="1" applyProtection="1">
      <alignment horizontal="center" vertical="center"/>
      <protection hidden="1"/>
    </xf>
    <xf numFmtId="4" fontId="12" fillId="5" borderId="17" xfId="1" applyNumberFormat="1" applyFont="1" applyFill="1" applyBorder="1" applyAlignment="1" applyProtection="1">
      <alignment horizontal="center" vertical="center"/>
      <protection hidden="1"/>
    </xf>
    <xf numFmtId="4" fontId="33" fillId="5" borderId="68" xfId="1" applyNumberFormat="1" applyFont="1" applyFill="1" applyBorder="1" applyAlignment="1" applyProtection="1">
      <alignment horizontal="center" vertical="center" textRotation="90"/>
      <protection hidden="1"/>
    </xf>
    <xf numFmtId="4" fontId="33" fillId="5" borderId="56" xfId="1" applyNumberFormat="1" applyFont="1" applyFill="1" applyBorder="1" applyAlignment="1" applyProtection="1">
      <alignment horizontal="center" vertical="center" textRotation="90"/>
      <protection hidden="1"/>
    </xf>
    <xf numFmtId="4" fontId="19" fillId="0" borderId="13" xfId="1" applyNumberFormat="1" applyFont="1" applyBorder="1" applyAlignment="1">
      <alignment horizontal="center" vertical="center"/>
    </xf>
    <xf numFmtId="4" fontId="19" fillId="0" borderId="15" xfId="1" applyNumberFormat="1" applyFont="1" applyBorder="1" applyAlignment="1">
      <alignment horizontal="center" vertical="center"/>
    </xf>
    <xf numFmtId="0" fontId="0" fillId="3" borderId="15" xfId="0" applyFill="1" applyBorder="1" applyAlignment="1" applyProtection="1">
      <alignment horizontal="center" vertical="center"/>
      <protection hidden="1"/>
    </xf>
    <xf numFmtId="0" fontId="0" fillId="3" borderId="31" xfId="0" applyFill="1" applyBorder="1" applyAlignment="1" applyProtection="1">
      <alignment horizontal="center" vertical="center"/>
      <protection hidden="1"/>
    </xf>
    <xf numFmtId="0" fontId="0" fillId="3" borderId="34" xfId="0" applyFill="1" applyBorder="1" applyAlignment="1">
      <alignment horizontal="center" vertical="center"/>
    </xf>
    <xf numFmtId="4" fontId="0" fillId="3" borderId="15" xfId="1" applyNumberFormat="1" applyFont="1" applyFill="1" applyBorder="1" applyAlignment="1">
      <alignment horizontal="center" vertical="center"/>
    </xf>
    <xf numFmtId="4" fontId="0" fillId="3" borderId="16" xfId="1" applyNumberFormat="1" applyFont="1" applyFill="1" applyBorder="1" applyAlignment="1">
      <alignment horizontal="center" vertical="center"/>
    </xf>
    <xf numFmtId="183" fontId="0" fillId="0" borderId="13" xfId="1" applyNumberFormat="1" applyFont="1" applyBorder="1" applyAlignment="1">
      <alignment horizontal="center" vertical="center"/>
    </xf>
    <xf numFmtId="183" fontId="0" fillId="0" borderId="15" xfId="1" applyNumberFormat="1" applyFont="1" applyBorder="1" applyAlignment="1">
      <alignment horizontal="center" vertical="center"/>
    </xf>
    <xf numFmtId="4" fontId="3" fillId="3" borderId="15" xfId="1" applyNumberFormat="1" applyFont="1" applyFill="1" applyBorder="1" applyAlignment="1" applyProtection="1">
      <alignment horizontal="center" vertical="center"/>
      <protection hidden="1"/>
    </xf>
    <xf numFmtId="4" fontId="3" fillId="3" borderId="16" xfId="1" applyNumberFormat="1" applyFont="1" applyFill="1" applyBorder="1" applyAlignment="1" applyProtection="1">
      <alignment horizontal="center" vertical="center"/>
      <protection hidden="1"/>
    </xf>
    <xf numFmtId="0" fontId="13" fillId="3" borderId="12" xfId="0" applyFont="1" applyFill="1" applyBorder="1" applyAlignment="1">
      <alignment horizontal="center" vertical="center"/>
    </xf>
    <xf numFmtId="0" fontId="13" fillId="3" borderId="3" xfId="0" applyFont="1" applyFill="1" applyBorder="1" applyAlignment="1">
      <alignment horizontal="center" vertical="center"/>
    </xf>
    <xf numFmtId="0" fontId="13" fillId="3" borderId="4" xfId="0" applyFont="1" applyFill="1" applyBorder="1" applyAlignment="1">
      <alignment horizontal="center" vertical="center"/>
    </xf>
    <xf numFmtId="4" fontId="0" fillId="3" borderId="13" xfId="1" applyNumberFormat="1" applyFont="1" applyFill="1" applyBorder="1" applyAlignment="1" applyProtection="1">
      <alignment horizontal="center" vertical="center"/>
      <protection locked="0"/>
    </xf>
    <xf numFmtId="4" fontId="0" fillId="3" borderId="15" xfId="1" applyNumberFormat="1" applyFont="1" applyFill="1" applyBorder="1" applyAlignment="1" applyProtection="1">
      <alignment horizontal="center" vertical="center"/>
      <protection locked="0"/>
    </xf>
    <xf numFmtId="4" fontId="3" fillId="3" borderId="15" xfId="1" applyNumberFormat="1" applyFont="1" applyFill="1" applyBorder="1" applyAlignment="1">
      <alignment horizontal="center" vertical="center"/>
    </xf>
    <xf numFmtId="4" fontId="0" fillId="3" borderId="42" xfId="1" applyNumberFormat="1" applyFont="1" applyFill="1" applyBorder="1" applyAlignment="1" applyProtection="1">
      <alignment horizontal="center" vertical="center"/>
      <protection locked="0"/>
    </xf>
    <xf numFmtId="4" fontId="0" fillId="3" borderId="66" xfId="1" applyNumberFormat="1" applyFont="1" applyFill="1" applyBorder="1" applyAlignment="1" applyProtection="1">
      <alignment horizontal="center" vertical="center"/>
      <protection locked="0"/>
    </xf>
    <xf numFmtId="4" fontId="12" fillId="5" borderId="15" xfId="1" applyNumberFormat="1" applyFont="1" applyFill="1" applyBorder="1" applyAlignment="1" applyProtection="1">
      <alignment horizontal="center" vertical="center"/>
      <protection hidden="1"/>
    </xf>
    <xf numFmtId="0" fontId="0" fillId="3" borderId="10" xfId="0" applyFill="1" applyBorder="1" applyAlignment="1" applyProtection="1">
      <alignment horizontal="center" vertical="center"/>
      <protection hidden="1"/>
    </xf>
    <xf numFmtId="4" fontId="12" fillId="0" borderId="15" xfId="1" applyNumberFormat="1" applyFont="1" applyBorder="1" applyAlignment="1">
      <alignment horizontal="center" vertical="center"/>
    </xf>
    <xf numFmtId="0" fontId="12" fillId="6" borderId="15" xfId="0" applyFont="1" applyFill="1" applyBorder="1" applyAlignment="1">
      <alignment horizontal="center" vertical="center"/>
    </xf>
    <xf numFmtId="0" fontId="0" fillId="3" borderId="15" xfId="0" applyFill="1" applyBorder="1" applyAlignment="1">
      <alignment horizontal="center"/>
    </xf>
    <xf numFmtId="0" fontId="12" fillId="6" borderId="12" xfId="0" applyFont="1" applyFill="1" applyBorder="1" applyAlignment="1">
      <alignment horizontal="center" vertical="center"/>
    </xf>
    <xf numFmtId="0" fontId="12" fillId="6" borderId="3" xfId="0" applyFont="1" applyFill="1" applyBorder="1" applyAlignment="1">
      <alignment horizontal="center" vertical="center"/>
    </xf>
    <xf numFmtId="0" fontId="12" fillId="6" borderId="4" xfId="0" applyFont="1" applyFill="1" applyBorder="1" applyAlignment="1">
      <alignment horizontal="center" vertical="center"/>
    </xf>
    <xf numFmtId="0" fontId="12" fillId="6" borderId="13" xfId="0" applyFont="1" applyFill="1" applyBorder="1" applyAlignment="1">
      <alignment horizontal="center" vertical="center"/>
    </xf>
    <xf numFmtId="0" fontId="12" fillId="6" borderId="16" xfId="0" applyFont="1" applyFill="1" applyBorder="1" applyAlignment="1">
      <alignment horizontal="center" vertical="center"/>
    </xf>
    <xf numFmtId="0" fontId="0" fillId="0" borderId="7" xfId="0" applyBorder="1" applyAlignment="1">
      <alignment horizontal="center"/>
    </xf>
    <xf numFmtId="0" fontId="4" fillId="4" borderId="13" xfId="0" applyFont="1" applyFill="1" applyBorder="1" applyAlignment="1">
      <alignment horizontal="center" vertical="center"/>
    </xf>
    <xf numFmtId="0" fontId="4" fillId="4" borderId="15" xfId="0" applyFont="1" applyFill="1" applyBorder="1" applyAlignment="1">
      <alignment horizontal="center" vertical="center"/>
    </xf>
    <xf numFmtId="0" fontId="4" fillId="4" borderId="5" xfId="0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center" vertical="center"/>
    </xf>
    <xf numFmtId="0" fontId="25" fillId="5" borderId="12" xfId="0" applyFont="1" applyFill="1" applyBorder="1" applyAlignment="1">
      <alignment horizontal="center" vertical="center"/>
    </xf>
    <xf numFmtId="0" fontId="25" fillId="5" borderId="3" xfId="0" applyFont="1" applyFill="1" applyBorder="1" applyAlignment="1">
      <alignment horizontal="center" vertical="center"/>
    </xf>
    <xf numFmtId="0" fontId="25" fillId="5" borderId="4" xfId="0" applyFont="1" applyFill="1" applyBorder="1" applyAlignment="1">
      <alignment horizontal="center" vertical="center"/>
    </xf>
    <xf numFmtId="0" fontId="0" fillId="4" borderId="15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0" fillId="3" borderId="16" xfId="0" applyFill="1" applyBorder="1" applyAlignment="1">
      <alignment horizontal="center"/>
    </xf>
    <xf numFmtId="0" fontId="0" fillId="12" borderId="29" xfId="0" applyFill="1" applyBorder="1" applyAlignment="1">
      <alignment horizontal="center"/>
    </xf>
    <xf numFmtId="0" fontId="0" fillId="12" borderId="20" xfId="0" applyFill="1" applyBorder="1" applyAlignment="1">
      <alignment horizontal="center"/>
    </xf>
    <xf numFmtId="0" fontId="0" fillId="12" borderId="14" xfId="0" applyFill="1" applyBorder="1" applyAlignment="1">
      <alignment horizontal="center"/>
    </xf>
    <xf numFmtId="0" fontId="0" fillId="0" borderId="15" xfId="0" applyBorder="1" applyAlignment="1">
      <alignment horizontal="center" vertical="center"/>
    </xf>
    <xf numFmtId="0" fontId="0" fillId="6" borderId="0" xfId="0" applyFill="1" applyAlignment="1">
      <alignment horizontal="center"/>
    </xf>
    <xf numFmtId="0" fontId="0" fillId="6" borderId="47" xfId="0" applyFill="1" applyBorder="1" applyAlignment="1">
      <alignment horizontal="center"/>
    </xf>
    <xf numFmtId="0" fontId="0" fillId="14" borderId="15" xfId="0" applyFill="1" applyBorder="1" applyAlignment="1">
      <alignment horizontal="center"/>
    </xf>
    <xf numFmtId="0" fontId="0" fillId="14" borderId="15" xfId="0" applyFill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3" borderId="1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18" fillId="3" borderId="15" xfId="0" applyFont="1" applyFill="1" applyBorder="1" applyAlignment="1">
      <alignment horizontal="center" vertical="center"/>
    </xf>
    <xf numFmtId="4" fontId="19" fillId="0" borderId="9" xfId="1" applyNumberFormat="1" applyFont="1" applyBorder="1" applyAlignment="1">
      <alignment horizontal="center" vertical="center"/>
    </xf>
    <xf numFmtId="4" fontId="19" fillId="0" borderId="10" xfId="1" applyNumberFormat="1" applyFont="1" applyBorder="1" applyAlignment="1">
      <alignment horizontal="center" vertical="center"/>
    </xf>
    <xf numFmtId="4" fontId="12" fillId="3" borderId="12" xfId="1" applyNumberFormat="1" applyFont="1" applyFill="1" applyBorder="1" applyAlignment="1">
      <alignment horizontal="center" vertical="center"/>
    </xf>
    <xf numFmtId="4" fontId="12" fillId="3" borderId="3" xfId="1" applyNumberFormat="1" applyFont="1" applyFill="1" applyBorder="1" applyAlignment="1">
      <alignment horizontal="center" vertical="center"/>
    </xf>
    <xf numFmtId="4" fontId="12" fillId="3" borderId="5" xfId="1" applyNumberFormat="1" applyFont="1" applyFill="1" applyBorder="1" applyAlignment="1">
      <alignment horizontal="center" vertical="center"/>
    </xf>
    <xf numFmtId="4" fontId="12" fillId="3" borderId="7" xfId="1" applyNumberFormat="1" applyFont="1" applyFill="1" applyBorder="1" applyAlignment="1">
      <alignment horizontal="center" vertical="center"/>
    </xf>
    <xf numFmtId="4" fontId="12" fillId="3" borderId="24" xfId="1" applyNumberFormat="1" applyFont="1" applyFill="1" applyBorder="1" applyAlignment="1">
      <alignment horizontal="center" vertical="center"/>
    </xf>
    <xf numFmtId="4" fontId="12" fillId="3" borderId="0" xfId="1" applyNumberFormat="1" applyFont="1" applyFill="1" applyAlignment="1">
      <alignment horizontal="center" vertical="center"/>
    </xf>
    <xf numFmtId="0" fontId="2" fillId="0" borderId="15" xfId="0" applyFont="1" applyBorder="1" applyAlignment="1" applyProtection="1">
      <alignment horizontal="left" vertical="center" wrapText="1"/>
      <protection locked="0"/>
    </xf>
    <xf numFmtId="0" fontId="0" fillId="3" borderId="29" xfId="0" applyFill="1" applyBorder="1" applyAlignment="1">
      <alignment horizontal="center"/>
    </xf>
    <xf numFmtId="0" fontId="0" fillId="3" borderId="20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32" fillId="6" borderId="37" xfId="0" applyFont="1" applyFill="1" applyBorder="1" applyAlignment="1">
      <alignment horizontal="center" vertical="center"/>
    </xf>
    <xf numFmtId="0" fontId="32" fillId="6" borderId="35" xfId="0" applyFont="1" applyFill="1" applyBorder="1" applyAlignment="1">
      <alignment horizontal="center" vertical="center"/>
    </xf>
    <xf numFmtId="0" fontId="32" fillId="6" borderId="36" xfId="0" applyFont="1" applyFill="1" applyBorder="1" applyAlignment="1">
      <alignment horizontal="center" vertical="center"/>
    </xf>
    <xf numFmtId="172" fontId="0" fillId="3" borderId="27" xfId="0" applyNumberFormat="1" applyFill="1" applyBorder="1" applyAlignment="1">
      <alignment horizontal="center"/>
    </xf>
    <xf numFmtId="0" fontId="0" fillId="3" borderId="22" xfId="0" applyFill="1" applyBorder="1" applyAlignment="1">
      <alignment horizontal="center"/>
    </xf>
    <xf numFmtId="0" fontId="0" fillId="3" borderId="28" xfId="0" applyFill="1" applyBorder="1" applyAlignment="1">
      <alignment horizontal="center"/>
    </xf>
    <xf numFmtId="172" fontId="3" fillId="15" borderId="27" xfId="0" applyNumberFormat="1" applyFont="1" applyFill="1" applyBorder="1" applyAlignment="1">
      <alignment horizontal="center"/>
    </xf>
    <xf numFmtId="0" fontId="3" fillId="15" borderId="28" xfId="0" applyFont="1" applyFill="1" applyBorder="1" applyAlignment="1">
      <alignment horizontal="center"/>
    </xf>
    <xf numFmtId="172" fontId="0" fillId="3" borderId="15" xfId="0" applyNumberFormat="1" applyFill="1" applyBorder="1" applyAlignment="1">
      <alignment horizontal="center"/>
    </xf>
    <xf numFmtId="0" fontId="0" fillId="3" borderId="31" xfId="0" applyFill="1" applyBorder="1" applyAlignment="1">
      <alignment horizontal="center"/>
    </xf>
    <xf numFmtId="0" fontId="0" fillId="3" borderId="51" xfId="0" applyFill="1" applyBorder="1" applyAlignment="1">
      <alignment horizontal="center"/>
    </xf>
    <xf numFmtId="0" fontId="0" fillId="3" borderId="45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172" fontId="0" fillId="3" borderId="31" xfId="0" applyNumberFormat="1" applyFill="1" applyBorder="1" applyAlignment="1">
      <alignment horizontal="center"/>
    </xf>
    <xf numFmtId="0" fontId="25" fillId="4" borderId="42" xfId="0" applyFont="1" applyFill="1" applyBorder="1" applyAlignment="1">
      <alignment horizontal="center" vertical="center"/>
    </xf>
    <xf numFmtId="0" fontId="25" fillId="4" borderId="43" xfId="0" applyFont="1" applyFill="1" applyBorder="1" applyAlignment="1">
      <alignment horizontal="center" vertical="center"/>
    </xf>
    <xf numFmtId="0" fontId="25" fillId="4" borderId="44" xfId="0" applyFont="1" applyFill="1" applyBorder="1" applyAlignment="1">
      <alignment horizontal="center" vertical="center"/>
    </xf>
    <xf numFmtId="0" fontId="25" fillId="4" borderId="48" xfId="0" applyFont="1" applyFill="1" applyBorder="1" applyAlignment="1">
      <alignment horizontal="center" vertical="center"/>
    </xf>
    <xf numFmtId="0" fontId="25" fillId="4" borderId="49" xfId="0" applyFont="1" applyFill="1" applyBorder="1" applyAlignment="1">
      <alignment horizontal="center" vertical="center"/>
    </xf>
    <xf numFmtId="0" fontId="25" fillId="4" borderId="50" xfId="0" applyFont="1" applyFill="1" applyBorder="1" applyAlignment="1">
      <alignment horizontal="center" vertical="center"/>
    </xf>
    <xf numFmtId="0" fontId="0" fillId="2" borderId="29" xfId="0" applyFill="1" applyBorder="1" applyAlignment="1">
      <alignment horizontal="center" vertical="center"/>
    </xf>
    <xf numFmtId="0" fontId="0" fillId="2" borderId="20" xfId="0" applyFill="1" applyBorder="1" applyAlignment="1">
      <alignment horizontal="center" vertical="center"/>
    </xf>
    <xf numFmtId="0" fontId="11" fillId="10" borderId="42" xfId="0" applyFont="1" applyFill="1" applyBorder="1" applyAlignment="1">
      <alignment horizontal="left" vertical="center"/>
    </xf>
    <xf numFmtId="0" fontId="11" fillId="10" borderId="43" xfId="0" applyFont="1" applyFill="1" applyBorder="1" applyAlignment="1">
      <alignment horizontal="left" vertical="center"/>
    </xf>
    <xf numFmtId="0" fontId="11" fillId="3" borderId="37" xfId="0" applyFont="1" applyFill="1" applyBorder="1" applyAlignment="1">
      <alignment horizontal="left" vertical="center"/>
    </xf>
    <xf numFmtId="0" fontId="11" fillId="3" borderId="35" xfId="0" applyFont="1" applyFill="1" applyBorder="1" applyAlignment="1">
      <alignment horizontal="left" vertical="center"/>
    </xf>
    <xf numFmtId="0" fontId="3" fillId="4" borderId="37" xfId="0" applyFont="1" applyFill="1" applyBorder="1" applyAlignment="1">
      <alignment horizontal="center" vertical="center"/>
    </xf>
    <xf numFmtId="0" fontId="3" fillId="4" borderId="43" xfId="0" applyFont="1" applyFill="1" applyBorder="1" applyAlignment="1">
      <alignment horizontal="center" vertical="center"/>
    </xf>
    <xf numFmtId="0" fontId="3" fillId="4" borderId="44" xfId="0" applyFont="1" applyFill="1" applyBorder="1" applyAlignment="1">
      <alignment horizontal="center" vertical="center"/>
    </xf>
    <xf numFmtId="0" fontId="11" fillId="3" borderId="37" xfId="0" applyFont="1" applyFill="1" applyBorder="1" applyAlignment="1">
      <alignment horizontal="left"/>
    </xf>
    <xf numFmtId="0" fontId="11" fillId="3" borderId="35" xfId="0" applyFont="1" applyFill="1" applyBorder="1" applyAlignment="1">
      <alignment horizontal="left"/>
    </xf>
    <xf numFmtId="0" fontId="0" fillId="16" borderId="29" xfId="0" applyFill="1" applyBorder="1" applyAlignment="1">
      <alignment horizontal="center" vertical="center"/>
    </xf>
    <xf numFmtId="0" fontId="0" fillId="16" borderId="20" xfId="0" applyFill="1" applyBorder="1" applyAlignment="1">
      <alignment horizontal="center" vertical="center"/>
    </xf>
    <xf numFmtId="0" fontId="3" fillId="3" borderId="37" xfId="0" applyFont="1" applyFill="1" applyBorder="1" applyAlignment="1">
      <alignment horizontal="left"/>
    </xf>
    <xf numFmtId="0" fontId="3" fillId="3" borderId="35" xfId="0" applyFont="1" applyFill="1" applyBorder="1" applyAlignment="1">
      <alignment horizontal="left"/>
    </xf>
    <xf numFmtId="0" fontId="3" fillId="3" borderId="37" xfId="0" applyFont="1" applyFill="1" applyBorder="1" applyAlignment="1">
      <alignment horizontal="left" vertical="center"/>
    </xf>
    <xf numFmtId="0" fontId="3" fillId="3" borderId="35" xfId="0" applyFont="1" applyFill="1" applyBorder="1" applyAlignment="1">
      <alignment horizontal="left" vertical="center"/>
    </xf>
    <xf numFmtId="0" fontId="0" fillId="5" borderId="29" xfId="0" applyFill="1" applyBorder="1" applyAlignment="1">
      <alignment horizontal="center" vertical="center"/>
    </xf>
    <xf numFmtId="0" fontId="0" fillId="5" borderId="20" xfId="0" applyFill="1" applyBorder="1" applyAlignment="1">
      <alignment horizontal="center" vertical="center"/>
    </xf>
    <xf numFmtId="0" fontId="3" fillId="4" borderId="42" xfId="0" applyFont="1" applyFill="1" applyBorder="1" applyAlignment="1">
      <alignment horizontal="center" vertical="center"/>
    </xf>
    <xf numFmtId="0" fontId="3" fillId="4" borderId="48" xfId="0" applyFont="1" applyFill="1" applyBorder="1" applyAlignment="1">
      <alignment horizontal="center" vertical="center"/>
    </xf>
    <xf numFmtId="0" fontId="3" fillId="4" borderId="49" xfId="0" applyFont="1" applyFill="1" applyBorder="1" applyAlignment="1">
      <alignment horizontal="center" vertical="center"/>
    </xf>
    <xf numFmtId="0" fontId="3" fillId="4" borderId="50" xfId="0" applyFont="1" applyFill="1" applyBorder="1" applyAlignment="1">
      <alignment horizontal="center" vertical="center"/>
    </xf>
    <xf numFmtId="4" fontId="27" fillId="4" borderId="57" xfId="5" applyNumberFormat="1" applyFont="1" applyFill="1" applyBorder="1" applyAlignment="1">
      <alignment horizontal="center" vertical="center" wrapText="1"/>
    </xf>
    <xf numFmtId="4" fontId="27" fillId="4" borderId="58" xfId="5" applyNumberFormat="1" applyFont="1" applyFill="1" applyBorder="1" applyAlignment="1">
      <alignment horizontal="center" vertical="center" wrapText="1"/>
    </xf>
    <xf numFmtId="4" fontId="27" fillId="4" borderId="59" xfId="5" applyNumberFormat="1" applyFont="1" applyFill="1" applyBorder="1" applyAlignment="1">
      <alignment horizontal="center" vertical="center" wrapText="1"/>
    </xf>
    <xf numFmtId="0" fontId="27" fillId="4" borderId="62" xfId="0" applyFont="1" applyFill="1" applyBorder="1" applyAlignment="1" applyProtection="1">
      <alignment horizontal="right" vertical="center" wrapText="1" indent="3"/>
      <protection locked="0"/>
    </xf>
    <xf numFmtId="0" fontId="27" fillId="4" borderId="31" xfId="0" applyFont="1" applyFill="1" applyBorder="1" applyAlignment="1" applyProtection="1">
      <alignment horizontal="right" vertical="center" wrapText="1" indent="3"/>
      <protection locked="0"/>
    </xf>
    <xf numFmtId="4" fontId="27" fillId="4" borderId="46" xfId="5" applyNumberFormat="1" applyFont="1" applyFill="1" applyBorder="1" applyAlignment="1">
      <alignment horizontal="center" vertical="center" wrapText="1"/>
    </xf>
    <xf numFmtId="4" fontId="27" fillId="4" borderId="0" xfId="5" applyNumberFormat="1" applyFont="1" applyFill="1" applyBorder="1" applyAlignment="1">
      <alignment horizontal="center" vertical="center" wrapText="1"/>
    </xf>
    <xf numFmtId="4" fontId="27" fillId="4" borderId="47" xfId="5" applyNumberFormat="1" applyFont="1" applyFill="1" applyBorder="1" applyAlignment="1">
      <alignment horizontal="center" vertical="center" wrapText="1"/>
    </xf>
    <xf numFmtId="0" fontId="27" fillId="4" borderId="13" xfId="0" applyFont="1" applyFill="1" applyBorder="1" applyAlignment="1" applyProtection="1">
      <alignment horizontal="right" vertical="center" wrapText="1" indent="3"/>
      <protection locked="0"/>
    </xf>
    <xf numFmtId="0" fontId="27" fillId="4" borderId="15" xfId="0" applyFont="1" applyFill="1" applyBorder="1" applyAlignment="1" applyProtection="1">
      <alignment horizontal="right" vertical="center" wrapText="1" indent="3"/>
      <protection locked="0"/>
    </xf>
    <xf numFmtId="4" fontId="27" fillId="4" borderId="65" xfId="5" applyNumberFormat="1" applyFont="1" applyFill="1" applyBorder="1" applyAlignment="1">
      <alignment horizontal="center" vertical="center" wrapText="1"/>
    </xf>
    <xf numFmtId="4" fontId="27" fillId="4" borderId="24" xfId="5" applyNumberFormat="1" applyFont="1" applyFill="1" applyBorder="1" applyAlignment="1">
      <alignment horizontal="center" vertical="center" wrapText="1"/>
    </xf>
    <xf numFmtId="4" fontId="27" fillId="4" borderId="52" xfId="5" applyNumberFormat="1" applyFont="1" applyFill="1" applyBorder="1" applyAlignment="1">
      <alignment horizontal="center" vertical="center" wrapText="1"/>
    </xf>
    <xf numFmtId="0" fontId="14" fillId="3" borderId="15" xfId="0" applyFont="1" applyFill="1" applyBorder="1" applyAlignment="1">
      <alignment horizontal="left" vertical="center" wrapText="1"/>
    </xf>
    <xf numFmtId="0" fontId="27" fillId="4" borderId="5" xfId="0" applyFont="1" applyFill="1" applyBorder="1" applyAlignment="1" applyProtection="1">
      <alignment horizontal="right" vertical="center" wrapText="1" indent="3"/>
      <protection locked="0"/>
    </xf>
    <xf numFmtId="0" fontId="27" fillId="4" borderId="7" xfId="0" applyFont="1" applyFill="1" applyBorder="1" applyAlignment="1" applyProtection="1">
      <alignment horizontal="right" vertical="center" wrapText="1" indent="3"/>
      <protection locked="0"/>
    </xf>
    <xf numFmtId="2" fontId="14" fillId="0" borderId="15" xfId="0" applyNumberFormat="1" applyFont="1" applyBorder="1" applyAlignment="1" applyProtection="1">
      <alignment horizontal="center" vertical="center"/>
      <protection locked="0"/>
    </xf>
    <xf numFmtId="2" fontId="14" fillId="0" borderId="29" xfId="0" applyNumberFormat="1" applyFont="1" applyBorder="1" applyAlignment="1" applyProtection="1">
      <alignment horizontal="center" vertical="center"/>
      <protection locked="0"/>
    </xf>
    <xf numFmtId="2" fontId="14" fillId="0" borderId="29" xfId="0" applyNumberFormat="1" applyFont="1" applyBorder="1" applyAlignment="1">
      <alignment horizontal="center" vertical="center" wrapText="1"/>
    </xf>
    <xf numFmtId="2" fontId="14" fillId="0" borderId="13" xfId="0" applyNumberFormat="1" applyFont="1" applyBorder="1" applyAlignment="1">
      <alignment horizontal="center" vertical="center" wrapText="1"/>
    </xf>
    <xf numFmtId="2" fontId="14" fillId="0" borderId="15" xfId="0" applyNumberFormat="1" applyFont="1" applyBorder="1" applyAlignment="1">
      <alignment horizontal="center" vertical="center" wrapText="1"/>
    </xf>
    <xf numFmtId="2" fontId="14" fillId="0" borderId="16" xfId="0" applyNumberFormat="1" applyFont="1" applyBorder="1" applyAlignment="1">
      <alignment horizontal="center" vertical="center" wrapText="1"/>
    </xf>
    <xf numFmtId="0" fontId="14" fillId="4" borderId="10" xfId="0" applyFont="1" applyFill="1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4" fontId="14" fillId="4" borderId="13" xfId="0" applyNumberFormat="1" applyFont="1" applyFill="1" applyBorder="1" applyAlignment="1">
      <alignment horizontal="center" vertical="center" wrapText="1"/>
    </xf>
    <xf numFmtId="4" fontId="14" fillId="4" borderId="15" xfId="0" applyNumberFormat="1" applyFont="1" applyFill="1" applyBorder="1" applyAlignment="1">
      <alignment horizontal="center" vertical="center" wrapText="1"/>
    </xf>
    <xf numFmtId="4" fontId="14" fillId="4" borderId="16" xfId="0" applyNumberFormat="1" applyFont="1" applyFill="1" applyBorder="1" applyAlignment="1">
      <alignment horizontal="center" vertical="center" wrapText="1"/>
    </xf>
    <xf numFmtId="0" fontId="14" fillId="3" borderId="20" xfId="0" applyFont="1" applyFill="1" applyBorder="1" applyAlignment="1">
      <alignment horizontal="left" vertical="center" wrapText="1"/>
    </xf>
    <xf numFmtId="4" fontId="14" fillId="3" borderId="13" xfId="0" applyNumberFormat="1" applyFont="1" applyFill="1" applyBorder="1" applyAlignment="1">
      <alignment horizontal="center" vertical="center" wrapText="1"/>
    </xf>
    <xf numFmtId="4" fontId="14" fillId="3" borderId="15" xfId="0" applyNumberFormat="1" applyFont="1" applyFill="1" applyBorder="1" applyAlignment="1">
      <alignment horizontal="center" vertical="center" wrapText="1"/>
    </xf>
    <xf numFmtId="4" fontId="14" fillId="3" borderId="16" xfId="0" applyNumberFormat="1" applyFont="1" applyFill="1" applyBorder="1" applyAlignment="1">
      <alignment horizontal="center" vertical="center" wrapText="1"/>
    </xf>
    <xf numFmtId="0" fontId="14" fillId="0" borderId="15" xfId="0" applyFont="1" applyBorder="1" applyAlignment="1">
      <alignment horizontal="center" vertical="center" wrapText="1"/>
    </xf>
    <xf numFmtId="2" fontId="14" fillId="0" borderId="15" xfId="5" applyNumberFormat="1" applyFont="1" applyBorder="1" applyAlignment="1">
      <alignment horizontal="center" vertical="center" wrapText="1"/>
    </xf>
    <xf numFmtId="0" fontId="0" fillId="0" borderId="3" xfId="0" applyBorder="1" applyAlignment="1">
      <alignment horizontal="center"/>
    </xf>
    <xf numFmtId="0" fontId="0" fillId="0" borderId="73" xfId="0" applyBorder="1" applyAlignment="1">
      <alignment horizontal="center"/>
    </xf>
    <xf numFmtId="0" fontId="0" fillId="0" borderId="72" xfId="0" applyBorder="1" applyAlignment="1">
      <alignment horizontal="center"/>
    </xf>
    <xf numFmtId="0" fontId="5" fillId="6" borderId="66" xfId="0" applyFont="1" applyFill="1" applyBorder="1" applyAlignment="1">
      <alignment horizontal="center" vertical="center"/>
    </xf>
    <xf numFmtId="0" fontId="5" fillId="6" borderId="68" xfId="0" applyFont="1" applyFill="1" applyBorder="1" applyAlignment="1">
      <alignment horizontal="center" vertical="center"/>
    </xf>
    <xf numFmtId="0" fontId="5" fillId="6" borderId="4" xfId="0" applyFont="1" applyFill="1" applyBorder="1" applyAlignment="1">
      <alignment horizontal="center" vertical="center"/>
    </xf>
    <xf numFmtId="0" fontId="3" fillId="12" borderId="14" xfId="0" applyFont="1" applyFill="1" applyBorder="1" applyAlignment="1">
      <alignment horizontal="center" vertical="center"/>
    </xf>
    <xf numFmtId="0" fontId="3" fillId="12" borderId="15" xfId="0" applyFont="1" applyFill="1" applyBorder="1" applyAlignment="1">
      <alignment horizontal="center" vertical="center"/>
    </xf>
    <xf numFmtId="0" fontId="3" fillId="12" borderId="16" xfId="0" applyFont="1" applyFill="1" applyBorder="1" applyAlignment="1">
      <alignment horizontal="center" vertical="center"/>
    </xf>
    <xf numFmtId="0" fontId="26" fillId="12" borderId="14" xfId="0" applyFont="1" applyFill="1" applyBorder="1" applyAlignment="1">
      <alignment horizontal="left" vertical="top" wrapText="1"/>
    </xf>
    <xf numFmtId="0" fontId="26" fillId="12" borderId="15" xfId="0" applyFont="1" applyFill="1" applyBorder="1" applyAlignment="1">
      <alignment horizontal="left" vertical="top" wrapText="1"/>
    </xf>
    <xf numFmtId="0" fontId="26" fillId="12" borderId="16" xfId="0" applyFont="1" applyFill="1" applyBorder="1" applyAlignment="1">
      <alignment horizontal="left" vertical="top" wrapText="1"/>
    </xf>
    <xf numFmtId="0" fontId="14" fillId="0" borderId="13" xfId="0" applyFont="1" applyBorder="1" applyAlignment="1">
      <alignment horizontal="center" vertical="center"/>
    </xf>
    <xf numFmtId="0" fontId="14" fillId="0" borderId="15" xfId="0" applyFont="1" applyBorder="1" applyAlignment="1">
      <alignment horizontal="center" vertical="center"/>
    </xf>
    <xf numFmtId="0" fontId="14" fillId="0" borderId="29" xfId="0" applyFont="1" applyBorder="1" applyAlignment="1">
      <alignment horizontal="center" vertical="center"/>
    </xf>
    <xf numFmtId="0" fontId="14" fillId="0" borderId="12" xfId="0" applyFont="1" applyBorder="1" applyAlignment="1">
      <alignment horizontal="center" vertical="center"/>
    </xf>
    <xf numFmtId="0" fontId="14" fillId="0" borderId="3" xfId="0" applyFont="1" applyBorder="1" applyAlignment="1">
      <alignment horizontal="center" vertical="center"/>
    </xf>
    <xf numFmtId="0" fontId="14" fillId="0" borderId="4" xfId="0" applyFont="1" applyBorder="1" applyAlignment="1">
      <alignment horizontal="center" vertical="center"/>
    </xf>
    <xf numFmtId="0" fontId="14" fillId="0" borderId="29" xfId="0" applyFont="1" applyBorder="1" applyAlignment="1">
      <alignment horizontal="left" vertical="center"/>
    </xf>
    <xf numFmtId="0" fontId="14" fillId="0" borderId="20" xfId="0" applyFont="1" applyBorder="1" applyAlignment="1">
      <alignment horizontal="left" vertical="center"/>
    </xf>
    <xf numFmtId="2" fontId="14" fillId="0" borderId="15" xfId="0" applyNumberFormat="1" applyFont="1" applyBorder="1" applyAlignment="1">
      <alignment horizontal="center" vertical="center"/>
    </xf>
    <xf numFmtId="2" fontId="14" fillId="0" borderId="29" xfId="0" applyNumberFormat="1" applyFont="1" applyBorder="1" applyAlignment="1">
      <alignment horizontal="center" vertical="center"/>
    </xf>
    <xf numFmtId="2" fontId="34" fillId="0" borderId="65" xfId="0" applyNumberFormat="1" applyFont="1" applyBorder="1" applyAlignment="1">
      <alignment horizontal="left" vertical="center" wrapText="1"/>
    </xf>
    <xf numFmtId="2" fontId="34" fillId="0" borderId="24" xfId="0" applyNumberFormat="1" applyFont="1" applyBorder="1" applyAlignment="1">
      <alignment horizontal="left" vertical="center" wrapText="1"/>
    </xf>
    <xf numFmtId="2" fontId="34" fillId="0" borderId="25" xfId="0" applyNumberFormat="1" applyFont="1" applyBorder="1" applyAlignment="1">
      <alignment horizontal="left" vertical="center" wrapText="1"/>
    </xf>
    <xf numFmtId="2" fontId="34" fillId="0" borderId="46" xfId="0" applyNumberFormat="1" applyFont="1" applyBorder="1" applyAlignment="1">
      <alignment horizontal="left" vertical="center" wrapText="1"/>
    </xf>
    <xf numFmtId="2" fontId="34" fillId="0" borderId="0" xfId="0" applyNumberFormat="1" applyFont="1" applyAlignment="1">
      <alignment horizontal="left" vertical="center" wrapText="1"/>
    </xf>
    <xf numFmtId="2" fontId="34" fillId="0" borderId="41" xfId="0" applyNumberFormat="1" applyFont="1" applyBorder="1" applyAlignment="1">
      <alignment horizontal="left" vertical="center" wrapText="1"/>
    </xf>
    <xf numFmtId="2" fontId="34" fillId="0" borderId="64" xfId="0" applyNumberFormat="1" applyFont="1" applyBorder="1" applyAlignment="1">
      <alignment horizontal="left" vertical="center" wrapText="1"/>
    </xf>
    <xf numFmtId="2" fontId="34" fillId="0" borderId="22" xfId="0" applyNumberFormat="1" applyFont="1" applyBorder="1" applyAlignment="1">
      <alignment horizontal="left" vertical="center" wrapText="1"/>
    </xf>
    <xf numFmtId="2" fontId="34" fillId="0" borderId="28" xfId="0" applyNumberFormat="1" applyFont="1" applyBorder="1" applyAlignment="1">
      <alignment horizontal="left" vertical="center" wrapText="1"/>
    </xf>
    <xf numFmtId="2" fontId="34" fillId="0" borderId="23" xfId="0" applyNumberFormat="1" applyFont="1" applyBorder="1" applyAlignment="1">
      <alignment horizontal="left" vertical="center" wrapText="1"/>
    </xf>
    <xf numFmtId="2" fontId="34" fillId="0" borderId="52" xfId="0" applyNumberFormat="1" applyFont="1" applyBorder="1" applyAlignment="1">
      <alignment horizontal="left" vertical="center"/>
    </xf>
    <xf numFmtId="2" fontId="34" fillId="0" borderId="26" xfId="0" applyNumberFormat="1" applyFont="1" applyBorder="1" applyAlignment="1">
      <alignment horizontal="left" vertical="center"/>
    </xf>
    <xf numFmtId="2" fontId="34" fillId="0" borderId="47" xfId="0" applyNumberFormat="1" applyFont="1" applyBorder="1" applyAlignment="1">
      <alignment horizontal="left" vertical="center"/>
    </xf>
    <xf numFmtId="2" fontId="34" fillId="0" borderId="27" xfId="0" applyNumberFormat="1" applyFont="1" applyBorder="1" applyAlignment="1">
      <alignment horizontal="left" vertical="center"/>
    </xf>
    <xf numFmtId="2" fontId="34" fillId="0" borderId="53" xfId="0" applyNumberFormat="1" applyFont="1" applyBorder="1" applyAlignment="1">
      <alignment horizontal="left" vertical="center"/>
    </xf>
    <xf numFmtId="0" fontId="14" fillId="0" borderId="29" xfId="0" applyFont="1" applyBorder="1" applyAlignment="1" applyProtection="1">
      <alignment horizontal="left" vertical="center"/>
      <protection locked="0"/>
    </xf>
    <xf numFmtId="0" fontId="14" fillId="0" borderId="20" xfId="0" applyFont="1" applyBorder="1" applyAlignment="1" applyProtection="1">
      <alignment horizontal="left" vertical="center"/>
      <protection locked="0"/>
    </xf>
    <xf numFmtId="14" fontId="14" fillId="0" borderId="15" xfId="0" applyNumberFormat="1" applyFont="1" applyBorder="1" applyAlignment="1" applyProtection="1">
      <alignment horizontal="center" vertical="center"/>
      <protection locked="0"/>
    </xf>
    <xf numFmtId="2" fontId="2" fillId="0" borderId="15" xfId="0" applyNumberFormat="1" applyFont="1" applyBorder="1" applyAlignment="1" applyProtection="1">
      <alignment horizontal="center" vertical="center"/>
      <protection locked="0"/>
    </xf>
    <xf numFmtId="2" fontId="2" fillId="0" borderId="29" xfId="0" applyNumberFormat="1" applyFont="1" applyBorder="1" applyAlignment="1" applyProtection="1">
      <alignment horizontal="center" vertical="center"/>
      <protection locked="0"/>
    </xf>
    <xf numFmtId="1" fontId="14" fillId="0" borderId="13" xfId="0" applyNumberFormat="1" applyFont="1" applyBorder="1" applyAlignment="1">
      <alignment horizontal="center" vertical="center" wrapText="1"/>
    </xf>
    <xf numFmtId="0" fontId="38" fillId="18" borderId="0" xfId="0" applyFont="1" applyFill="1" applyAlignment="1">
      <alignment horizontal="center" vertical="center"/>
    </xf>
    <xf numFmtId="0" fontId="13" fillId="0" borderId="22" xfId="0" applyFont="1" applyBorder="1" applyAlignment="1">
      <alignment horizontal="center" vertical="center"/>
    </xf>
    <xf numFmtId="0" fontId="47" fillId="0" borderId="23" xfId="0" applyFont="1" applyBorder="1" applyAlignment="1">
      <alignment horizontal="center" vertical="center"/>
    </xf>
    <xf numFmtId="0" fontId="47" fillId="0" borderId="24" xfId="0" applyFont="1" applyBorder="1" applyAlignment="1">
      <alignment horizontal="center" vertical="center"/>
    </xf>
    <xf numFmtId="0" fontId="47" fillId="0" borderId="52" xfId="0" applyFont="1" applyBorder="1" applyAlignment="1">
      <alignment horizontal="center" vertical="center"/>
    </xf>
    <xf numFmtId="0" fontId="47" fillId="0" borderId="26" xfId="0" applyFont="1" applyBorder="1" applyAlignment="1">
      <alignment horizontal="center" vertical="center"/>
    </xf>
    <xf numFmtId="0" fontId="47" fillId="0" borderId="0" xfId="0" applyFont="1" applyAlignment="1">
      <alignment horizontal="center" vertical="center"/>
    </xf>
    <xf numFmtId="0" fontId="47" fillId="0" borderId="47" xfId="0" applyFont="1" applyBorder="1" applyAlignment="1">
      <alignment horizontal="center" vertical="center"/>
    </xf>
    <xf numFmtId="0" fontId="47" fillId="0" borderId="27" xfId="0" applyFont="1" applyBorder="1" applyAlignment="1">
      <alignment horizontal="center" vertical="center"/>
    </xf>
    <xf numFmtId="0" fontId="47" fillId="0" borderId="22" xfId="0" applyFont="1" applyBorder="1" applyAlignment="1">
      <alignment horizontal="center" vertical="center"/>
    </xf>
    <xf numFmtId="0" fontId="47" fillId="0" borderId="5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6" borderId="42" xfId="0" applyFill="1" applyBorder="1" applyAlignment="1">
      <alignment horizontal="center"/>
    </xf>
    <xf numFmtId="0" fontId="0" fillId="6" borderId="43" xfId="0" applyFill="1" applyBorder="1" applyAlignment="1">
      <alignment horizontal="center"/>
    </xf>
    <xf numFmtId="0" fontId="0" fillId="6" borderId="44" xfId="0" applyFill="1" applyBorder="1" applyAlignment="1">
      <alignment horizontal="center"/>
    </xf>
    <xf numFmtId="0" fontId="0" fillId="10" borderId="48" xfId="0" applyFill="1" applyBorder="1" applyAlignment="1">
      <alignment horizontal="center"/>
    </xf>
    <xf numFmtId="0" fontId="0" fillId="10" borderId="49" xfId="0" applyFill="1" applyBorder="1" applyAlignment="1">
      <alignment horizontal="center"/>
    </xf>
    <xf numFmtId="0" fontId="0" fillId="10" borderId="50" xfId="0" applyFill="1" applyBorder="1" applyAlignment="1">
      <alignment horizontal="center"/>
    </xf>
    <xf numFmtId="0" fontId="2" fillId="0" borderId="29" xfId="0" applyFont="1" applyBorder="1" applyAlignment="1" applyProtection="1">
      <alignment horizontal="left" vertical="center" wrapText="1"/>
      <protection locked="0"/>
    </xf>
    <xf numFmtId="0" fontId="2" fillId="0" borderId="20" xfId="0" applyFont="1" applyBorder="1" applyAlignment="1" applyProtection="1">
      <alignment horizontal="left" vertical="center" wrapText="1"/>
      <protection locked="0"/>
    </xf>
    <xf numFmtId="0" fontId="2" fillId="0" borderId="14" xfId="0" applyFont="1" applyBorder="1" applyAlignment="1" applyProtection="1">
      <alignment horizontal="left" vertical="center" wrapText="1"/>
      <protection locked="0"/>
    </xf>
    <xf numFmtId="4" fontId="2" fillId="0" borderId="29" xfId="5" applyNumberFormat="1" applyBorder="1" applyAlignment="1" applyProtection="1">
      <alignment horizontal="center" vertical="center" wrapText="1"/>
      <protection locked="0"/>
    </xf>
    <xf numFmtId="4" fontId="2" fillId="0" borderId="14" xfId="5" applyNumberFormat="1" applyBorder="1" applyAlignment="1" applyProtection="1">
      <alignment horizontal="center" vertical="center" wrapText="1"/>
      <protection locked="0"/>
    </xf>
    <xf numFmtId="4" fontId="2" fillId="0" borderId="29" xfId="5" applyNumberFormat="1" applyBorder="1" applyAlignment="1">
      <alignment horizontal="center" vertical="center" wrapText="1"/>
    </xf>
    <xf numFmtId="4" fontId="2" fillId="0" borderId="14" xfId="5" applyNumberFormat="1" applyBorder="1" applyAlignment="1">
      <alignment horizontal="center" vertical="center" wrapText="1"/>
    </xf>
    <xf numFmtId="0" fontId="2" fillId="0" borderId="23" xfId="0" applyFont="1" applyBorder="1" applyAlignment="1" applyProtection="1">
      <alignment horizontal="left" vertical="center" wrapText="1"/>
      <protection locked="0"/>
    </xf>
    <xf numFmtId="0" fontId="2" fillId="0" borderId="24" xfId="0" applyFont="1" applyBorder="1" applyAlignment="1" applyProtection="1">
      <alignment horizontal="left" vertical="center" wrapText="1"/>
      <protection locked="0"/>
    </xf>
    <xf numFmtId="0" fontId="2" fillId="0" borderId="25" xfId="0" applyFont="1" applyBorder="1" applyAlignment="1" applyProtection="1">
      <alignment horizontal="left" vertical="center" wrapText="1"/>
      <protection locked="0"/>
    </xf>
    <xf numFmtId="4" fontId="2" fillId="0" borderId="23" xfId="5" applyNumberFormat="1" applyBorder="1" applyAlignment="1" applyProtection="1">
      <alignment horizontal="center" vertical="center" wrapText="1"/>
      <protection locked="0"/>
    </xf>
    <xf numFmtId="4" fontId="2" fillId="0" borderId="25" xfId="5" applyNumberFormat="1" applyBorder="1" applyAlignment="1" applyProtection="1">
      <alignment horizontal="center" vertical="center" wrapText="1"/>
      <protection locked="0"/>
    </xf>
    <xf numFmtId="4" fontId="2" fillId="0" borderId="23" xfId="5" applyNumberFormat="1" applyBorder="1" applyAlignment="1">
      <alignment horizontal="center" vertical="center" wrapText="1"/>
    </xf>
    <xf numFmtId="4" fontId="2" fillId="0" borderId="25" xfId="5" applyNumberFormat="1" applyBorder="1" applyAlignment="1">
      <alignment horizontal="center" vertical="center" wrapText="1"/>
    </xf>
    <xf numFmtId="0" fontId="14" fillId="3" borderId="29" xfId="0" applyFont="1" applyFill="1" applyBorder="1" applyAlignment="1">
      <alignment horizontal="left" vertical="center" wrapText="1"/>
    </xf>
    <xf numFmtId="0" fontId="14" fillId="3" borderId="14" xfId="0" applyFont="1" applyFill="1" applyBorder="1" applyAlignment="1">
      <alignment horizontal="left" vertical="center" wrapText="1"/>
    </xf>
    <xf numFmtId="4" fontId="2" fillId="0" borderId="15" xfId="5" applyNumberFormat="1" applyBorder="1" applyAlignment="1" applyProtection="1">
      <alignment horizontal="center" vertical="center" wrapText="1"/>
      <protection locked="0"/>
    </xf>
    <xf numFmtId="4" fontId="2" fillId="0" borderId="15" xfId="5" applyNumberFormat="1" applyBorder="1" applyAlignment="1">
      <alignment horizontal="center" vertical="center" wrapText="1"/>
    </xf>
    <xf numFmtId="0" fontId="14" fillId="4" borderId="29" xfId="0" applyFont="1" applyFill="1" applyBorder="1" applyAlignment="1">
      <alignment horizontal="left" vertical="center" wrapText="1"/>
    </xf>
    <xf numFmtId="0" fontId="14" fillId="4" borderId="20" xfId="0" applyFont="1" applyFill="1" applyBorder="1" applyAlignment="1">
      <alignment horizontal="left" vertical="center" wrapText="1"/>
    </xf>
    <xf numFmtId="0" fontId="14" fillId="4" borderId="14" xfId="0" applyFont="1" applyFill="1" applyBorder="1" applyAlignment="1">
      <alignment horizontal="left" vertical="center" wrapText="1"/>
    </xf>
    <xf numFmtId="0" fontId="14" fillId="3" borderId="29" xfId="0" applyFont="1" applyFill="1" applyBorder="1" applyAlignment="1">
      <alignment horizontal="center" vertical="center" wrapText="1"/>
    </xf>
    <xf numFmtId="0" fontId="14" fillId="3" borderId="20" xfId="0" applyFont="1" applyFill="1" applyBorder="1" applyAlignment="1">
      <alignment horizontal="center" vertical="center" wrapText="1"/>
    </xf>
    <xf numFmtId="0" fontId="14" fillId="3" borderId="14" xfId="0" applyFont="1" applyFill="1" applyBorder="1" applyAlignment="1">
      <alignment horizontal="center" vertical="center" wrapText="1"/>
    </xf>
    <xf numFmtId="1" fontId="2" fillId="0" borderId="13" xfId="0" applyNumberFormat="1" applyFont="1" applyBorder="1" applyAlignment="1">
      <alignment horizontal="center" vertical="center"/>
    </xf>
    <xf numFmtId="1" fontId="2" fillId="0" borderId="15" xfId="0" applyNumberFormat="1" applyFont="1" applyBorder="1" applyAlignment="1">
      <alignment horizontal="center" vertical="center"/>
    </xf>
    <xf numFmtId="0" fontId="14" fillId="0" borderId="15" xfId="0" applyFont="1" applyBorder="1" applyAlignment="1" applyProtection="1">
      <alignment horizontal="center" vertical="center"/>
      <protection locked="0"/>
    </xf>
    <xf numFmtId="14" fontId="14" fillId="0" borderId="29" xfId="0" applyNumberFormat="1" applyFont="1" applyBorder="1" applyAlignment="1" applyProtection="1">
      <alignment horizontal="center" vertical="center"/>
      <protection locked="0"/>
    </xf>
    <xf numFmtId="14" fontId="14" fillId="0" borderId="14" xfId="0" applyNumberFormat="1" applyFont="1" applyBorder="1" applyAlignment="1" applyProtection="1">
      <alignment horizontal="center" vertical="center"/>
      <protection locked="0"/>
    </xf>
    <xf numFmtId="2" fontId="2" fillId="0" borderId="14" xfId="0" applyNumberFormat="1" applyFont="1" applyBorder="1" applyAlignment="1" applyProtection="1">
      <alignment horizontal="center" vertical="center"/>
      <protection locked="0"/>
    </xf>
    <xf numFmtId="0" fontId="0" fillId="4" borderId="13" xfId="0" applyFill="1" applyBorder="1" applyAlignment="1">
      <alignment horizontal="center"/>
    </xf>
    <xf numFmtId="0" fontId="0" fillId="4" borderId="29" xfId="0" applyFill="1" applyBorder="1" applyAlignment="1">
      <alignment horizontal="center"/>
    </xf>
    <xf numFmtId="0" fontId="0" fillId="4" borderId="16" xfId="0" applyFill="1" applyBorder="1" applyAlignment="1">
      <alignment horizontal="center"/>
    </xf>
    <xf numFmtId="0" fontId="0" fillId="10" borderId="13" xfId="0" applyFill="1" applyBorder="1" applyAlignment="1">
      <alignment horizontal="center"/>
    </xf>
    <xf numFmtId="0" fontId="0" fillId="10" borderId="15" xfId="0" applyFill="1" applyBorder="1" applyAlignment="1">
      <alignment horizontal="center"/>
    </xf>
    <xf numFmtId="0" fontId="0" fillId="10" borderId="29" xfId="0" applyFill="1" applyBorder="1" applyAlignment="1">
      <alignment horizontal="center"/>
    </xf>
    <xf numFmtId="0" fontId="0" fillId="10" borderId="16" xfId="0" applyFill="1" applyBorder="1" applyAlignment="1">
      <alignment horizontal="center"/>
    </xf>
    <xf numFmtId="0" fontId="5" fillId="6" borderId="51" xfId="0" applyFont="1" applyFill="1" applyBorder="1" applyAlignment="1">
      <alignment horizontal="center" vertical="center"/>
    </xf>
    <xf numFmtId="0" fontId="0" fillId="12" borderId="23" xfId="0" applyFill="1" applyBorder="1" applyAlignment="1">
      <alignment horizontal="left" vertical="top" wrapText="1"/>
    </xf>
    <xf numFmtId="0" fontId="0" fillId="12" borderId="24" xfId="0" applyFill="1" applyBorder="1" applyAlignment="1">
      <alignment horizontal="left" vertical="top" wrapText="1"/>
    </xf>
    <xf numFmtId="0" fontId="0" fillId="12" borderId="52" xfId="0" applyFill="1" applyBorder="1" applyAlignment="1">
      <alignment horizontal="left" vertical="top" wrapText="1"/>
    </xf>
    <xf numFmtId="0" fontId="0" fillId="12" borderId="26" xfId="0" applyFill="1" applyBorder="1" applyAlignment="1">
      <alignment horizontal="left" vertical="top" wrapText="1"/>
    </xf>
    <xf numFmtId="0" fontId="0" fillId="12" borderId="0" xfId="0" applyFill="1" applyAlignment="1">
      <alignment horizontal="left" vertical="top" wrapText="1"/>
    </xf>
    <xf numFmtId="0" fontId="0" fillId="12" borderId="47" xfId="0" applyFill="1" applyBorder="1" applyAlignment="1">
      <alignment horizontal="left" vertical="top" wrapText="1"/>
    </xf>
    <xf numFmtId="0" fontId="0" fillId="12" borderId="53" xfId="0" applyFill="1" applyBorder="1" applyAlignment="1">
      <alignment horizontal="left" vertical="top" wrapText="1"/>
    </xf>
    <xf numFmtId="0" fontId="0" fillId="12" borderId="29" xfId="0" applyFill="1" applyBorder="1" applyAlignment="1">
      <alignment horizontal="left"/>
    </xf>
    <xf numFmtId="0" fontId="0" fillId="12" borderId="20" xfId="0" applyFill="1" applyBorder="1" applyAlignment="1">
      <alignment horizontal="left"/>
    </xf>
    <xf numFmtId="0" fontId="0" fillId="12" borderId="21" xfId="0" applyFill="1" applyBorder="1" applyAlignment="1">
      <alignment horizontal="left"/>
    </xf>
    <xf numFmtId="0" fontId="14" fillId="0" borderId="16" xfId="0" applyFont="1" applyBorder="1" applyAlignment="1">
      <alignment horizontal="center" vertical="center"/>
    </xf>
    <xf numFmtId="1" fontId="14" fillId="0" borderId="13" xfId="0" applyNumberFormat="1" applyFont="1" applyBorder="1" applyAlignment="1">
      <alignment horizontal="center" vertical="center"/>
    </xf>
    <xf numFmtId="1" fontId="14" fillId="0" borderId="15" xfId="0" applyNumberFormat="1" applyFont="1" applyBorder="1" applyAlignment="1">
      <alignment horizontal="center" vertical="center"/>
    </xf>
    <xf numFmtId="0" fontId="14" fillId="0" borderId="15" xfId="0" applyFont="1" applyBorder="1" applyAlignment="1">
      <alignment horizontal="left" vertical="center"/>
    </xf>
    <xf numFmtId="0" fontId="14" fillId="0" borderId="14" xfId="0" applyFont="1" applyBorder="1" applyAlignment="1">
      <alignment horizontal="center" vertical="center"/>
    </xf>
    <xf numFmtId="2" fontId="14" fillId="0" borderId="14" xfId="0" applyNumberFormat="1" applyFont="1" applyBorder="1" applyAlignment="1">
      <alignment horizontal="center" vertical="center"/>
    </xf>
    <xf numFmtId="0" fontId="0" fillId="0" borderId="11" xfId="0" applyBorder="1" applyAlignment="1">
      <alignment horizontal="center"/>
    </xf>
    <xf numFmtId="0" fontId="0" fillId="0" borderId="61" xfId="0" applyBorder="1" applyAlignment="1">
      <alignment horizontal="center"/>
    </xf>
    <xf numFmtId="0" fontId="0" fillId="0" borderId="32" xfId="0" applyBorder="1" applyAlignment="1">
      <alignment horizontal="center"/>
    </xf>
    <xf numFmtId="0" fontId="14" fillId="0" borderId="15" xfId="0" applyFont="1" applyBorder="1" applyAlignment="1" applyProtection="1">
      <alignment horizontal="left" vertical="center"/>
      <protection locked="0"/>
    </xf>
    <xf numFmtId="2" fontId="14" fillId="0" borderId="14" xfId="0" applyNumberFormat="1" applyFont="1" applyBorder="1" applyAlignment="1" applyProtection="1">
      <alignment horizontal="center" vertical="center"/>
      <protection locked="0"/>
    </xf>
    <xf numFmtId="0" fontId="0" fillId="0" borderId="0" xfId="0" applyAlignment="1">
      <alignment horizontal="center" vertical="center"/>
    </xf>
    <xf numFmtId="0" fontId="5" fillId="6" borderId="15" xfId="0" applyFont="1" applyFill="1" applyBorder="1" applyAlignment="1">
      <alignment horizontal="center" vertical="center"/>
    </xf>
    <xf numFmtId="0" fontId="0" fillId="12" borderId="15" xfId="0" applyFill="1" applyBorder="1" applyAlignment="1">
      <alignment horizontal="left"/>
    </xf>
    <xf numFmtId="0" fontId="0" fillId="0" borderId="15" xfId="0" applyBorder="1" applyAlignment="1">
      <alignment horizontal="center" vertical="center" wrapText="1"/>
    </xf>
    <xf numFmtId="0" fontId="14" fillId="4" borderId="15" xfId="0" applyFont="1" applyFill="1" applyBorder="1" applyAlignment="1">
      <alignment horizontal="left" vertical="center" wrapText="1"/>
    </xf>
    <xf numFmtId="0" fontId="14" fillId="3" borderId="15" xfId="0" applyFont="1" applyFill="1" applyBorder="1" applyAlignment="1">
      <alignment horizontal="center" vertical="center" wrapText="1"/>
    </xf>
    <xf numFmtId="1" fontId="14" fillId="0" borderId="15" xfId="0" applyNumberFormat="1" applyFont="1" applyBorder="1" applyAlignment="1">
      <alignment horizontal="center" vertical="center" wrapText="1"/>
    </xf>
    <xf numFmtId="0" fontId="0" fillId="5" borderId="15" xfId="0" applyFill="1" applyBorder="1" applyAlignment="1">
      <alignment horizontal="center" vertical="center"/>
    </xf>
    <xf numFmtId="0" fontId="3" fillId="8" borderId="22" xfId="0" applyFont="1" applyFill="1" applyBorder="1" applyAlignment="1">
      <alignment horizontal="center" vertical="center"/>
    </xf>
    <xf numFmtId="0" fontId="0" fillId="7" borderId="15" xfId="0" applyFill="1" applyBorder="1" applyAlignment="1">
      <alignment horizontal="center"/>
    </xf>
    <xf numFmtId="0" fontId="3" fillId="4" borderId="15" xfId="0" applyFont="1" applyFill="1" applyBorder="1" applyAlignment="1">
      <alignment horizontal="center" vertical="center"/>
    </xf>
    <xf numFmtId="0" fontId="0" fillId="9" borderId="15" xfId="0" applyFill="1" applyBorder="1" applyAlignment="1">
      <alignment horizontal="center" vertical="center"/>
    </xf>
    <xf numFmtId="0" fontId="0" fillId="3" borderId="15" xfId="0" applyFill="1" applyBorder="1" applyAlignment="1">
      <alignment horizontal="center" vertical="center"/>
    </xf>
    <xf numFmtId="12" fontId="0" fillId="3" borderId="15" xfId="0" applyNumberFormat="1" applyFill="1" applyBorder="1" applyAlignment="1">
      <alignment horizontal="center" vertical="center"/>
    </xf>
    <xf numFmtId="0" fontId="3" fillId="6" borderId="15" xfId="0" applyFont="1" applyFill="1" applyBorder="1" applyAlignment="1">
      <alignment horizontal="center" vertical="center"/>
    </xf>
    <xf numFmtId="0" fontId="0" fillId="7" borderId="20" xfId="0" applyFill="1" applyBorder="1" applyAlignment="1">
      <alignment horizontal="center"/>
    </xf>
    <xf numFmtId="0" fontId="4" fillId="8" borderId="0" xfId="0" applyFont="1" applyFill="1" applyAlignment="1">
      <alignment horizontal="center" vertical="center"/>
    </xf>
    <xf numFmtId="0" fontId="4" fillId="8" borderId="15" xfId="0" applyFont="1" applyFill="1" applyBorder="1" applyAlignment="1">
      <alignment horizontal="center" vertical="center"/>
    </xf>
    <xf numFmtId="4" fontId="0" fillId="3" borderId="15" xfId="0" applyNumberFormat="1" applyFill="1" applyBorder="1" applyAlignment="1">
      <alignment horizontal="center" vertical="center"/>
    </xf>
    <xf numFmtId="0" fontId="12" fillId="5" borderId="23" xfId="0" applyFont="1" applyFill="1" applyBorder="1" applyAlignment="1">
      <alignment horizontal="center" vertical="center"/>
    </xf>
    <xf numFmtId="0" fontId="12" fillId="5" borderId="25" xfId="0" applyFont="1" applyFill="1" applyBorder="1" applyAlignment="1">
      <alignment horizontal="center" vertical="center"/>
    </xf>
    <xf numFmtId="0" fontId="12" fillId="5" borderId="26" xfId="0" applyFont="1" applyFill="1" applyBorder="1" applyAlignment="1">
      <alignment horizontal="center" vertical="center"/>
    </xf>
    <xf numFmtId="0" fontId="12" fillId="5" borderId="41" xfId="0" applyFont="1" applyFill="1" applyBorder="1" applyAlignment="1">
      <alignment horizontal="center" vertical="center"/>
    </xf>
    <xf numFmtId="0" fontId="12" fillId="5" borderId="27" xfId="0" applyFont="1" applyFill="1" applyBorder="1" applyAlignment="1">
      <alignment horizontal="center" vertical="center"/>
    </xf>
    <xf numFmtId="0" fontId="12" fillId="5" borderId="28" xfId="0" applyFont="1" applyFill="1" applyBorder="1" applyAlignment="1">
      <alignment horizontal="center" vertical="center"/>
    </xf>
    <xf numFmtId="0" fontId="3" fillId="4" borderId="29" xfId="0" applyFont="1" applyFill="1" applyBorder="1" applyAlignment="1">
      <alignment horizontal="center" vertical="center"/>
    </xf>
    <xf numFmtId="0" fontId="3" fillId="4" borderId="14" xfId="0" applyFont="1" applyFill="1" applyBorder="1" applyAlignment="1">
      <alignment horizontal="center" vertical="center"/>
    </xf>
    <xf numFmtId="12" fontId="0" fillId="0" borderId="15" xfId="0" applyNumberFormat="1" applyBorder="1" applyAlignment="1">
      <alignment horizontal="center" vertical="center"/>
    </xf>
    <xf numFmtId="4" fontId="0" fillId="0" borderId="15" xfId="0" applyNumberFormat="1" applyBorder="1" applyAlignment="1">
      <alignment horizontal="center"/>
    </xf>
    <xf numFmtId="0" fontId="4" fillId="4" borderId="0" xfId="0" applyFont="1" applyFill="1" applyAlignment="1">
      <alignment horizontal="center" vertical="center"/>
    </xf>
    <xf numFmtId="0" fontId="4" fillId="4" borderId="22" xfId="0" applyFont="1" applyFill="1" applyBorder="1" applyAlignment="1">
      <alignment horizontal="center" vertical="center"/>
    </xf>
    <xf numFmtId="0" fontId="4" fillId="8" borderId="14" xfId="0" applyFont="1" applyFill="1" applyBorder="1" applyAlignment="1">
      <alignment horizontal="center" vertical="center"/>
    </xf>
    <xf numFmtId="0" fontId="29" fillId="6" borderId="15" xfId="0" applyFont="1" applyFill="1" applyBorder="1" applyAlignment="1">
      <alignment horizontal="center" vertical="center"/>
    </xf>
    <xf numFmtId="0" fontId="0" fillId="12" borderId="15" xfId="0" applyFill="1" applyBorder="1" applyAlignment="1">
      <alignment horizontal="left" vertical="center"/>
    </xf>
    <xf numFmtId="0" fontId="0" fillId="12" borderId="15" xfId="0" applyFill="1" applyBorder="1" applyAlignment="1">
      <alignment horizontal="center" vertical="center" wrapText="1"/>
    </xf>
    <xf numFmtId="168" fontId="0" fillId="12" borderId="15" xfId="0" applyNumberFormat="1" applyFill="1" applyBorder="1" applyAlignment="1">
      <alignment horizontal="left" vertical="center"/>
    </xf>
    <xf numFmtId="0" fontId="6" fillId="11" borderId="15" xfId="0" applyFont="1" applyFill="1" applyBorder="1" applyAlignment="1">
      <alignment horizontal="center" vertical="center"/>
    </xf>
    <xf numFmtId="0" fontId="9" fillId="11" borderId="15" xfId="0" applyFont="1" applyFill="1" applyBorder="1" applyAlignment="1">
      <alignment horizontal="center" vertical="center"/>
    </xf>
    <xf numFmtId="0" fontId="11" fillId="12" borderId="15" xfId="0" applyFont="1" applyFill="1" applyBorder="1" applyAlignment="1">
      <alignment horizontal="center" vertical="center"/>
    </xf>
    <xf numFmtId="0" fontId="0" fillId="10" borderId="20" xfId="0" applyFill="1" applyBorder="1" applyAlignment="1">
      <alignment horizontal="center"/>
    </xf>
    <xf numFmtId="0" fontId="0" fillId="10" borderId="14" xfId="0" applyFill="1" applyBorder="1" applyAlignment="1">
      <alignment horizontal="center"/>
    </xf>
    <xf numFmtId="0" fontId="0" fillId="0" borderId="27" xfId="0" applyBorder="1" applyAlignment="1">
      <alignment horizontal="center" vertical="center"/>
    </xf>
    <xf numFmtId="3" fontId="2" fillId="0" borderId="15" xfId="1" applyNumberFormat="1" applyFont="1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2" fillId="10" borderId="1" xfId="0" applyFont="1" applyFill="1" applyBorder="1" applyAlignment="1" applyProtection="1">
      <alignment horizontal="center" vertical="center"/>
      <protection locked="0"/>
    </xf>
    <xf numFmtId="0" fontId="2" fillId="10" borderId="45" xfId="0" applyFont="1" applyFill="1" applyBorder="1" applyAlignment="1" applyProtection="1">
      <alignment horizontal="center" vertical="center"/>
      <protection locked="0"/>
    </xf>
    <xf numFmtId="169" fontId="0" fillId="0" borderId="10" xfId="1" applyNumberFormat="1" applyFont="1" applyBorder="1" applyAlignment="1" applyProtection="1">
      <alignment horizontal="center" vertical="center"/>
      <protection locked="0"/>
    </xf>
    <xf numFmtId="169" fontId="0" fillId="0" borderId="56" xfId="1" applyNumberFormat="1" applyFont="1" applyBorder="1" applyAlignment="1" applyProtection="1">
      <alignment horizontal="center" vertical="center"/>
      <protection locked="0"/>
    </xf>
    <xf numFmtId="169" fontId="0" fillId="0" borderId="31" xfId="1" applyNumberFormat="1" applyFont="1" applyBorder="1" applyAlignment="1" applyProtection="1">
      <alignment horizontal="center" vertical="center"/>
      <protection locked="0"/>
    </xf>
    <xf numFmtId="9" fontId="0" fillId="0" borderId="23" xfId="4" applyFont="1" applyBorder="1" applyAlignment="1">
      <alignment horizontal="center" vertical="center"/>
    </xf>
    <xf numFmtId="9" fontId="0" fillId="0" borderId="26" xfId="4" applyFont="1" applyBorder="1" applyAlignment="1">
      <alignment horizontal="center" vertical="center"/>
    </xf>
    <xf numFmtId="9" fontId="0" fillId="0" borderId="27" xfId="4" applyFont="1" applyBorder="1" applyAlignment="1">
      <alignment horizontal="center" vertical="center"/>
    </xf>
    <xf numFmtId="170" fontId="0" fillId="0" borderId="23" xfId="0" applyNumberFormat="1" applyBorder="1" applyAlignment="1">
      <alignment horizontal="center" vertical="center"/>
    </xf>
    <xf numFmtId="170" fontId="0" fillId="0" borderId="26" xfId="0" applyNumberFormat="1" applyBorder="1" applyAlignment="1">
      <alignment horizontal="center" vertical="center"/>
    </xf>
    <xf numFmtId="170" fontId="0" fillId="0" borderId="27" xfId="0" applyNumberFormat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22" fontId="0" fillId="12" borderId="15" xfId="0" applyNumberFormat="1" applyFill="1" applyBorder="1" applyAlignment="1">
      <alignment horizontal="center"/>
    </xf>
    <xf numFmtId="22" fontId="0" fillId="12" borderId="15" xfId="0" applyNumberFormat="1" applyFill="1" applyBorder="1" applyAlignment="1">
      <alignment horizontal="left"/>
    </xf>
    <xf numFmtId="0" fontId="0" fillId="0" borderId="42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2" fillId="10" borderId="15" xfId="0" applyFont="1" applyFill="1" applyBorder="1" applyAlignment="1" applyProtection="1">
      <alignment horizontal="center" vertical="center"/>
      <protection locked="0"/>
    </xf>
    <xf numFmtId="169" fontId="0" fillId="0" borderId="15" xfId="1" applyNumberFormat="1" applyFont="1" applyBorder="1" applyAlignment="1" applyProtection="1">
      <alignment horizontal="center" vertical="center"/>
      <protection locked="0"/>
    </xf>
    <xf numFmtId="9" fontId="0" fillId="0" borderId="15" xfId="4" applyFont="1" applyBorder="1" applyAlignment="1">
      <alignment horizontal="center" vertical="center"/>
    </xf>
    <xf numFmtId="170" fontId="0" fillId="0" borderId="15" xfId="0" applyNumberFormat="1" applyBorder="1" applyAlignment="1">
      <alignment horizontal="center" vertical="center"/>
    </xf>
    <xf numFmtId="0" fontId="0" fillId="3" borderId="13" xfId="0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3" fontId="2" fillId="0" borderId="10" xfId="1" applyNumberFormat="1" applyFont="1" applyBorder="1" applyAlignment="1">
      <alignment horizontal="center" vertical="center"/>
    </xf>
    <xf numFmtId="3" fontId="14" fillId="6" borderId="12" xfId="1" applyNumberFormat="1" applyFont="1" applyFill="1" applyBorder="1" applyAlignment="1">
      <alignment horizontal="center" vertical="center"/>
    </xf>
    <xf numFmtId="3" fontId="14" fillId="6" borderId="3" xfId="1" applyNumberFormat="1" applyFont="1" applyFill="1" applyBorder="1" applyAlignment="1">
      <alignment horizontal="center" vertical="center"/>
    </xf>
    <xf numFmtId="3" fontId="14" fillId="6" borderId="4" xfId="1" applyNumberFormat="1" applyFont="1" applyFill="1" applyBorder="1" applyAlignment="1">
      <alignment horizontal="center" vertical="center"/>
    </xf>
    <xf numFmtId="0" fontId="0" fillId="3" borderId="19" xfId="0" applyFill="1" applyBorder="1" applyAlignment="1">
      <alignment horizontal="center"/>
    </xf>
    <xf numFmtId="0" fontId="0" fillId="3" borderId="21" xfId="0" applyFill="1" applyBorder="1" applyAlignment="1">
      <alignment horizontal="center"/>
    </xf>
    <xf numFmtId="3" fontId="2" fillId="0" borderId="0" xfId="1" applyNumberFormat="1" applyFont="1" applyBorder="1" applyAlignment="1">
      <alignment horizontal="center" vertical="center"/>
    </xf>
    <xf numFmtId="3" fontId="2" fillId="0" borderId="0" xfId="1" applyNumberFormat="1" applyFont="1" applyFill="1" applyBorder="1" applyAlignment="1">
      <alignment horizontal="center" vertical="center"/>
    </xf>
  </cellXfs>
  <cellStyles count="8">
    <cellStyle name="Comma" xfId="1" builtinId="3"/>
    <cellStyle name="Hyperlink" xfId="6" builtinId="8"/>
    <cellStyle name="Normal" xfId="0" builtinId="0"/>
    <cellStyle name="Normal 2" xfId="3" xr:uid="{107D43F1-6C21-4443-807E-368A3932315C}"/>
    <cellStyle name="Normal 2 2" xfId="7" xr:uid="{6F541E01-8AC0-4C9F-BF87-1C9E5634B853}"/>
    <cellStyle name="Normal 4" xfId="2" xr:uid="{D9F6CE4D-52B1-4964-B42B-0BE6C4BF04EB}"/>
    <cellStyle name="Percent" xfId="4" builtinId="5"/>
    <cellStyle name="Separador de milhares_AG. TUPINAMBÁS - 2º PAVTO." xfId="5" xr:uid="{E1F2BAE5-98EC-4A19-8DCA-E06A1782CFCC}"/>
  </cellStyles>
  <dxfs count="29"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microsoft.com/office/2022/10/relationships/richValueRel" Target="richData/richValueRel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29" Type="http://schemas.microsoft.com/office/2017/06/relationships/rdRichValueTypes" Target="richData/rdRichValueTyp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28" Type="http://schemas.microsoft.com/office/2017/06/relationships/rdRichValueStructure" Target="richData/rdrichvaluestructure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microsoft.com/office/2017/06/relationships/rdRichValue" Target="richData/rdrichvalue.xml"/><Relationship Id="rId30" Type="http://schemas.microsoft.com/office/2017/10/relationships/person" Target="persons/person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Spin" dx="26" fmlaLink="$L17" max="55" min="18" page="10" val="18"/>
</file>

<file path=xl/ctrlProps/ctrlProp3.xml><?xml version="1.0" encoding="utf-8"?>
<formControlPr xmlns="http://schemas.microsoft.com/office/spreadsheetml/2009/9/main" objectType="Spin" dx="26" fmlaLink="$L$17" max="55" min="18" page="10" val="18"/>
</file>

<file path=xl/ctrlProps/ctrlProp4.xml><?xml version="1.0" encoding="utf-8"?>
<formControlPr xmlns="http://schemas.microsoft.com/office/spreadsheetml/2009/9/main" objectType="Spin" dx="26" fmlaLink="$L$17" max="55" min="18" page="10" val="18"/>
</file>

<file path=xl/ctrlProps/ctrlProp5.xml><?xml version="1.0" encoding="utf-8"?>
<formControlPr xmlns="http://schemas.microsoft.com/office/spreadsheetml/2009/9/main" objectType="Spin" dx="26" fmlaLink="$L$17" max="55" min="18" page="10" val="18"/>
</file>

<file path=xl/ctrlProps/ctrlProp6.xml><?xml version="1.0" encoding="utf-8"?>
<formControlPr xmlns="http://schemas.microsoft.com/office/spreadsheetml/2009/9/main" objectType="Spin" dx="26" fmlaLink="$L$17" max="55" min="18" page="10" val="18"/>
</file>

<file path=xl/ctrlProps/ctrlProp7.xml><?xml version="1.0" encoding="utf-8"?>
<formControlPr xmlns="http://schemas.microsoft.com/office/spreadsheetml/2009/9/main" objectType="Spin" dx="26" fmlaLink="$L$17" max="55" min="18" page="10" val="18"/>
</file>

<file path=xl/ctrlProps/ctrlProp8.xml><?xml version="1.0" encoding="utf-8"?>
<formControlPr xmlns="http://schemas.microsoft.com/office/spreadsheetml/2009/9/main" objectType="Spin" dx="26" fmlaLink="$L$17" max="55" min="18" page="10" val="18"/>
</file>

<file path=xl/ctrlProps/ctrlProp9.xml><?xml version="1.0" encoding="utf-8"?>
<formControlPr xmlns="http://schemas.microsoft.com/office/spreadsheetml/2009/9/main" objectType="Spin" dx="26" fmlaLink="$L$17" max="55" min="18" page="10" val="18"/>
</file>

<file path=xl/ctrlProps/ctrlProp10.xml><?xml version="1.0" encoding="utf-8"?>
<formControlPr xmlns="http://schemas.microsoft.com/office/spreadsheetml/2009/9/main" objectType="Spin" dx="26" fmlaLink="$L$17" max="55" min="18" page="10" val="18"/>
</file>

<file path=xl/ctrlProps/ctrlProp11.xml><?xml version="1.0" encoding="utf-8"?>
<formControlPr xmlns="http://schemas.microsoft.com/office/spreadsheetml/2009/9/main" objectType="Spin" dx="26" fmlaLink="$L18" max="55" min="18" page="10" val="18"/>
</file>

<file path=xl/ctrlProps/ctrlProp12.xml><?xml version="1.0" encoding="utf-8"?>
<formControlPr xmlns="http://schemas.microsoft.com/office/spreadsheetml/2009/9/main" objectType="Spin" dx="26" fmlaLink="$L$17" max="55" min="18" page="10" val="18"/>
</file>

<file path=xl/ctrlProps/ctrlProp13.xml><?xml version="1.0" encoding="utf-8"?>
<formControlPr xmlns="http://schemas.microsoft.com/office/spreadsheetml/2009/9/main" objectType="Spin" dx="26" fmlaLink="$L18" max="55" min="18" page="10" val="18"/>
</file>

<file path=xl/ctrlProps/ctrlProp14.xml><?xml version="1.0" encoding="utf-8"?>
<formControlPr xmlns="http://schemas.microsoft.com/office/spreadsheetml/2009/9/main" objectType="Spin" dx="26" fmlaLink="$L19" max="55" min="18" page="10" val="18"/>
</file>

<file path=xl/ctrlProps/ctrlProp15.xml><?xml version="1.0" encoding="utf-8"?>
<formControlPr xmlns="http://schemas.microsoft.com/office/spreadsheetml/2009/9/main" objectType="Spin" dx="26" fmlaLink="$L20" max="55" min="18" page="10" val="18"/>
</file>

<file path=xl/ctrlProps/ctrlProp16.xml><?xml version="1.0" encoding="utf-8"?>
<formControlPr xmlns="http://schemas.microsoft.com/office/spreadsheetml/2009/9/main" objectType="Spin" dx="26" fmlaLink="$L49" max="55" min="18" page="10" val="18"/>
</file>

<file path=xl/ctrlProps/ctrlProp17.xml><?xml version="1.0" encoding="utf-8"?>
<formControlPr xmlns="http://schemas.microsoft.com/office/spreadsheetml/2009/9/main" objectType="Spin" dx="26" fmlaLink="K17" inc="5" max="30" page="10" val="0"/>
</file>

<file path=xl/ctrlProps/ctrlProp18.xml><?xml version="1.0" encoding="utf-8"?>
<formControlPr xmlns="http://schemas.microsoft.com/office/spreadsheetml/2009/9/main" objectType="Spin" dx="26" fmlaLink="K18" inc="5" max="30" page="10" val="0"/>
</file>

<file path=xl/ctrlProps/ctrlProp19.xml><?xml version="1.0" encoding="utf-8"?>
<formControlPr xmlns="http://schemas.microsoft.com/office/spreadsheetml/2009/9/main" objectType="Spin" dx="26" fmlaLink="K19" inc="5" max="30" page="10" val="0"/>
</file>

<file path=xl/ctrlProps/ctrlProp20.xml><?xml version="1.0" encoding="utf-8"?>
<formControlPr xmlns="http://schemas.microsoft.com/office/spreadsheetml/2009/9/main" objectType="Spin" dx="26" fmlaLink="K20" inc="5" max="30" page="10" val="0"/>
</file>

<file path=xl/ctrlProps/ctrlProp21.xml><?xml version="1.0" encoding="utf-8"?>
<formControlPr xmlns="http://schemas.microsoft.com/office/spreadsheetml/2009/9/main" objectType="Radio" firstButton="1" lockText="1" noThreeD="1"/>
</file>

<file path=xl/ctrlProps/ctrlProp22.xml><?xml version="1.0" encoding="utf-8"?>
<formControlPr xmlns="http://schemas.microsoft.com/office/spreadsheetml/2009/9/main" objectType="Radio" checked="Checked" lockText="1" noThreeD="1"/>
</file>

<file path=xl/ctrlProps/ctrlProp23.xml><?xml version="1.0" encoding="utf-8"?>
<formControlPr xmlns="http://schemas.microsoft.com/office/spreadsheetml/2009/9/main" objectType="Radio" lockText="1" noThreeD="1"/>
</file>

<file path=xl/ctrlProps/ctrlProp24.xml><?xml version="1.0" encoding="utf-8"?>
<formControlPr xmlns="http://schemas.microsoft.com/office/spreadsheetml/2009/9/main" objectType="Radio" lockText="1" noThreeD="1"/>
</file>

<file path=xl/ctrlProps/ctrlProp25.xml><?xml version="1.0" encoding="utf-8"?>
<formControlPr xmlns="http://schemas.microsoft.com/office/spreadsheetml/2009/9/main" objectType="GBox" noThreeD="1"/>
</file>

<file path=xl/ctrlProps/ctrlProp26.xml><?xml version="1.0" encoding="utf-8"?>
<formControlPr xmlns="http://schemas.microsoft.com/office/spreadsheetml/2009/9/main" objectType="Radio" lockText="1" noThreeD="1"/>
</file>

<file path=xl/ctrlProps/ctrlProp27.xml><?xml version="1.0" encoding="utf-8"?>
<formControlPr xmlns="http://schemas.microsoft.com/office/spreadsheetml/2009/9/main" objectType="CheckBox" checked="Checked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GBox" noThreeD="1"/>
</file>

<file path=xl/ctrlProps/ctrlProp32.xml><?xml version="1.0" encoding="utf-8"?>
<formControlPr xmlns="http://schemas.microsoft.com/office/spreadsheetml/2009/9/main" objectType="GBox" noThreeD="1"/>
</file>

<file path=xl/ctrlProps/ctrlProp33.xml><?xml version="1.0" encoding="utf-8"?>
<formControlPr xmlns="http://schemas.microsoft.com/office/spreadsheetml/2009/9/main" objectType="Radio" firstButton="1" lockText="1" noThreeD="1"/>
</file>

<file path=xl/ctrlProps/ctrlProp34.xml><?xml version="1.0" encoding="utf-8"?>
<formControlPr xmlns="http://schemas.microsoft.com/office/spreadsheetml/2009/9/main" objectType="Radio" lockText="1" noThreeD="1"/>
</file>

<file path=xl/ctrlProps/ctrlProp35.xml><?xml version="1.0" encoding="utf-8"?>
<formControlPr xmlns="http://schemas.microsoft.com/office/spreadsheetml/2009/9/main" objectType="Radio" checked="Checked" lockText="1" noThreeD="1"/>
</file>

<file path=xl/ctrlProps/ctrlProp36.xml><?xml version="1.0" encoding="utf-8"?>
<formControlPr xmlns="http://schemas.microsoft.com/office/spreadsheetml/2009/9/main" objectType="CheckBox" checked="Checked" lockText="1" noThreeD="1"/>
</file>

<file path=xl/ctrlProps/ctrlProp37.xml><?xml version="1.0" encoding="utf-8"?>
<formControlPr xmlns="http://schemas.microsoft.com/office/spreadsheetml/2009/9/main" objectType="CheckBox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lockText="1" noThreeD="1"/>
</file>

<file path=xl/ctrlProps/ctrlProp40.xml><?xml version="1.0" encoding="utf-8"?>
<formControlPr xmlns="http://schemas.microsoft.com/office/spreadsheetml/2009/9/main" objectType="GBox" noThreeD="1"/>
</file>

<file path=xl/ctrlProps/ctrlProp41.xml><?xml version="1.0" encoding="utf-8"?>
<formControlPr xmlns="http://schemas.microsoft.com/office/spreadsheetml/2009/9/main" objectType="GBox" noThreeD="1"/>
</file>

<file path=xl/ctrlProps/ctrlProp42.xml><?xml version="1.0" encoding="utf-8"?>
<formControlPr xmlns="http://schemas.microsoft.com/office/spreadsheetml/2009/9/main" objectType="CheckBox" lockText="1" noThreeD="1"/>
</file>

<file path=xl/ctrlProps/ctrlProp43.xml><?xml version="1.0" encoding="utf-8"?>
<formControlPr xmlns="http://schemas.microsoft.com/office/spreadsheetml/2009/9/main" objectType="CheckBox" checked="Checked" lockText="1" noThreeD="1"/>
</file>

<file path=xl/ctrlProps/ctrlProp44.xml><?xml version="1.0" encoding="utf-8"?>
<formControlPr xmlns="http://schemas.microsoft.com/office/spreadsheetml/2009/9/main" objectType="CheckBox" lockText="1" noThreeD="1"/>
</file>

<file path=xl/ctrlProps/ctrlProp45.xml><?xml version="1.0" encoding="utf-8"?>
<formControlPr xmlns="http://schemas.microsoft.com/office/spreadsheetml/2009/9/main" objectType="CheckBox" lockText="1" noThreeD="1"/>
</file>

<file path=xl/ctrlProps/ctrlProp46.xml><?xml version="1.0" encoding="utf-8"?>
<formControlPr xmlns="http://schemas.microsoft.com/office/spreadsheetml/2009/9/main" objectType="Radio" firstButton="1" lockText="1" noThreeD="1"/>
</file>

<file path=xl/ctrlProps/ctrlProp47.xml><?xml version="1.0" encoding="utf-8"?>
<formControlPr xmlns="http://schemas.microsoft.com/office/spreadsheetml/2009/9/main" objectType="Radio" checked="Checked" lockText="1" noThreeD="1"/>
</file>

<file path=xl/ctrlProps/ctrlProp48.xml><?xml version="1.0" encoding="utf-8"?>
<formControlPr xmlns="http://schemas.microsoft.com/office/spreadsheetml/2009/9/main" objectType="Radio" lockText="1" noThreeD="1"/>
</file>

<file path=xl/ctrlProps/ctrlProp49.xml><?xml version="1.0" encoding="utf-8"?>
<formControlPr xmlns="http://schemas.microsoft.com/office/spreadsheetml/2009/9/main" objectType="GBox" noThreeD="1"/>
</file>

<file path=xl/ctrlProps/ctrlProp50.xml><?xml version="1.0" encoding="utf-8"?>
<formControlPr xmlns="http://schemas.microsoft.com/office/spreadsheetml/2009/9/main" objectType="GBox" noThreeD="1"/>
</file>

<file path=xl/ctrlProps/ctrlProp51.xml><?xml version="1.0" encoding="utf-8"?>
<formControlPr xmlns="http://schemas.microsoft.com/office/spreadsheetml/2009/9/main" objectType="GBox" noThreeD="1"/>
</file>

<file path=xl/ctrlProps/ctrlProp52.xml><?xml version="1.0" encoding="utf-8"?>
<formControlPr xmlns="http://schemas.microsoft.com/office/spreadsheetml/2009/9/main" objectType="Radio" firstButton="1" lockText="1" noThreeD="1"/>
</file>

<file path=xl/ctrlProps/ctrlProp53.xml><?xml version="1.0" encoding="utf-8"?>
<formControlPr xmlns="http://schemas.microsoft.com/office/spreadsheetml/2009/9/main" objectType="Radio" lockText="1" noThreeD="1"/>
</file>

<file path=xl/ctrlProps/ctrlProp54.xml><?xml version="1.0" encoding="utf-8"?>
<formControlPr xmlns="http://schemas.microsoft.com/office/spreadsheetml/2009/9/main" objectType="Radio" checked="Checked" lockText="1" noThreeD="1"/>
</file>

<file path=xl/ctrlProps/ctrlProp55.xml><?xml version="1.0" encoding="utf-8"?>
<formControlPr xmlns="http://schemas.microsoft.com/office/spreadsheetml/2009/9/main" objectType="CheckBox" checked="Checked" lockText="1" noThreeD="1"/>
</file>

<file path=xl/ctrlProps/ctrlProp56.xml><?xml version="1.0" encoding="utf-8"?>
<formControlPr xmlns="http://schemas.microsoft.com/office/spreadsheetml/2009/9/main" objectType="CheckBox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GBox" noThreeD="1"/>
</file>

<file path=xl/ctrlProps/ctrlProp60.xml><?xml version="1.0" encoding="utf-8"?>
<formControlPr xmlns="http://schemas.microsoft.com/office/spreadsheetml/2009/9/main" objectType="GBox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checked="Checked" lockText="1" noThreeD="1"/>
</file>

<file path=xl/ctrlProps/ctrlProp63.xml><?xml version="1.0" encoding="utf-8"?>
<formControlPr xmlns="http://schemas.microsoft.com/office/spreadsheetml/2009/9/main" objectType="CheckBox" lockText="1" noThreeD="1"/>
</file>

<file path=xl/ctrlProps/ctrlProp64.xml><?xml version="1.0" encoding="utf-8"?>
<formControlPr xmlns="http://schemas.microsoft.com/office/spreadsheetml/2009/9/main" objectType="CheckBox" lockText="1" noThreeD="1"/>
</file>

<file path=xl/ctrlProps/ctrlProp65.xml><?xml version="1.0" encoding="utf-8"?>
<formControlPr xmlns="http://schemas.microsoft.com/office/spreadsheetml/2009/9/main" objectType="CheckBox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Radio" firstButton="1" lockText="1" noThreeD="1"/>
</file>

<file path=xl/ctrlProps/ctrlProp68.xml><?xml version="1.0" encoding="utf-8"?>
<formControlPr xmlns="http://schemas.microsoft.com/office/spreadsheetml/2009/9/main" objectType="Radio" lockText="1" noThreeD="1"/>
</file>

<file path=xl/ctrlProps/ctrlProp69.xml><?xml version="1.0" encoding="utf-8"?>
<formControlPr xmlns="http://schemas.microsoft.com/office/spreadsheetml/2009/9/main" objectType="Radio" checked="Checked" lockText="1" noThreeD="1"/>
</file>

<file path=xl/ctrlProps/ctrlProp70.xml><?xml version="1.0" encoding="utf-8"?>
<formControlPr xmlns="http://schemas.microsoft.com/office/spreadsheetml/2009/9/main" objectType="Radio" checked="Checked" firstButton="1" lockText="1" noThreeD="1"/>
</file>

<file path=xl/ctrlProps/ctrlProp71.xml><?xml version="1.0" encoding="utf-8"?>
<formControlPr xmlns="http://schemas.microsoft.com/office/spreadsheetml/2009/9/main" objectType="Radio" lockText="1" noThreeD="1"/>
</file>

<file path=xl/ctrlProps/ctrlProp72.xml><?xml version="1.0" encoding="utf-8"?>
<formControlPr xmlns="http://schemas.microsoft.com/office/spreadsheetml/2009/9/main" objectType="Spin" dx="26" fmlaLink="$L$17" max="55" min="18" page="10" val="18"/>
</file>

<file path=xl/ctrlProps/ctrlProp73.xml><?xml version="1.0" encoding="utf-8"?>
<formControlPr xmlns="http://schemas.microsoft.com/office/spreadsheetml/2009/9/main" objectType="Spin" dx="26" fmlaLink="$L$17" max="55" min="18" page="10" val="18"/>
</file>

<file path=xl/ctrlProps/ctrlProp74.xml><?xml version="1.0" encoding="utf-8"?>
<formControlPr xmlns="http://schemas.microsoft.com/office/spreadsheetml/2009/9/main" objectType="Spin" dx="26" fmlaLink="$L50" max="55" min="18" page="10" val="18"/>
</file>

<file path=xl/ctrlProps/ctrlProp75.xml><?xml version="1.0" encoding="utf-8"?>
<formControlPr xmlns="http://schemas.microsoft.com/office/spreadsheetml/2009/9/main" objectType="Spin" dx="26" fmlaLink="K50" inc="5" max="30" page="10" val="0"/>
</file>

<file path=xl/ctrlProps/ctrlProp76.xml><?xml version="1.0" encoding="utf-8"?>
<formControlPr xmlns="http://schemas.microsoft.com/office/spreadsheetml/2009/9/main" objectType="Spin" dx="26" fmlaLink="$L$17" max="55" min="18" page="10" val="18"/>
</file>

<file path=xl/ctrlProps/ctrlProp77.xml><?xml version="1.0" encoding="utf-8"?>
<formControlPr xmlns="http://schemas.microsoft.com/office/spreadsheetml/2009/9/main" objectType="Spin" dx="26" fmlaLink="$L$17" max="55" min="18" page="10" val="18"/>
</file>

<file path=xl/ctrlProps/ctrlProp78.xml><?xml version="1.0" encoding="utf-8"?>
<formControlPr xmlns="http://schemas.microsoft.com/office/spreadsheetml/2009/9/main" objectType="Spin" dx="26" fmlaLink="$L51" max="55" min="18" page="10" val="18"/>
</file>

<file path=xl/ctrlProps/ctrlProp79.xml><?xml version="1.0" encoding="utf-8"?>
<formControlPr xmlns="http://schemas.microsoft.com/office/spreadsheetml/2009/9/main" objectType="Spin" dx="26" fmlaLink="K51" inc="5" max="30" page="10" val="0"/>
</file>

<file path=xl/ctrlProps/ctrlProp80.xml><?xml version="1.0" encoding="utf-8"?>
<formControlPr xmlns="http://schemas.microsoft.com/office/spreadsheetml/2009/9/main" objectType="Spin" dx="26" fmlaLink="K17" inc="5" max="30" page="10" val="0"/>
</file>

<file path=xl/ctrlProps/ctrlProp81.xml><?xml version="1.0" encoding="utf-8"?>
<formControlPr xmlns="http://schemas.microsoft.com/office/spreadsheetml/2009/9/main" objectType="Spin" dx="26" fmlaLink="K17" inc="5" max="30" page="10" val="0"/>
</file>

<file path=xl/ctrlProps/ctrlProp82.xml><?xml version="1.0" encoding="utf-8"?>
<formControlPr xmlns="http://schemas.microsoft.com/office/spreadsheetml/2009/9/main" objectType="Spin" dx="26" fmlaLink="K17" inc="5" max="30" page="10" val="0"/>
</file>

<file path=xl/ctrlProps/ctrlProp83.xml><?xml version="1.0" encoding="utf-8"?>
<formControlPr xmlns="http://schemas.microsoft.com/office/spreadsheetml/2009/9/main" objectType="Spin" dx="26" fmlaLink="K17" inc="5" max="30" page="10" val="0"/>
</file>

<file path=xl/ctrlProps/ctrlProp84.xml><?xml version="1.0" encoding="utf-8"?>
<formControlPr xmlns="http://schemas.microsoft.com/office/spreadsheetml/2009/9/main" objectType="Spin" dx="26" fmlaLink="K17" inc="5" max="30" page="10" val="0"/>
</file>

<file path=xl/ctrlProps/ctrlProp85.xml><?xml version="1.0" encoding="utf-8"?>
<formControlPr xmlns="http://schemas.microsoft.com/office/spreadsheetml/2009/9/main" objectType="Spin" dx="26" fmlaLink="K18" inc="5" max="30" page="10" val="0"/>
</file>

<file path=xl/ctrlProps/ctrlProp86.xml><?xml version="1.0" encoding="utf-8"?>
<formControlPr xmlns="http://schemas.microsoft.com/office/spreadsheetml/2009/9/main" objectType="Spin" dx="26" fmlaLink="K19" inc="5" max="30" page="10" val="0"/>
</file>

<file path=xl/ctrlProps/ctrlProp87.xml><?xml version="1.0" encoding="utf-8"?>
<formControlPr xmlns="http://schemas.microsoft.com/office/spreadsheetml/2009/9/main" objectType="Spin" dx="26" fmlaLink="K20" inc="5" max="30" page="10" val="0"/>
</file>

<file path=xl/ctrlProps/ctrlProp88.xml><?xml version="1.0" encoding="utf-8"?>
<formControlPr xmlns="http://schemas.microsoft.com/office/spreadsheetml/2009/9/main" objectType="Spin" dx="26" fmlaLink="K17" inc="5" max="30" page="10" val="0"/>
</file>

<file path=xl/ctrlProps/ctrlProp89.xml><?xml version="1.0" encoding="utf-8"?>
<formControlPr xmlns="http://schemas.microsoft.com/office/spreadsheetml/2009/9/main" objectType="Spin" dx="26" fmlaLink="K17" inc="5" max="30" page="10" val="0"/>
</file>

<file path=xl/ctrlProps/ctrlProp90.xml><?xml version="1.0" encoding="utf-8"?>
<formControlPr xmlns="http://schemas.microsoft.com/office/spreadsheetml/2009/9/main" objectType="Spin" dx="26" fmlaLink="$L17" max="55" min="18" page="10" val="18"/>
</file>

<file path=xl/ctrlProps/ctrlProp91.xml><?xml version="1.0" encoding="utf-8"?>
<formControlPr xmlns="http://schemas.microsoft.com/office/spreadsheetml/2009/9/main" objectType="Spin" dx="26" fmlaLink="$L17" max="55" min="18" page="10" val="18"/>
</file>

<file path=xl/ctrlProps/ctrlProp92.xml><?xml version="1.0" encoding="utf-8"?>
<formControlPr xmlns="http://schemas.microsoft.com/office/spreadsheetml/2009/9/main" objectType="Spin" dx="26" fmlaLink="$L17" max="55" min="18" page="10" val="18"/>
</file>

<file path=xl/ctrlProps/ctrlProp93.xml><?xml version="1.0" encoding="utf-8"?>
<formControlPr xmlns="http://schemas.microsoft.com/office/spreadsheetml/2009/9/main" objectType="Spin" dx="26" fmlaLink="$L17" max="55" min="18" page="10" val="18"/>
</file>

<file path=xl/ctrlProps/ctrlProp94.xml><?xml version="1.0" encoding="utf-8"?>
<formControlPr xmlns="http://schemas.microsoft.com/office/spreadsheetml/2009/9/main" objectType="Spin" dx="26" fmlaLink="$L17" max="55" min="18" page="10" val="18"/>
</file>

<file path=xl/ctrlProps/ctrlProp95.xml><?xml version="1.0" encoding="utf-8"?>
<formControlPr xmlns="http://schemas.microsoft.com/office/spreadsheetml/2009/9/main" objectType="Spin" dx="26" fmlaLink="$L17" max="55" min="18" page="10" val="18"/>
</file>

<file path=xl/ctrlProps/ctrlProp96.xml><?xml version="1.0" encoding="utf-8"?>
<formControlPr xmlns="http://schemas.microsoft.com/office/spreadsheetml/2009/9/main" objectType="Spin" dx="26" fmlaLink="K17" inc="5" max="30" page="10" val="0"/>
</file>

<file path=xl/ctrlProps/ctrlProp97.xml><?xml version="1.0" encoding="utf-8"?>
<formControlPr xmlns="http://schemas.microsoft.com/office/spreadsheetml/2009/9/main" objectType="Spin" dx="26" fmlaLink="K17" inc="5" max="30" page="10" val="0"/>
</file>

<file path=xl/ctrlProps/ctrlProp98.xml><?xml version="1.0" encoding="utf-8"?>
<formControlPr xmlns="http://schemas.microsoft.com/office/spreadsheetml/2009/9/main" objectType="Spin" dx="26" fmlaLink="K17" inc="5" max="30" page="10" val="0"/>
</file>

<file path=xl/ctrlProps/ctrlProp99.xml><?xml version="1.0" encoding="utf-8"?>
<formControlPr xmlns="http://schemas.microsoft.com/office/spreadsheetml/2009/9/main" objectType="Spin" dx="26" fmlaLink="K17" inc="5" max="30" page="10" val="0"/>
</file>

<file path=xl/ctrlProps/ctrlProp100.xml><?xml version="1.0" encoding="utf-8"?>
<formControlPr xmlns="http://schemas.microsoft.com/office/spreadsheetml/2009/9/main" objectType="Spin" dx="26" fmlaLink="K17" inc="5" max="30" page="10" val="0"/>
</file>

<file path=xl/ctrlProps/ctrlProp101.xml><?xml version="1.0" encoding="utf-8"?>
<formControlPr xmlns="http://schemas.microsoft.com/office/spreadsheetml/2009/9/main" objectType="Spin" dx="26" fmlaLink="K17" inc="5" max="30" page="10" val="0"/>
</file>

<file path=xl/ctrlProps/ctrlProp102.xml><?xml version="1.0" encoding="utf-8"?>
<formControlPr xmlns="http://schemas.microsoft.com/office/spreadsheetml/2009/9/main" objectType="Spin" dx="26" fmlaLink="K17" inc="5" max="30" page="10" val="0"/>
</file>

<file path=xl/ctrlProps/ctrlProp103.xml><?xml version="1.0" encoding="utf-8"?>
<formControlPr xmlns="http://schemas.microsoft.com/office/spreadsheetml/2009/9/main" objectType="Spin" dx="26" fmlaLink="K17" inc="5" max="30" page="10" val="0"/>
</file>

<file path=xl/ctrlProps/ctrlProp104.xml><?xml version="1.0" encoding="utf-8"?>
<formControlPr xmlns="http://schemas.microsoft.com/office/spreadsheetml/2009/9/main" objectType="Spin" dx="26" fmlaLink="K17" inc="5" max="30" page="10" val="0"/>
</file>

<file path=xl/ctrlProps/ctrlProp105.xml><?xml version="1.0" encoding="utf-8"?>
<formControlPr xmlns="http://schemas.microsoft.com/office/spreadsheetml/2009/9/main" objectType="Spin" dx="26" fmlaLink="K17" inc="5" max="30" page="10" val="0"/>
</file>

<file path=xl/ctrlProps/ctrlProp106.xml><?xml version="1.0" encoding="utf-8"?>
<formControlPr xmlns="http://schemas.microsoft.com/office/spreadsheetml/2009/9/main" objectType="Spin" dx="26" fmlaLink="$L$17" max="55" min="18" page="10" val="18"/>
</file>

<file path=xl/ctrlProps/ctrlProp107.xml><?xml version="1.0" encoding="utf-8"?>
<formControlPr xmlns="http://schemas.microsoft.com/office/spreadsheetml/2009/9/main" objectType="Spin" dx="26" fmlaLink="$L$17" max="55" min="18" page="10" val="18"/>
</file>

<file path=xl/ctrlProps/ctrlProp108.xml><?xml version="1.0" encoding="utf-8"?>
<formControlPr xmlns="http://schemas.microsoft.com/office/spreadsheetml/2009/9/main" objectType="Spin" dx="26" fmlaLink="$L20" max="55" min="18" page="10" val="18"/>
</file>

<file path=xl/ctrlProps/ctrlProp109.xml><?xml version="1.0" encoding="utf-8"?>
<formControlPr xmlns="http://schemas.microsoft.com/office/spreadsheetml/2009/9/main" objectType="Spin" dx="26" fmlaLink="K20" inc="5" max="30" page="10" val="0"/>
</file>

<file path=xl/ctrlProps/ctrlProp110.xml><?xml version="1.0" encoding="utf-8"?>
<formControlPr xmlns="http://schemas.microsoft.com/office/spreadsheetml/2009/9/main" objectType="Spin" dx="26" fmlaLink="K17" inc="5" max="30" page="10" val="0"/>
</file>

<file path=xl/ctrlProps/ctrlProp111.xml><?xml version="1.0" encoding="utf-8"?>
<formControlPr xmlns="http://schemas.microsoft.com/office/spreadsheetml/2009/9/main" objectType="Spin" dx="26" fmlaLink="K20" inc="5" max="30" page="10" val="0"/>
</file>

<file path=xl/ctrlProps/ctrlProp112.xml><?xml version="1.0" encoding="utf-8"?>
<formControlPr xmlns="http://schemas.microsoft.com/office/spreadsheetml/2009/9/main" objectType="Spin" dx="26" fmlaLink="$L17" max="55" min="18" page="10" val="18"/>
</file>

<file path=xl/ctrlProps/ctrlProp113.xml><?xml version="1.0" encoding="utf-8"?>
<formControlPr xmlns="http://schemas.microsoft.com/office/spreadsheetml/2009/9/main" objectType="Spin" dx="26" fmlaLink="K17" inc="5" max="30" page="10" val="0"/>
</file>

<file path=xl/ctrlProps/ctrlProp114.xml><?xml version="1.0" encoding="utf-8"?>
<formControlPr xmlns="http://schemas.microsoft.com/office/spreadsheetml/2009/9/main" objectType="Spin" dx="26" fmlaLink="K17" inc="5" max="30" page="10" val="0"/>
</file>

<file path=xl/ctrlProps/ctrlProp115.xml><?xml version="1.0" encoding="utf-8"?>
<formControlPr xmlns="http://schemas.microsoft.com/office/spreadsheetml/2009/9/main" objectType="Spin" dx="26" fmlaLink="$L$17" max="55" min="18" page="10" val="18"/>
</file>

<file path=xl/ctrlProps/ctrlProp116.xml><?xml version="1.0" encoding="utf-8"?>
<formControlPr xmlns="http://schemas.microsoft.com/office/spreadsheetml/2009/9/main" objectType="Spin" dx="26" fmlaLink="$L$17" max="55" min="18" page="10" val="18"/>
</file>

<file path=xl/ctrlProps/ctrlProp117.xml><?xml version="1.0" encoding="utf-8"?>
<formControlPr xmlns="http://schemas.microsoft.com/office/spreadsheetml/2009/9/main" objectType="Spin" dx="26" fmlaLink="$L20" max="55" min="18" page="10" val="18"/>
</file>

<file path=xl/ctrlProps/ctrlProp118.xml><?xml version="1.0" encoding="utf-8"?>
<formControlPr xmlns="http://schemas.microsoft.com/office/spreadsheetml/2009/9/main" objectType="Spin" dx="26" fmlaLink="K20" inc="5" max="30" page="10" val="0"/>
</file>

<file path=xl/ctrlProps/ctrlProp119.xml><?xml version="1.0" encoding="utf-8"?>
<formControlPr xmlns="http://schemas.microsoft.com/office/spreadsheetml/2009/9/main" objectType="Spin" dx="26" fmlaLink="K17" inc="5" max="30" page="10" val="0"/>
</file>

<file path=xl/ctrlProps/ctrlProp120.xml><?xml version="1.0" encoding="utf-8"?>
<formControlPr xmlns="http://schemas.microsoft.com/office/spreadsheetml/2009/9/main" objectType="Spin" dx="26" fmlaLink="K20" inc="5" max="30" page="10" val="0"/>
</file>

<file path=xl/ctrlProps/ctrlProp121.xml><?xml version="1.0" encoding="utf-8"?>
<formControlPr xmlns="http://schemas.microsoft.com/office/spreadsheetml/2009/9/main" objectType="Spin" dx="26" fmlaLink="$L17" max="55" min="18" page="10" val="18"/>
</file>

<file path=xl/ctrlProps/ctrlProp122.xml><?xml version="1.0" encoding="utf-8"?>
<formControlPr xmlns="http://schemas.microsoft.com/office/spreadsheetml/2009/9/main" objectType="Spin" dx="26" fmlaLink="K17" inc="5" max="30" page="10" val="0"/>
</file>

<file path=xl/ctrlProps/ctrlProp123.xml><?xml version="1.0" encoding="utf-8"?>
<formControlPr xmlns="http://schemas.microsoft.com/office/spreadsheetml/2009/9/main" objectType="Spin" dx="26" fmlaLink="K17" inc="5" max="30" page="10" val="0"/>
</file>

<file path=xl/ctrlProps/ctrlProp124.xml><?xml version="1.0" encoding="utf-8"?>
<formControlPr xmlns="http://schemas.microsoft.com/office/spreadsheetml/2009/9/main" objectType="Spin" dx="26" fmlaLink="$L$17" max="55" min="18" page="10" val="18"/>
</file>

<file path=xl/ctrlProps/ctrlProp125.xml><?xml version="1.0" encoding="utf-8"?>
<formControlPr xmlns="http://schemas.microsoft.com/office/spreadsheetml/2009/9/main" objectType="Spin" dx="26" fmlaLink="$L$17" max="55" min="18" page="10" val="18"/>
</file>

<file path=xl/ctrlProps/ctrlProp126.xml><?xml version="1.0" encoding="utf-8"?>
<formControlPr xmlns="http://schemas.microsoft.com/office/spreadsheetml/2009/9/main" objectType="Spin" dx="26" fmlaLink="$L20" max="55" min="18" page="10" val="18"/>
</file>

<file path=xl/ctrlProps/ctrlProp127.xml><?xml version="1.0" encoding="utf-8"?>
<formControlPr xmlns="http://schemas.microsoft.com/office/spreadsheetml/2009/9/main" objectType="Spin" dx="26" fmlaLink="K20" inc="5" max="30" page="10" val="0"/>
</file>

<file path=xl/ctrlProps/ctrlProp128.xml><?xml version="1.0" encoding="utf-8"?>
<formControlPr xmlns="http://schemas.microsoft.com/office/spreadsheetml/2009/9/main" objectType="Spin" dx="26" fmlaLink="K17" inc="5" max="30" page="10" val="0"/>
</file>

<file path=xl/ctrlProps/ctrlProp129.xml><?xml version="1.0" encoding="utf-8"?>
<formControlPr xmlns="http://schemas.microsoft.com/office/spreadsheetml/2009/9/main" objectType="Spin" dx="26" fmlaLink="K20" inc="5" max="30" page="10" val="0"/>
</file>

<file path=xl/ctrlProps/ctrlProp130.xml><?xml version="1.0" encoding="utf-8"?>
<formControlPr xmlns="http://schemas.microsoft.com/office/spreadsheetml/2009/9/main" objectType="Spin" dx="26" fmlaLink="$L17" max="55" min="18" page="10" val="18"/>
</file>

<file path=xl/ctrlProps/ctrlProp131.xml><?xml version="1.0" encoding="utf-8"?>
<formControlPr xmlns="http://schemas.microsoft.com/office/spreadsheetml/2009/9/main" objectType="Spin" dx="26" fmlaLink="K17" inc="5" max="30" page="10" val="0"/>
</file>

<file path=xl/ctrlProps/ctrlProp132.xml><?xml version="1.0" encoding="utf-8"?>
<formControlPr xmlns="http://schemas.microsoft.com/office/spreadsheetml/2009/9/main" objectType="Spin" dx="26" fmlaLink="K17" inc="5" max="30" page="10" val="0"/>
</file>

<file path=xl/ctrlProps/ctrlProp133.xml><?xml version="1.0" encoding="utf-8"?>
<formControlPr xmlns="http://schemas.microsoft.com/office/spreadsheetml/2009/9/main" objectType="Spin" dx="26" fmlaLink="$L$17" max="55" min="18" page="10" val="18"/>
</file>

<file path=xl/ctrlProps/ctrlProp134.xml><?xml version="1.0" encoding="utf-8"?>
<formControlPr xmlns="http://schemas.microsoft.com/office/spreadsheetml/2009/9/main" objectType="Spin" dx="26" fmlaLink="$L$17" max="55" min="18" page="10" val="18"/>
</file>

<file path=xl/ctrlProps/ctrlProp135.xml><?xml version="1.0" encoding="utf-8"?>
<formControlPr xmlns="http://schemas.microsoft.com/office/spreadsheetml/2009/9/main" objectType="Spin" dx="26" fmlaLink="$L20" max="55" min="18" page="10" val="18"/>
</file>

<file path=xl/ctrlProps/ctrlProp136.xml><?xml version="1.0" encoding="utf-8"?>
<formControlPr xmlns="http://schemas.microsoft.com/office/spreadsheetml/2009/9/main" objectType="Spin" dx="26" fmlaLink="$L17" max="55" min="18" page="10" val="18"/>
</file>

<file path=xl/ctrlProps/ctrlProp137.xml><?xml version="1.0" encoding="utf-8"?>
<formControlPr xmlns="http://schemas.microsoft.com/office/spreadsheetml/2009/9/main" objectType="Spin" dx="26" fmlaLink="$L$17" max="55" min="18" page="10" val="18"/>
</file>

<file path=xl/ctrlProps/ctrlProp138.xml><?xml version="1.0" encoding="utf-8"?>
<formControlPr xmlns="http://schemas.microsoft.com/office/spreadsheetml/2009/9/main" objectType="Spin" dx="26" fmlaLink="$L$17" max="55" min="18" page="10" val="18"/>
</file>

<file path=xl/ctrlProps/ctrlProp139.xml><?xml version="1.0" encoding="utf-8"?>
<formControlPr xmlns="http://schemas.microsoft.com/office/spreadsheetml/2009/9/main" objectType="Spin" dx="26" fmlaLink="$L51" max="55" min="18" page="10" val="18"/>
</file>

<file path=xl/ctrlProps/ctrlProp140.xml><?xml version="1.0" encoding="utf-8"?>
<formControlPr xmlns="http://schemas.microsoft.com/office/spreadsheetml/2009/9/main" objectType="Spin" dx="26" fmlaLink="K51" inc="5" max="30" page="10" val="0"/>
</file>

<file path=xl/ctrlProps/ctrlProp141.xml><?xml version="1.0" encoding="utf-8"?>
<formControlPr xmlns="http://schemas.microsoft.com/office/spreadsheetml/2009/9/main" objectType="Spin" dx="26" fmlaLink="K17" inc="5" max="30" page="10" val="0"/>
</file>

<file path=xl/ctrlProps/ctrlProp142.xml><?xml version="1.0" encoding="utf-8"?>
<formControlPr xmlns="http://schemas.microsoft.com/office/spreadsheetml/2009/9/main" objectType="Spin" dx="26" fmlaLink="K17" inc="5" max="30" page="10" val="0"/>
</file>

<file path=xl/ctrlProps/ctrlProp143.xml><?xml version="1.0" encoding="utf-8"?>
<formControlPr xmlns="http://schemas.microsoft.com/office/spreadsheetml/2009/9/main" objectType="Spin" dx="26" fmlaLink="$L17" max="55" min="18" page="10" val="18"/>
</file>

<file path=xl/ctrlProps/ctrlProp144.xml><?xml version="1.0" encoding="utf-8"?>
<formControlPr xmlns="http://schemas.microsoft.com/office/spreadsheetml/2009/9/main" objectType="Spin" dx="26" fmlaLink="K17" inc="5" max="30" page="10" val="0"/>
</file>

<file path=xl/ctrlProps/ctrlProp145.xml><?xml version="1.0" encoding="utf-8"?>
<formControlPr xmlns="http://schemas.microsoft.com/office/spreadsheetml/2009/9/main" objectType="Spin" dx="26" fmlaLink="K17" inc="5" max="30" page="10" val="0"/>
</file>

<file path=xl/ctrlProps/ctrlProp146.xml><?xml version="1.0" encoding="utf-8"?>
<formControlPr xmlns="http://schemas.microsoft.com/office/spreadsheetml/2009/9/main" objectType="Spin" dx="26" fmlaLink="K18" inc="5" max="30" page="10" val="0"/>
</file>

<file path=xl/ctrlProps/ctrlProp147.xml><?xml version="1.0" encoding="utf-8"?>
<formControlPr xmlns="http://schemas.microsoft.com/office/spreadsheetml/2009/9/main" objectType="Spin" dx="26" fmlaLink="K17" inc="5" max="30" page="10" val="0"/>
</file>

<file path=xl/ctrlProps/ctrlProp148.xml><?xml version="1.0" encoding="utf-8"?>
<formControlPr xmlns="http://schemas.microsoft.com/office/spreadsheetml/2009/9/main" objectType="Spin" dx="26" fmlaLink="K18" inc="5" max="30" page="10" val="0"/>
</file>

<file path=xl/ctrlProps/ctrlProp149.xml><?xml version="1.0" encoding="utf-8"?>
<formControlPr xmlns="http://schemas.microsoft.com/office/spreadsheetml/2009/9/main" objectType="Spin" dx="26" fmlaLink="K17" inc="5" max="30" page="10" val="0"/>
</file>

<file path=xl/ctrlProps/ctrlProp150.xml><?xml version="1.0" encoding="utf-8"?>
<formControlPr xmlns="http://schemas.microsoft.com/office/spreadsheetml/2009/9/main" objectType="Spin" dx="26" fmlaLink="K17" inc="5" max="30" page="10" val="0"/>
</file>

<file path=xl/ctrlProps/ctrlProp151.xml><?xml version="1.0" encoding="utf-8"?>
<formControlPr xmlns="http://schemas.microsoft.com/office/spreadsheetml/2009/9/main" objectType="Spin" dx="26" fmlaLink="K18" inc="5" max="30" page="10" val="0"/>
</file>

<file path=xl/ctrlProps/ctrlProp152.xml><?xml version="1.0" encoding="utf-8"?>
<formControlPr xmlns="http://schemas.microsoft.com/office/spreadsheetml/2009/9/main" objectType="Spin" dx="26" fmlaLink="K17" inc="5" max="30" page="10" val="0"/>
</file>

<file path=xl/ctrlProps/ctrlProp153.xml><?xml version="1.0" encoding="utf-8"?>
<formControlPr xmlns="http://schemas.microsoft.com/office/spreadsheetml/2009/9/main" objectType="Spin" dx="26" fmlaLink="K18" inc="5" max="30" page="10" val="0"/>
</file>

<file path=xl/ctrlProps/ctrlProp154.xml><?xml version="1.0" encoding="utf-8"?>
<formControlPr xmlns="http://schemas.microsoft.com/office/spreadsheetml/2009/9/main" objectType="Spin" dx="26" fmlaLink="K17" inc="5" max="30" page="10" val="0"/>
</file>

<file path=xl/ctrlProps/ctrlProp155.xml><?xml version="1.0" encoding="utf-8"?>
<formControlPr xmlns="http://schemas.microsoft.com/office/spreadsheetml/2009/9/main" objectType="Spin" dx="26" fmlaLink="K17" inc="5" max="30" page="10" val="0"/>
</file>

<file path=xl/ctrlProps/ctrlProp156.xml><?xml version="1.0" encoding="utf-8"?>
<formControlPr xmlns="http://schemas.microsoft.com/office/spreadsheetml/2009/9/main" objectType="Spin" dx="26" fmlaLink="$L$17" max="55" min="18" page="10" val="18"/>
</file>

<file path=xl/ctrlProps/ctrlProp157.xml><?xml version="1.0" encoding="utf-8"?>
<formControlPr xmlns="http://schemas.microsoft.com/office/spreadsheetml/2009/9/main" objectType="Spin" dx="26" fmlaLink="$L$17" max="55" min="18" page="10" val="18"/>
</file>

<file path=xl/ctrlProps/ctrlProp158.xml><?xml version="1.0" encoding="utf-8"?>
<formControlPr xmlns="http://schemas.microsoft.com/office/spreadsheetml/2009/9/main" objectType="Spin" dx="26" fmlaLink="$L20" max="55" min="18" page="10" val="18"/>
</file>

<file path=xl/ctrlProps/ctrlProp159.xml><?xml version="1.0" encoding="utf-8"?>
<formControlPr xmlns="http://schemas.microsoft.com/office/spreadsheetml/2009/9/main" objectType="Spin" dx="26" fmlaLink="$L17" max="55" min="18" page="10" val="18"/>
</file>

<file path=xl/ctrlProps/ctrlProp160.xml><?xml version="1.0" encoding="utf-8"?>
<formControlPr xmlns="http://schemas.microsoft.com/office/spreadsheetml/2009/9/main" objectType="Spin" dx="26" fmlaLink="$L$17" max="55" min="18" page="10" val="18"/>
</file>

<file path=xl/ctrlProps/ctrlProp161.xml><?xml version="1.0" encoding="utf-8"?>
<formControlPr xmlns="http://schemas.microsoft.com/office/spreadsheetml/2009/9/main" objectType="Spin" dx="26" fmlaLink="$L$17" max="55" min="18" page="10" val="18"/>
</file>

<file path=xl/ctrlProps/ctrlProp162.xml><?xml version="1.0" encoding="utf-8"?>
<formControlPr xmlns="http://schemas.microsoft.com/office/spreadsheetml/2009/9/main" objectType="Spin" dx="26" fmlaLink="$L20" max="55" min="18" page="10" val="18"/>
</file>

<file path=xl/ctrlProps/ctrlProp163.xml><?xml version="1.0" encoding="utf-8"?>
<formControlPr xmlns="http://schemas.microsoft.com/office/spreadsheetml/2009/9/main" objectType="Spin" dx="26" fmlaLink="K20" inc="5" max="30" page="10" val="0"/>
</file>

<file path=xl/ctrlProps/ctrlProp164.xml><?xml version="1.0" encoding="utf-8"?>
<formControlPr xmlns="http://schemas.microsoft.com/office/spreadsheetml/2009/9/main" objectType="Spin" dx="26" fmlaLink="K17" inc="5" max="30" page="10" val="0"/>
</file>

<file path=xl/ctrlProps/ctrlProp165.xml><?xml version="1.0" encoding="utf-8"?>
<formControlPr xmlns="http://schemas.microsoft.com/office/spreadsheetml/2009/9/main" objectType="Spin" dx="26" fmlaLink="K20" inc="5" max="30" page="10" val="0"/>
</file>

<file path=xl/ctrlProps/ctrlProp166.xml><?xml version="1.0" encoding="utf-8"?>
<formControlPr xmlns="http://schemas.microsoft.com/office/spreadsheetml/2009/9/main" objectType="Spin" dx="26" fmlaLink="$L17" max="55" min="18" page="10" val="18"/>
</file>

<file path=xl/ctrlProps/ctrlProp167.xml><?xml version="1.0" encoding="utf-8"?>
<formControlPr xmlns="http://schemas.microsoft.com/office/spreadsheetml/2009/9/main" objectType="Spin" dx="26" fmlaLink="K17" inc="5" max="30" page="10" val="0"/>
</file>

<file path=xl/ctrlProps/ctrlProp168.xml><?xml version="1.0" encoding="utf-8"?>
<formControlPr xmlns="http://schemas.microsoft.com/office/spreadsheetml/2009/9/main" objectType="Spin" dx="26" fmlaLink="K17" inc="5" max="30" page="10" val="0"/>
</file>

<file path=xl/ctrlProps/ctrlProp169.xml><?xml version="1.0" encoding="utf-8"?>
<formControlPr xmlns="http://schemas.microsoft.com/office/spreadsheetml/2009/9/main" objectType="Spin" dx="26" fmlaLink="$L$17" max="55" min="18" page="10" val="18"/>
</file>

<file path=xl/ctrlProps/ctrlProp170.xml><?xml version="1.0" encoding="utf-8"?>
<formControlPr xmlns="http://schemas.microsoft.com/office/spreadsheetml/2009/9/main" objectType="Spin" dx="26" fmlaLink="$L$17" max="55" min="18" page="10" val="18"/>
</file>

<file path=xl/ctrlProps/ctrlProp171.xml><?xml version="1.0" encoding="utf-8"?>
<formControlPr xmlns="http://schemas.microsoft.com/office/spreadsheetml/2009/9/main" objectType="Spin" dx="26" fmlaLink="$L20" max="55" min="18" page="10" val="18"/>
</file>

<file path=xl/ctrlProps/ctrlProp172.xml><?xml version="1.0" encoding="utf-8"?>
<formControlPr xmlns="http://schemas.microsoft.com/office/spreadsheetml/2009/9/main" objectType="Spin" dx="26" fmlaLink="$L17" max="55" min="18" page="10" val="18"/>
</file>

<file path=xl/ctrlProps/ctrlProp173.xml><?xml version="1.0" encoding="utf-8"?>
<formControlPr xmlns="http://schemas.microsoft.com/office/spreadsheetml/2009/9/main" objectType="Spin" dx="26" fmlaLink="$L$17" max="55" min="18" page="10" val="18"/>
</file>

<file path=xl/ctrlProps/ctrlProp174.xml><?xml version="1.0" encoding="utf-8"?>
<formControlPr xmlns="http://schemas.microsoft.com/office/spreadsheetml/2009/9/main" objectType="Spin" dx="26" fmlaLink="$L$17" max="55" min="18" page="10" val="18"/>
</file>

<file path=xl/ctrlProps/ctrlProp175.xml><?xml version="1.0" encoding="utf-8"?>
<formControlPr xmlns="http://schemas.microsoft.com/office/spreadsheetml/2009/9/main" objectType="Spin" dx="26" fmlaLink="$L20" max="55" min="18" page="10" val="18"/>
</file>

<file path=xl/ctrlProps/ctrlProp176.xml><?xml version="1.0" encoding="utf-8"?>
<formControlPr xmlns="http://schemas.microsoft.com/office/spreadsheetml/2009/9/main" objectType="Spin" dx="26" fmlaLink="K20" inc="5" max="30" page="10" val="0"/>
</file>

<file path=xl/ctrlProps/ctrlProp177.xml><?xml version="1.0" encoding="utf-8"?>
<formControlPr xmlns="http://schemas.microsoft.com/office/spreadsheetml/2009/9/main" objectType="Spin" dx="26" fmlaLink="K17" inc="5" max="30" page="10" val="0"/>
</file>

<file path=xl/ctrlProps/ctrlProp178.xml><?xml version="1.0" encoding="utf-8"?>
<formControlPr xmlns="http://schemas.microsoft.com/office/spreadsheetml/2009/9/main" objectType="Spin" dx="26" fmlaLink="K20" inc="5" max="30" page="10" val="0"/>
</file>

<file path=xl/ctrlProps/ctrlProp179.xml><?xml version="1.0" encoding="utf-8"?>
<formControlPr xmlns="http://schemas.microsoft.com/office/spreadsheetml/2009/9/main" objectType="Spin" dx="26" fmlaLink="$L17" max="55" min="18" page="10" val="18"/>
</file>

<file path=xl/ctrlProps/ctrlProp180.xml><?xml version="1.0" encoding="utf-8"?>
<formControlPr xmlns="http://schemas.microsoft.com/office/spreadsheetml/2009/9/main" objectType="Spin" dx="26" fmlaLink="K17" inc="5" max="30" page="10" val="0"/>
</file>

<file path=xl/ctrlProps/ctrlProp181.xml><?xml version="1.0" encoding="utf-8"?>
<formControlPr xmlns="http://schemas.microsoft.com/office/spreadsheetml/2009/9/main" objectType="Spin" dx="26" fmlaLink="K17" inc="5" max="30" page="10" val="0"/>
</file>

<file path=xl/ctrlProps/ctrlProp182.xml><?xml version="1.0" encoding="utf-8"?>
<formControlPr xmlns="http://schemas.microsoft.com/office/spreadsheetml/2009/9/main" objectType="Spin" dx="26" fmlaLink="$L$17" max="55" min="18" page="10" val="18"/>
</file>

<file path=xl/ctrlProps/ctrlProp183.xml><?xml version="1.0" encoding="utf-8"?>
<formControlPr xmlns="http://schemas.microsoft.com/office/spreadsheetml/2009/9/main" objectType="Spin" dx="26" fmlaLink="$L$17" max="55" min="18" page="10" val="18"/>
</file>

<file path=xl/ctrlProps/ctrlProp184.xml><?xml version="1.0" encoding="utf-8"?>
<formControlPr xmlns="http://schemas.microsoft.com/office/spreadsheetml/2009/9/main" objectType="Spin" dx="26" fmlaLink="$L20" max="55" min="18" page="10" val="18"/>
</file>

<file path=xl/ctrlProps/ctrlProp185.xml><?xml version="1.0" encoding="utf-8"?>
<formControlPr xmlns="http://schemas.microsoft.com/office/spreadsheetml/2009/9/main" objectType="Spin" dx="26" fmlaLink="$L17" max="55" min="18" page="10" val="18"/>
</file>

<file path=xl/ctrlProps/ctrlProp186.xml><?xml version="1.0" encoding="utf-8"?>
<formControlPr xmlns="http://schemas.microsoft.com/office/spreadsheetml/2009/9/main" objectType="Spin" dx="26" fmlaLink="$L$17" max="55" min="18" page="10" val="18"/>
</file>

<file path=xl/ctrlProps/ctrlProp187.xml><?xml version="1.0" encoding="utf-8"?>
<formControlPr xmlns="http://schemas.microsoft.com/office/spreadsheetml/2009/9/main" objectType="Spin" dx="26" fmlaLink="$L$17" max="55" min="18" page="10" val="18"/>
</file>

<file path=xl/ctrlProps/ctrlProp188.xml><?xml version="1.0" encoding="utf-8"?>
<formControlPr xmlns="http://schemas.microsoft.com/office/spreadsheetml/2009/9/main" objectType="Spin" dx="26" fmlaLink="$L20" max="55" min="18" page="10" val="18"/>
</file>

<file path=xl/ctrlProps/ctrlProp189.xml><?xml version="1.0" encoding="utf-8"?>
<formControlPr xmlns="http://schemas.microsoft.com/office/spreadsheetml/2009/9/main" objectType="Spin" dx="26" fmlaLink="$L17" max="55" min="18" page="10" val="18"/>
</file>

<file path=xl/ctrlProps/ctrlProp190.xml><?xml version="1.0" encoding="utf-8"?>
<formControlPr xmlns="http://schemas.microsoft.com/office/spreadsheetml/2009/9/main" objectType="Spin" dx="26" fmlaLink="$L$17" max="55" min="18" page="10" val="18"/>
</file>

<file path=xl/ctrlProps/ctrlProp191.xml><?xml version="1.0" encoding="utf-8"?>
<formControlPr xmlns="http://schemas.microsoft.com/office/spreadsheetml/2009/9/main" objectType="Spin" dx="26" fmlaLink="$L$17" max="55" min="18" page="10" val="18"/>
</file>

<file path=xl/ctrlProps/ctrlProp192.xml><?xml version="1.0" encoding="utf-8"?>
<formControlPr xmlns="http://schemas.microsoft.com/office/spreadsheetml/2009/9/main" objectType="Spin" dx="26" fmlaLink="$L20" max="55" min="18" page="10" val="18"/>
</file>

<file path=xl/ctrlProps/ctrlProp193.xml><?xml version="1.0" encoding="utf-8"?>
<formControlPr xmlns="http://schemas.microsoft.com/office/spreadsheetml/2009/9/main" objectType="Spin" dx="26" fmlaLink="K20" inc="5" max="30" page="10" val="0"/>
</file>

<file path=xl/ctrlProps/ctrlProp194.xml><?xml version="1.0" encoding="utf-8"?>
<formControlPr xmlns="http://schemas.microsoft.com/office/spreadsheetml/2009/9/main" objectType="Spin" dx="26" fmlaLink="K17" inc="5" max="30" page="10" val="0"/>
</file>

<file path=xl/ctrlProps/ctrlProp195.xml><?xml version="1.0" encoding="utf-8"?>
<formControlPr xmlns="http://schemas.microsoft.com/office/spreadsheetml/2009/9/main" objectType="Spin" dx="26" fmlaLink="K20" inc="5" max="30" page="10" val="0"/>
</file>

<file path=xl/ctrlProps/ctrlProp196.xml><?xml version="1.0" encoding="utf-8"?>
<formControlPr xmlns="http://schemas.microsoft.com/office/spreadsheetml/2009/9/main" objectType="Spin" dx="26" fmlaLink="$L17" max="55" min="18" page="10" val="18"/>
</file>

<file path=xl/ctrlProps/ctrlProp197.xml><?xml version="1.0" encoding="utf-8"?>
<formControlPr xmlns="http://schemas.microsoft.com/office/spreadsheetml/2009/9/main" objectType="Spin" dx="26" fmlaLink="K17" inc="5" max="30" page="10" val="0"/>
</file>

<file path=xl/ctrlProps/ctrlProp198.xml><?xml version="1.0" encoding="utf-8"?>
<formControlPr xmlns="http://schemas.microsoft.com/office/spreadsheetml/2009/9/main" objectType="Spin" dx="26" fmlaLink="K17" inc="5" max="30" page="10" val="0"/>
</file>

<file path=xl/ctrlProps/ctrlProp199.xml><?xml version="1.0" encoding="utf-8"?>
<formControlPr xmlns="http://schemas.microsoft.com/office/spreadsheetml/2009/9/main" objectType="Spin" dx="26" fmlaLink="$L$17" max="55" min="18" page="10" val="18"/>
</file>

<file path=xl/ctrlProps/ctrlProp200.xml><?xml version="1.0" encoding="utf-8"?>
<formControlPr xmlns="http://schemas.microsoft.com/office/spreadsheetml/2009/9/main" objectType="Spin" dx="26" fmlaLink="$L$17" max="55" min="18" page="10" val="18"/>
</file>

<file path=xl/ctrlProps/ctrlProp201.xml><?xml version="1.0" encoding="utf-8"?>
<formControlPr xmlns="http://schemas.microsoft.com/office/spreadsheetml/2009/9/main" objectType="Spin" dx="26" fmlaLink="$L20" max="55" min="18" page="10" val="18"/>
</file>

<file path=xl/ctrlProps/ctrlProp202.xml><?xml version="1.0" encoding="utf-8"?>
<formControlPr xmlns="http://schemas.microsoft.com/office/spreadsheetml/2009/9/main" objectType="Spin" dx="26" fmlaLink="$L17" max="55" min="18" page="10" val="18"/>
</file>

<file path=xl/ctrlProps/ctrlProp203.xml><?xml version="1.0" encoding="utf-8"?>
<formControlPr xmlns="http://schemas.microsoft.com/office/spreadsheetml/2009/9/main" objectType="Spin" dx="26" fmlaLink="$L$17" max="55" min="18" page="10" val="18"/>
</file>

<file path=xl/ctrlProps/ctrlProp204.xml><?xml version="1.0" encoding="utf-8"?>
<formControlPr xmlns="http://schemas.microsoft.com/office/spreadsheetml/2009/9/main" objectType="Spin" dx="26" fmlaLink="$L$17" max="55" min="18" page="10" val="18"/>
</file>

<file path=xl/ctrlProps/ctrlProp205.xml><?xml version="1.0" encoding="utf-8"?>
<formControlPr xmlns="http://schemas.microsoft.com/office/spreadsheetml/2009/9/main" objectType="Spin" dx="26" fmlaLink="$L20" max="55" min="18" page="10" val="18"/>
</file>

<file path=xl/ctrlProps/ctrlProp206.xml><?xml version="1.0" encoding="utf-8"?>
<formControlPr xmlns="http://schemas.microsoft.com/office/spreadsheetml/2009/9/main" objectType="Spin" dx="26" fmlaLink="$L17" max="55" min="18" page="10" val="18"/>
</file>

<file path=xl/ctrlProps/ctrlProp207.xml><?xml version="1.0" encoding="utf-8"?>
<formControlPr xmlns="http://schemas.microsoft.com/office/spreadsheetml/2009/9/main" objectType="Spin" dx="26" fmlaLink="$L$17" max="55" min="18" page="10" val="18"/>
</file>

<file path=xl/ctrlProps/ctrlProp208.xml><?xml version="1.0" encoding="utf-8"?>
<formControlPr xmlns="http://schemas.microsoft.com/office/spreadsheetml/2009/9/main" objectType="Spin" dx="26" fmlaLink="$L$17" max="55" min="18" page="10" val="18"/>
</file>

<file path=xl/ctrlProps/ctrlProp209.xml><?xml version="1.0" encoding="utf-8"?>
<formControlPr xmlns="http://schemas.microsoft.com/office/spreadsheetml/2009/9/main" objectType="Spin" dx="26" fmlaLink="$L20" max="55" min="18" page="10" val="18"/>
</file>

<file path=xl/ctrlProps/ctrlProp210.xml><?xml version="1.0" encoding="utf-8"?>
<formControlPr xmlns="http://schemas.microsoft.com/office/spreadsheetml/2009/9/main" objectType="Spin" dx="26" fmlaLink="K20" inc="5" max="30" page="10" val="0"/>
</file>

<file path=xl/ctrlProps/ctrlProp211.xml><?xml version="1.0" encoding="utf-8"?>
<formControlPr xmlns="http://schemas.microsoft.com/office/spreadsheetml/2009/9/main" objectType="Spin" dx="26" fmlaLink="K17" inc="5" max="30" page="10" val="0"/>
</file>

<file path=xl/ctrlProps/ctrlProp212.xml><?xml version="1.0" encoding="utf-8"?>
<formControlPr xmlns="http://schemas.microsoft.com/office/spreadsheetml/2009/9/main" objectType="Spin" dx="26" fmlaLink="K20" inc="5" max="30" page="10" val="0"/>
</file>

<file path=xl/ctrlProps/ctrlProp213.xml><?xml version="1.0" encoding="utf-8"?>
<formControlPr xmlns="http://schemas.microsoft.com/office/spreadsheetml/2009/9/main" objectType="Spin" dx="26" fmlaLink="$L17" max="55" min="18" page="10" val="18"/>
</file>

<file path=xl/ctrlProps/ctrlProp214.xml><?xml version="1.0" encoding="utf-8"?>
<formControlPr xmlns="http://schemas.microsoft.com/office/spreadsheetml/2009/9/main" objectType="Spin" dx="26" fmlaLink="K17" inc="5" max="30" page="10" val="0"/>
</file>

<file path=xl/ctrlProps/ctrlProp215.xml><?xml version="1.0" encoding="utf-8"?>
<formControlPr xmlns="http://schemas.microsoft.com/office/spreadsheetml/2009/9/main" objectType="Spin" dx="26" fmlaLink="K17" inc="5" max="30" page="10" val="0"/>
</file>

<file path=xl/ctrlProps/ctrlProp216.xml><?xml version="1.0" encoding="utf-8"?>
<formControlPr xmlns="http://schemas.microsoft.com/office/spreadsheetml/2009/9/main" objectType="Spin" dx="26" fmlaLink="$L$17" max="55" min="18" page="10" val="18"/>
</file>

<file path=xl/ctrlProps/ctrlProp217.xml><?xml version="1.0" encoding="utf-8"?>
<formControlPr xmlns="http://schemas.microsoft.com/office/spreadsheetml/2009/9/main" objectType="Spin" dx="26" fmlaLink="$L$17" max="55" min="18" page="10" val="18"/>
</file>

<file path=xl/ctrlProps/ctrlProp218.xml><?xml version="1.0" encoding="utf-8"?>
<formControlPr xmlns="http://schemas.microsoft.com/office/spreadsheetml/2009/9/main" objectType="Spin" dx="26" fmlaLink="$L20" max="55" min="18" page="10" val="18"/>
</file>

<file path=xl/ctrlProps/ctrlProp219.xml><?xml version="1.0" encoding="utf-8"?>
<formControlPr xmlns="http://schemas.microsoft.com/office/spreadsheetml/2009/9/main" objectType="Spin" dx="26" fmlaLink="$L17" max="55" min="18" page="10" val="18"/>
</file>

<file path=xl/ctrlProps/ctrlProp220.xml><?xml version="1.0" encoding="utf-8"?>
<formControlPr xmlns="http://schemas.microsoft.com/office/spreadsheetml/2009/9/main" objectType="Spin" dx="26" fmlaLink="$L$17" max="55" min="18" page="10" val="18"/>
</file>

<file path=xl/ctrlProps/ctrlProp221.xml><?xml version="1.0" encoding="utf-8"?>
<formControlPr xmlns="http://schemas.microsoft.com/office/spreadsheetml/2009/9/main" objectType="Spin" dx="26" fmlaLink="$L$17" max="55" min="18" page="10" val="18"/>
</file>

<file path=xl/ctrlProps/ctrlProp222.xml><?xml version="1.0" encoding="utf-8"?>
<formControlPr xmlns="http://schemas.microsoft.com/office/spreadsheetml/2009/9/main" objectType="Spin" dx="26" fmlaLink="$L20" max="55" min="18" page="10" val="18"/>
</file>

<file path=xl/ctrlProps/ctrlProp223.xml><?xml version="1.0" encoding="utf-8"?>
<formControlPr xmlns="http://schemas.microsoft.com/office/spreadsheetml/2009/9/main" objectType="Spin" dx="26" fmlaLink="$L17" max="55" min="18" page="10" val="18"/>
</file>

<file path=xl/ctrlProps/ctrlProp224.xml><?xml version="1.0" encoding="utf-8"?>
<formControlPr xmlns="http://schemas.microsoft.com/office/spreadsheetml/2009/9/main" objectType="Spin" dx="26" fmlaLink="$L$17" max="55" min="18" page="10" val="18"/>
</file>

<file path=xl/ctrlProps/ctrlProp225.xml><?xml version="1.0" encoding="utf-8"?>
<formControlPr xmlns="http://schemas.microsoft.com/office/spreadsheetml/2009/9/main" objectType="Spin" dx="26" fmlaLink="$L$17" max="55" min="18" page="10" val="18"/>
</file>

<file path=xl/ctrlProps/ctrlProp226.xml><?xml version="1.0" encoding="utf-8"?>
<formControlPr xmlns="http://schemas.microsoft.com/office/spreadsheetml/2009/9/main" objectType="Spin" dx="26" fmlaLink="$L20" max="55" min="18" page="10" val="18"/>
</file>

<file path=xl/ctrlProps/ctrlProp227.xml><?xml version="1.0" encoding="utf-8"?>
<formControlPr xmlns="http://schemas.microsoft.com/office/spreadsheetml/2009/9/main" objectType="Spin" dx="26" fmlaLink="K20" inc="5" max="30" page="10" val="0"/>
</file>

<file path=xl/ctrlProps/ctrlProp228.xml><?xml version="1.0" encoding="utf-8"?>
<formControlPr xmlns="http://schemas.microsoft.com/office/spreadsheetml/2009/9/main" objectType="Spin" dx="26" fmlaLink="K17" inc="5" max="30" page="10" val="0"/>
</file>

<file path=xl/ctrlProps/ctrlProp229.xml><?xml version="1.0" encoding="utf-8"?>
<formControlPr xmlns="http://schemas.microsoft.com/office/spreadsheetml/2009/9/main" objectType="Spin" dx="26" fmlaLink="K20" inc="5" max="30" page="10" val="0"/>
</file>

<file path=xl/ctrlProps/ctrlProp230.xml><?xml version="1.0" encoding="utf-8"?>
<formControlPr xmlns="http://schemas.microsoft.com/office/spreadsheetml/2009/9/main" objectType="Spin" dx="26" fmlaLink="$L17" max="55" min="18" page="10" val="18"/>
</file>

<file path=xl/ctrlProps/ctrlProp231.xml><?xml version="1.0" encoding="utf-8"?>
<formControlPr xmlns="http://schemas.microsoft.com/office/spreadsheetml/2009/9/main" objectType="Spin" dx="26" fmlaLink="K17" inc="5" max="30" page="10" val="0"/>
</file>

<file path=xl/ctrlProps/ctrlProp232.xml><?xml version="1.0" encoding="utf-8"?>
<formControlPr xmlns="http://schemas.microsoft.com/office/spreadsheetml/2009/9/main" objectType="Spin" dx="26" fmlaLink="K17" inc="5" max="30" page="10" val="0"/>
</file>

<file path=xl/ctrlProps/ctrlProp233.xml><?xml version="1.0" encoding="utf-8"?>
<formControlPr xmlns="http://schemas.microsoft.com/office/spreadsheetml/2009/9/main" objectType="Spin" dx="26" fmlaLink="$L$17" max="55" min="18" page="10" val="18"/>
</file>

<file path=xl/ctrlProps/ctrlProp234.xml><?xml version="1.0" encoding="utf-8"?>
<formControlPr xmlns="http://schemas.microsoft.com/office/spreadsheetml/2009/9/main" objectType="Spin" dx="26" fmlaLink="$L$17" max="55" min="18" page="10" val="18"/>
</file>

<file path=xl/ctrlProps/ctrlProp235.xml><?xml version="1.0" encoding="utf-8"?>
<formControlPr xmlns="http://schemas.microsoft.com/office/spreadsheetml/2009/9/main" objectType="Spin" dx="26" fmlaLink="$L20" max="55" min="18" page="10" val="18"/>
</file>

<file path=xl/ctrlProps/ctrlProp236.xml><?xml version="1.0" encoding="utf-8"?>
<formControlPr xmlns="http://schemas.microsoft.com/office/spreadsheetml/2009/9/main" objectType="Spin" dx="26" fmlaLink="$L17" max="55" min="18" page="10" val="18"/>
</file>

<file path=xl/ctrlProps/ctrlProp237.xml><?xml version="1.0" encoding="utf-8"?>
<formControlPr xmlns="http://schemas.microsoft.com/office/spreadsheetml/2009/9/main" objectType="Spin" dx="26" fmlaLink="$L$17" max="55" min="18" page="10" val="18"/>
</file>

<file path=xl/ctrlProps/ctrlProp238.xml><?xml version="1.0" encoding="utf-8"?>
<formControlPr xmlns="http://schemas.microsoft.com/office/spreadsheetml/2009/9/main" objectType="Spin" dx="26" fmlaLink="$L$17" max="55" min="18" page="10" val="18"/>
</file>

<file path=xl/ctrlProps/ctrlProp239.xml><?xml version="1.0" encoding="utf-8"?>
<formControlPr xmlns="http://schemas.microsoft.com/office/spreadsheetml/2009/9/main" objectType="Spin" dx="26" fmlaLink="$L20" max="55" min="18" page="10" val="18"/>
</file>

<file path=xl/ctrlProps/ctrlProp240.xml><?xml version="1.0" encoding="utf-8"?>
<formControlPr xmlns="http://schemas.microsoft.com/office/spreadsheetml/2009/9/main" objectType="Spin" dx="26" fmlaLink="$L17" max="55" min="18" page="10" val="18"/>
</file>

<file path=xl/ctrlProps/ctrlProp241.xml><?xml version="1.0" encoding="utf-8"?>
<formControlPr xmlns="http://schemas.microsoft.com/office/spreadsheetml/2009/9/main" objectType="Spin" dx="26" fmlaLink="$L$17" max="55" min="18" page="10" val="18"/>
</file>

<file path=xl/ctrlProps/ctrlProp242.xml><?xml version="1.0" encoding="utf-8"?>
<formControlPr xmlns="http://schemas.microsoft.com/office/spreadsheetml/2009/9/main" objectType="Spin" dx="26" fmlaLink="$L$17" max="55" min="18" page="10" val="18"/>
</file>

<file path=xl/ctrlProps/ctrlProp243.xml><?xml version="1.0" encoding="utf-8"?>
<formControlPr xmlns="http://schemas.microsoft.com/office/spreadsheetml/2009/9/main" objectType="Spin" dx="26" fmlaLink="$L20" max="55" min="18" page="10" val="18"/>
</file>

<file path=xl/ctrlProps/ctrlProp244.xml><?xml version="1.0" encoding="utf-8"?>
<formControlPr xmlns="http://schemas.microsoft.com/office/spreadsheetml/2009/9/main" objectType="Spin" dx="26" fmlaLink="K20" inc="5" max="30" page="10" val="0"/>
</file>

<file path=xl/ctrlProps/ctrlProp245.xml><?xml version="1.0" encoding="utf-8"?>
<formControlPr xmlns="http://schemas.microsoft.com/office/spreadsheetml/2009/9/main" objectType="Spin" dx="26" fmlaLink="K17" inc="5" max="30" page="10" val="0"/>
</file>

<file path=xl/ctrlProps/ctrlProp246.xml><?xml version="1.0" encoding="utf-8"?>
<formControlPr xmlns="http://schemas.microsoft.com/office/spreadsheetml/2009/9/main" objectType="Spin" dx="26" fmlaLink="K20" inc="5" max="30" page="10" val="0"/>
</file>

<file path=xl/ctrlProps/ctrlProp247.xml><?xml version="1.0" encoding="utf-8"?>
<formControlPr xmlns="http://schemas.microsoft.com/office/spreadsheetml/2009/9/main" objectType="Spin" dx="26" fmlaLink="$L17" max="55" min="18" page="10" val="18"/>
</file>

<file path=xl/ctrlProps/ctrlProp248.xml><?xml version="1.0" encoding="utf-8"?>
<formControlPr xmlns="http://schemas.microsoft.com/office/spreadsheetml/2009/9/main" objectType="Spin" dx="26" fmlaLink="K17" inc="5" max="30" page="10" val="0"/>
</file>

<file path=xl/ctrlProps/ctrlProp249.xml><?xml version="1.0" encoding="utf-8"?>
<formControlPr xmlns="http://schemas.microsoft.com/office/spreadsheetml/2009/9/main" objectType="Spin" dx="26" fmlaLink="K17" inc="5" max="30" page="10" val="0"/>
</file>

<file path=xl/ctrlProps/ctrlProp250.xml><?xml version="1.0" encoding="utf-8"?>
<formControlPr xmlns="http://schemas.microsoft.com/office/spreadsheetml/2009/9/main" objectType="Spin" dx="26" fmlaLink="$L$17" max="55" min="18" page="10" val="18"/>
</file>

<file path=xl/ctrlProps/ctrlProp251.xml><?xml version="1.0" encoding="utf-8"?>
<formControlPr xmlns="http://schemas.microsoft.com/office/spreadsheetml/2009/9/main" objectType="Spin" dx="26" fmlaLink="$L$17" max="55" min="18" page="10" val="18"/>
</file>

<file path=xl/ctrlProps/ctrlProp252.xml><?xml version="1.0" encoding="utf-8"?>
<formControlPr xmlns="http://schemas.microsoft.com/office/spreadsheetml/2009/9/main" objectType="Spin" dx="26" fmlaLink="$L20" max="55" min="18" page="10" val="18"/>
</file>

<file path=xl/ctrlProps/ctrlProp253.xml><?xml version="1.0" encoding="utf-8"?>
<formControlPr xmlns="http://schemas.microsoft.com/office/spreadsheetml/2009/9/main" objectType="Spin" dx="26" fmlaLink="$L17" max="55" min="18" page="10" val="18"/>
</file>

<file path=xl/ctrlProps/ctrlProp254.xml><?xml version="1.0" encoding="utf-8"?>
<formControlPr xmlns="http://schemas.microsoft.com/office/spreadsheetml/2009/9/main" objectType="Spin" dx="26" fmlaLink="$L$17" max="55" min="18" page="10" val="18"/>
</file>

<file path=xl/ctrlProps/ctrlProp255.xml><?xml version="1.0" encoding="utf-8"?>
<formControlPr xmlns="http://schemas.microsoft.com/office/spreadsheetml/2009/9/main" objectType="Spin" dx="26" fmlaLink="$L$17" max="55" min="18" page="10" val="18"/>
</file>

<file path=xl/ctrlProps/ctrlProp256.xml><?xml version="1.0" encoding="utf-8"?>
<formControlPr xmlns="http://schemas.microsoft.com/office/spreadsheetml/2009/9/main" objectType="Spin" dx="26" fmlaLink="$L20" max="55" min="18" page="10" val="18"/>
</file>

<file path=xl/ctrlProps/ctrlProp257.xml><?xml version="1.0" encoding="utf-8"?>
<formControlPr xmlns="http://schemas.microsoft.com/office/spreadsheetml/2009/9/main" objectType="Spin" dx="26" fmlaLink="$L17" max="55" min="18" page="10" val="18"/>
</file>

<file path=xl/ctrlProps/ctrlProp258.xml><?xml version="1.0" encoding="utf-8"?>
<formControlPr xmlns="http://schemas.microsoft.com/office/spreadsheetml/2009/9/main" objectType="Spin" dx="26" fmlaLink="$L$17" max="55" min="18" page="10" val="18"/>
</file>

<file path=xl/ctrlProps/ctrlProp259.xml><?xml version="1.0" encoding="utf-8"?>
<formControlPr xmlns="http://schemas.microsoft.com/office/spreadsheetml/2009/9/main" objectType="Spin" dx="26" fmlaLink="$L$17" max="55" min="18" page="10" val="18"/>
</file>

<file path=xl/ctrlProps/ctrlProp260.xml><?xml version="1.0" encoding="utf-8"?>
<formControlPr xmlns="http://schemas.microsoft.com/office/spreadsheetml/2009/9/main" objectType="Spin" dx="26" fmlaLink="$L20" max="55" min="18" page="10" val="18"/>
</file>

<file path=xl/ctrlProps/ctrlProp261.xml><?xml version="1.0" encoding="utf-8"?>
<formControlPr xmlns="http://schemas.microsoft.com/office/spreadsheetml/2009/9/main" objectType="Spin" dx="26" fmlaLink="K20" inc="5" max="30" page="10" val="0"/>
</file>

<file path=xl/ctrlProps/ctrlProp262.xml><?xml version="1.0" encoding="utf-8"?>
<formControlPr xmlns="http://schemas.microsoft.com/office/spreadsheetml/2009/9/main" objectType="Spin" dx="26" fmlaLink="K17" inc="5" max="30" page="10" val="0"/>
</file>

<file path=xl/ctrlProps/ctrlProp263.xml><?xml version="1.0" encoding="utf-8"?>
<formControlPr xmlns="http://schemas.microsoft.com/office/spreadsheetml/2009/9/main" objectType="Spin" dx="26" fmlaLink="K20" inc="5" max="30" page="10" val="0"/>
</file>

<file path=xl/ctrlProps/ctrlProp264.xml><?xml version="1.0" encoding="utf-8"?>
<formControlPr xmlns="http://schemas.microsoft.com/office/spreadsheetml/2009/9/main" objectType="Spin" dx="26" fmlaLink="$L17" max="55" min="18" page="10" val="18"/>
</file>

<file path=xl/ctrlProps/ctrlProp265.xml><?xml version="1.0" encoding="utf-8"?>
<formControlPr xmlns="http://schemas.microsoft.com/office/spreadsheetml/2009/9/main" objectType="Spin" dx="26" fmlaLink="K17" inc="5" max="30" page="10" val="0"/>
</file>

<file path=xl/ctrlProps/ctrlProp266.xml><?xml version="1.0" encoding="utf-8"?>
<formControlPr xmlns="http://schemas.microsoft.com/office/spreadsheetml/2009/9/main" objectType="Spin" dx="26" fmlaLink="K17" inc="5" max="30" page="10" val="0"/>
</file>

<file path=xl/ctrlProps/ctrlProp267.xml><?xml version="1.0" encoding="utf-8"?>
<formControlPr xmlns="http://schemas.microsoft.com/office/spreadsheetml/2009/9/main" objectType="Spin" dx="26" fmlaLink="$L$17" max="55" min="18" page="10" val="18"/>
</file>

<file path=xl/ctrlProps/ctrlProp268.xml><?xml version="1.0" encoding="utf-8"?>
<formControlPr xmlns="http://schemas.microsoft.com/office/spreadsheetml/2009/9/main" objectType="Spin" dx="26" fmlaLink="$L$17" max="55" min="18" page="10" val="18"/>
</file>

<file path=xl/ctrlProps/ctrlProp269.xml><?xml version="1.0" encoding="utf-8"?>
<formControlPr xmlns="http://schemas.microsoft.com/office/spreadsheetml/2009/9/main" objectType="Spin" dx="26" fmlaLink="$L20" max="55" min="18" page="10" val="18"/>
</file>

<file path=xl/ctrlProps/ctrlProp270.xml><?xml version="1.0" encoding="utf-8"?>
<formControlPr xmlns="http://schemas.microsoft.com/office/spreadsheetml/2009/9/main" objectType="Spin" dx="26" fmlaLink="$L17" max="55" min="18" page="10" val="18"/>
</file>

<file path=xl/ctrlProps/ctrlProp271.xml><?xml version="1.0" encoding="utf-8"?>
<formControlPr xmlns="http://schemas.microsoft.com/office/spreadsheetml/2009/9/main" objectType="Spin" dx="26" fmlaLink="$L$17" max="55" min="18" page="10" val="18"/>
</file>

<file path=xl/ctrlProps/ctrlProp272.xml><?xml version="1.0" encoding="utf-8"?>
<formControlPr xmlns="http://schemas.microsoft.com/office/spreadsheetml/2009/9/main" objectType="Spin" dx="26" fmlaLink="$L$17" max="55" min="18" page="10" val="18"/>
</file>

<file path=xl/ctrlProps/ctrlProp273.xml><?xml version="1.0" encoding="utf-8"?>
<formControlPr xmlns="http://schemas.microsoft.com/office/spreadsheetml/2009/9/main" objectType="Spin" dx="26" fmlaLink="$L20" max="55" min="18" page="10" val="18"/>
</file>

<file path=xl/ctrlProps/ctrlProp274.xml><?xml version="1.0" encoding="utf-8"?>
<formControlPr xmlns="http://schemas.microsoft.com/office/spreadsheetml/2009/9/main" objectType="Spin" dx="26" fmlaLink="$L17" max="55" min="18" page="10" val="18"/>
</file>

<file path=xl/ctrlProps/ctrlProp275.xml><?xml version="1.0" encoding="utf-8"?>
<formControlPr xmlns="http://schemas.microsoft.com/office/spreadsheetml/2009/9/main" objectType="Spin" dx="26" fmlaLink="$L$17" max="55" min="18" page="10" val="18"/>
</file>

<file path=xl/ctrlProps/ctrlProp276.xml><?xml version="1.0" encoding="utf-8"?>
<formControlPr xmlns="http://schemas.microsoft.com/office/spreadsheetml/2009/9/main" objectType="Spin" dx="26" fmlaLink="$L$17" max="55" min="18" page="10" val="18"/>
</file>

<file path=xl/ctrlProps/ctrlProp277.xml><?xml version="1.0" encoding="utf-8"?>
<formControlPr xmlns="http://schemas.microsoft.com/office/spreadsheetml/2009/9/main" objectType="Spin" dx="26" fmlaLink="$L20" max="55" min="18" page="10" val="18"/>
</file>

<file path=xl/ctrlProps/ctrlProp278.xml><?xml version="1.0" encoding="utf-8"?>
<formControlPr xmlns="http://schemas.microsoft.com/office/spreadsheetml/2009/9/main" objectType="Spin" dx="26" fmlaLink="K20" inc="5" max="30" page="10" val="0"/>
</file>

<file path=xl/ctrlProps/ctrlProp279.xml><?xml version="1.0" encoding="utf-8"?>
<formControlPr xmlns="http://schemas.microsoft.com/office/spreadsheetml/2009/9/main" objectType="Spin" dx="26" fmlaLink="K17" inc="5" max="30" page="10" val="0"/>
</file>

<file path=xl/ctrlProps/ctrlProp280.xml><?xml version="1.0" encoding="utf-8"?>
<formControlPr xmlns="http://schemas.microsoft.com/office/spreadsheetml/2009/9/main" objectType="Spin" dx="26" fmlaLink="K20" inc="5" max="30" page="10" val="0"/>
</file>

<file path=xl/ctrlProps/ctrlProp281.xml><?xml version="1.0" encoding="utf-8"?>
<formControlPr xmlns="http://schemas.microsoft.com/office/spreadsheetml/2009/9/main" objectType="Spin" dx="26" fmlaLink="$L17" max="55" min="18" page="10" val="18"/>
</file>

<file path=xl/ctrlProps/ctrlProp282.xml><?xml version="1.0" encoding="utf-8"?>
<formControlPr xmlns="http://schemas.microsoft.com/office/spreadsheetml/2009/9/main" objectType="Spin" dx="26" fmlaLink="K17" inc="5" max="30" page="10" val="0"/>
</file>

<file path=xl/ctrlProps/ctrlProp283.xml><?xml version="1.0" encoding="utf-8"?>
<formControlPr xmlns="http://schemas.microsoft.com/office/spreadsheetml/2009/9/main" objectType="Spin" dx="26" fmlaLink="K17" inc="5" max="30" page="10" val="0"/>
</file>

<file path=xl/ctrlProps/ctrlProp284.xml><?xml version="1.0" encoding="utf-8"?>
<formControlPr xmlns="http://schemas.microsoft.com/office/spreadsheetml/2009/9/main" objectType="Spin" dx="26" fmlaLink="$L$17" max="55" min="18" page="10" val="18"/>
</file>

<file path=xl/ctrlProps/ctrlProp285.xml><?xml version="1.0" encoding="utf-8"?>
<formControlPr xmlns="http://schemas.microsoft.com/office/spreadsheetml/2009/9/main" objectType="Spin" dx="26" fmlaLink="$L$17" max="55" min="18" page="10" val="18"/>
</file>

<file path=xl/ctrlProps/ctrlProp286.xml><?xml version="1.0" encoding="utf-8"?>
<formControlPr xmlns="http://schemas.microsoft.com/office/spreadsheetml/2009/9/main" objectType="Spin" dx="26" fmlaLink="$L20" max="55" min="18" page="10" val="18"/>
</file>

<file path=xl/ctrlProps/ctrlProp287.xml><?xml version="1.0" encoding="utf-8"?>
<formControlPr xmlns="http://schemas.microsoft.com/office/spreadsheetml/2009/9/main" objectType="Spin" dx="26" fmlaLink="$L17" max="55" min="18" page="10" val="18"/>
</file>

<file path=xl/ctrlProps/ctrlProp288.xml><?xml version="1.0" encoding="utf-8"?>
<formControlPr xmlns="http://schemas.microsoft.com/office/spreadsheetml/2009/9/main" objectType="Spin" dx="26" fmlaLink="$L$17" max="55" min="18" page="10" val="18"/>
</file>

<file path=xl/ctrlProps/ctrlProp289.xml><?xml version="1.0" encoding="utf-8"?>
<formControlPr xmlns="http://schemas.microsoft.com/office/spreadsheetml/2009/9/main" objectType="Spin" dx="26" fmlaLink="$L$17" max="55" min="18" page="10" val="18"/>
</file>

<file path=xl/ctrlProps/ctrlProp290.xml><?xml version="1.0" encoding="utf-8"?>
<formControlPr xmlns="http://schemas.microsoft.com/office/spreadsheetml/2009/9/main" objectType="Spin" dx="26" fmlaLink="$L20" max="55" min="18" page="10" val="18"/>
</file>

<file path=xl/ctrlProps/ctrlProp291.xml><?xml version="1.0" encoding="utf-8"?>
<formControlPr xmlns="http://schemas.microsoft.com/office/spreadsheetml/2009/9/main" objectType="Spin" dx="26" fmlaLink="$L17" max="55" min="18" page="10" val="18"/>
</file>

<file path=xl/ctrlProps/ctrlProp292.xml><?xml version="1.0" encoding="utf-8"?>
<formControlPr xmlns="http://schemas.microsoft.com/office/spreadsheetml/2009/9/main" objectType="Spin" dx="26" fmlaLink="$L$17" max="55" min="18" page="10" val="18"/>
</file>

<file path=xl/ctrlProps/ctrlProp293.xml><?xml version="1.0" encoding="utf-8"?>
<formControlPr xmlns="http://schemas.microsoft.com/office/spreadsheetml/2009/9/main" objectType="Spin" dx="26" fmlaLink="$L$17" max="55" min="18" page="10" val="18"/>
</file>

<file path=xl/ctrlProps/ctrlProp294.xml><?xml version="1.0" encoding="utf-8"?>
<formControlPr xmlns="http://schemas.microsoft.com/office/spreadsheetml/2009/9/main" objectType="Spin" dx="26" fmlaLink="$L20" max="55" min="18" page="10" val="18"/>
</file>

<file path=xl/ctrlProps/ctrlProp295.xml><?xml version="1.0" encoding="utf-8"?>
<formControlPr xmlns="http://schemas.microsoft.com/office/spreadsheetml/2009/9/main" objectType="Spin" dx="26" fmlaLink="K20" inc="5" max="30" page="10" val="0"/>
</file>

<file path=xl/ctrlProps/ctrlProp296.xml><?xml version="1.0" encoding="utf-8"?>
<formControlPr xmlns="http://schemas.microsoft.com/office/spreadsheetml/2009/9/main" objectType="Spin" dx="26" fmlaLink="K17" inc="5" max="30" page="10" val="0"/>
</file>

<file path=xl/ctrlProps/ctrlProp297.xml><?xml version="1.0" encoding="utf-8"?>
<formControlPr xmlns="http://schemas.microsoft.com/office/spreadsheetml/2009/9/main" objectType="Spin" dx="26" fmlaLink="K20" inc="5" max="30" page="10" val="0"/>
</file>

<file path=xl/ctrlProps/ctrlProp298.xml><?xml version="1.0" encoding="utf-8"?>
<formControlPr xmlns="http://schemas.microsoft.com/office/spreadsheetml/2009/9/main" objectType="Spin" dx="26" fmlaLink="$L17" max="55" min="18" page="10" val="18"/>
</file>

<file path=xl/ctrlProps/ctrlProp299.xml><?xml version="1.0" encoding="utf-8"?>
<formControlPr xmlns="http://schemas.microsoft.com/office/spreadsheetml/2009/9/main" objectType="Spin" dx="26" fmlaLink="K17" inc="5" max="30" page="10" val="0"/>
</file>

<file path=xl/ctrlProps/ctrlProp300.xml><?xml version="1.0" encoding="utf-8"?>
<formControlPr xmlns="http://schemas.microsoft.com/office/spreadsheetml/2009/9/main" objectType="Spin" dx="26" fmlaLink="K17" inc="5" max="30" page="10" val="0"/>
</file>

<file path=xl/ctrlProps/ctrlProp301.xml><?xml version="1.0" encoding="utf-8"?>
<formControlPr xmlns="http://schemas.microsoft.com/office/spreadsheetml/2009/9/main" objectType="Spin" dx="26" fmlaLink="$L$17" max="55" min="18" page="10" val="18"/>
</file>

<file path=xl/ctrlProps/ctrlProp302.xml><?xml version="1.0" encoding="utf-8"?>
<formControlPr xmlns="http://schemas.microsoft.com/office/spreadsheetml/2009/9/main" objectType="Spin" dx="26" fmlaLink="$L$17" max="55" min="18" page="10" val="18"/>
</file>

<file path=xl/ctrlProps/ctrlProp303.xml><?xml version="1.0" encoding="utf-8"?>
<formControlPr xmlns="http://schemas.microsoft.com/office/spreadsheetml/2009/9/main" objectType="Spin" dx="26" fmlaLink="$L20" max="55" min="18" page="10" val="18"/>
</file>

<file path=xl/ctrlProps/ctrlProp304.xml><?xml version="1.0" encoding="utf-8"?>
<formControlPr xmlns="http://schemas.microsoft.com/office/spreadsheetml/2009/9/main" objectType="Spin" dx="26" fmlaLink="$L17" max="55" min="18" page="10" val="18"/>
</file>

<file path=xl/ctrlProps/ctrlProp305.xml><?xml version="1.0" encoding="utf-8"?>
<formControlPr xmlns="http://schemas.microsoft.com/office/spreadsheetml/2009/9/main" objectType="Spin" dx="26" fmlaLink="$L$17" max="55" min="18" page="10" val="18"/>
</file>

<file path=xl/ctrlProps/ctrlProp306.xml><?xml version="1.0" encoding="utf-8"?>
<formControlPr xmlns="http://schemas.microsoft.com/office/spreadsheetml/2009/9/main" objectType="Spin" dx="26" fmlaLink="$L$17" max="55" min="18" page="10" val="18"/>
</file>

<file path=xl/ctrlProps/ctrlProp307.xml><?xml version="1.0" encoding="utf-8"?>
<formControlPr xmlns="http://schemas.microsoft.com/office/spreadsheetml/2009/9/main" objectType="Spin" dx="26" fmlaLink="$L20" max="55" min="18" page="10" val="18"/>
</file>

<file path=xl/ctrlProps/ctrlProp308.xml><?xml version="1.0" encoding="utf-8"?>
<formControlPr xmlns="http://schemas.microsoft.com/office/spreadsheetml/2009/9/main" objectType="Spin" dx="26" fmlaLink="$L17" max="55" min="18" page="10" val="18"/>
</file>

<file path=xl/ctrlProps/ctrlProp309.xml><?xml version="1.0" encoding="utf-8"?>
<formControlPr xmlns="http://schemas.microsoft.com/office/spreadsheetml/2009/9/main" objectType="Spin" dx="26" fmlaLink="$L$17" max="55" min="18" page="10" val="18"/>
</file>

<file path=xl/ctrlProps/ctrlProp310.xml><?xml version="1.0" encoding="utf-8"?>
<formControlPr xmlns="http://schemas.microsoft.com/office/spreadsheetml/2009/9/main" objectType="Spin" dx="26" fmlaLink="$L$17" max="55" min="18" page="10" val="18"/>
</file>

<file path=xl/ctrlProps/ctrlProp311.xml><?xml version="1.0" encoding="utf-8"?>
<formControlPr xmlns="http://schemas.microsoft.com/office/spreadsheetml/2009/9/main" objectType="Spin" dx="26" fmlaLink="$L20" max="55" min="18" page="10" val="18"/>
</file>

<file path=xl/ctrlProps/ctrlProp312.xml><?xml version="1.0" encoding="utf-8"?>
<formControlPr xmlns="http://schemas.microsoft.com/office/spreadsheetml/2009/9/main" objectType="Spin" dx="26" fmlaLink="K20" inc="5" max="30" page="10" val="0"/>
</file>

<file path=xl/ctrlProps/ctrlProp313.xml><?xml version="1.0" encoding="utf-8"?>
<formControlPr xmlns="http://schemas.microsoft.com/office/spreadsheetml/2009/9/main" objectType="Spin" dx="26" fmlaLink="K17" inc="5" max="30" page="10" val="0"/>
</file>

<file path=xl/ctrlProps/ctrlProp314.xml><?xml version="1.0" encoding="utf-8"?>
<formControlPr xmlns="http://schemas.microsoft.com/office/spreadsheetml/2009/9/main" objectType="Spin" dx="26" fmlaLink="K20" inc="5" max="30" page="10" val="0"/>
</file>

<file path=xl/ctrlProps/ctrlProp315.xml><?xml version="1.0" encoding="utf-8"?>
<formControlPr xmlns="http://schemas.microsoft.com/office/spreadsheetml/2009/9/main" objectType="Spin" dx="26" fmlaLink="$L17" max="55" min="18" page="10" val="18"/>
</file>

<file path=xl/ctrlProps/ctrlProp316.xml><?xml version="1.0" encoding="utf-8"?>
<formControlPr xmlns="http://schemas.microsoft.com/office/spreadsheetml/2009/9/main" objectType="Spin" dx="26" fmlaLink="K17" inc="5" max="30" page="10" val="0"/>
</file>

<file path=xl/ctrlProps/ctrlProp317.xml><?xml version="1.0" encoding="utf-8"?>
<formControlPr xmlns="http://schemas.microsoft.com/office/spreadsheetml/2009/9/main" objectType="Spin" dx="26" fmlaLink="K17" inc="5" max="30" page="10" val="0"/>
</file>

<file path=xl/ctrlProps/ctrlProp318.xml><?xml version="1.0" encoding="utf-8"?>
<formControlPr xmlns="http://schemas.microsoft.com/office/spreadsheetml/2009/9/main" objectType="Spin" dx="26" fmlaLink="$L$17" max="55" min="18" page="10" val="18"/>
</file>

<file path=xl/ctrlProps/ctrlProp319.xml><?xml version="1.0" encoding="utf-8"?>
<formControlPr xmlns="http://schemas.microsoft.com/office/spreadsheetml/2009/9/main" objectType="Spin" dx="26" fmlaLink="$L$17" max="55" min="18" page="10" val="18"/>
</file>

<file path=xl/ctrlProps/ctrlProp320.xml><?xml version="1.0" encoding="utf-8"?>
<formControlPr xmlns="http://schemas.microsoft.com/office/spreadsheetml/2009/9/main" objectType="Spin" dx="26" fmlaLink="$L20" max="55" min="18" page="10" val="18"/>
</file>

<file path=xl/ctrlProps/ctrlProp321.xml><?xml version="1.0" encoding="utf-8"?>
<formControlPr xmlns="http://schemas.microsoft.com/office/spreadsheetml/2009/9/main" objectType="Spin" dx="26" fmlaLink="$L17" max="55" min="18" page="10" val="18"/>
</file>

<file path=xl/ctrlProps/ctrlProp322.xml><?xml version="1.0" encoding="utf-8"?>
<formControlPr xmlns="http://schemas.microsoft.com/office/spreadsheetml/2009/9/main" objectType="Spin" dx="26" fmlaLink="$L$17" max="55" min="18" page="10" val="18"/>
</file>

<file path=xl/ctrlProps/ctrlProp323.xml><?xml version="1.0" encoding="utf-8"?>
<formControlPr xmlns="http://schemas.microsoft.com/office/spreadsheetml/2009/9/main" objectType="Spin" dx="26" fmlaLink="$L$17" max="55" min="18" page="10" val="18"/>
</file>

<file path=xl/ctrlProps/ctrlProp324.xml><?xml version="1.0" encoding="utf-8"?>
<formControlPr xmlns="http://schemas.microsoft.com/office/spreadsheetml/2009/9/main" objectType="Spin" dx="26" fmlaLink="$L20" max="55" min="18" page="10" val="18"/>
</file>

<file path=xl/ctrlProps/ctrlProp325.xml><?xml version="1.0" encoding="utf-8"?>
<formControlPr xmlns="http://schemas.microsoft.com/office/spreadsheetml/2009/9/main" objectType="Spin" dx="26" fmlaLink="$L17" max="55" min="18" page="10" val="18"/>
</file>

<file path=xl/ctrlProps/ctrlProp326.xml><?xml version="1.0" encoding="utf-8"?>
<formControlPr xmlns="http://schemas.microsoft.com/office/spreadsheetml/2009/9/main" objectType="Spin" dx="26" fmlaLink="$L$17" max="55" min="18" page="10" val="18"/>
</file>

<file path=xl/ctrlProps/ctrlProp327.xml><?xml version="1.0" encoding="utf-8"?>
<formControlPr xmlns="http://schemas.microsoft.com/office/spreadsheetml/2009/9/main" objectType="Spin" dx="26" fmlaLink="$L$17" max="55" min="18" page="10" val="18"/>
</file>

<file path=xl/ctrlProps/ctrlProp328.xml><?xml version="1.0" encoding="utf-8"?>
<formControlPr xmlns="http://schemas.microsoft.com/office/spreadsheetml/2009/9/main" objectType="Spin" dx="26" fmlaLink="$L20" max="55" min="18" page="10" val="18"/>
</file>

<file path=xl/ctrlProps/ctrlProp329.xml><?xml version="1.0" encoding="utf-8"?>
<formControlPr xmlns="http://schemas.microsoft.com/office/spreadsheetml/2009/9/main" objectType="Spin" dx="26" fmlaLink="K20" inc="5" max="30" page="10" val="0"/>
</file>

<file path=xl/ctrlProps/ctrlProp330.xml><?xml version="1.0" encoding="utf-8"?>
<formControlPr xmlns="http://schemas.microsoft.com/office/spreadsheetml/2009/9/main" objectType="Spin" dx="26" fmlaLink="K17" inc="5" max="30" page="10" val="0"/>
</file>

<file path=xl/ctrlProps/ctrlProp331.xml><?xml version="1.0" encoding="utf-8"?>
<formControlPr xmlns="http://schemas.microsoft.com/office/spreadsheetml/2009/9/main" objectType="Spin" dx="26" fmlaLink="K20" inc="5" max="30" page="10" val="0"/>
</file>

<file path=xl/ctrlProps/ctrlProp332.xml><?xml version="1.0" encoding="utf-8"?>
<formControlPr xmlns="http://schemas.microsoft.com/office/spreadsheetml/2009/9/main" objectType="Spin" dx="26" fmlaLink="$L17" max="55" min="18" page="10" val="18"/>
</file>

<file path=xl/ctrlProps/ctrlProp333.xml><?xml version="1.0" encoding="utf-8"?>
<formControlPr xmlns="http://schemas.microsoft.com/office/spreadsheetml/2009/9/main" objectType="Spin" dx="26" fmlaLink="K17" inc="5" max="30" page="10" val="0"/>
</file>

<file path=xl/ctrlProps/ctrlProp334.xml><?xml version="1.0" encoding="utf-8"?>
<formControlPr xmlns="http://schemas.microsoft.com/office/spreadsheetml/2009/9/main" objectType="Spin" dx="26" fmlaLink="K17" inc="5" max="30" page="10" val="0"/>
</file>

<file path=xl/ctrlProps/ctrlProp335.xml><?xml version="1.0" encoding="utf-8"?>
<formControlPr xmlns="http://schemas.microsoft.com/office/spreadsheetml/2009/9/main" objectType="Spin" dx="26" fmlaLink="$L$17" max="55" min="18" page="10" val="18"/>
</file>

<file path=xl/ctrlProps/ctrlProp336.xml><?xml version="1.0" encoding="utf-8"?>
<formControlPr xmlns="http://schemas.microsoft.com/office/spreadsheetml/2009/9/main" objectType="Spin" dx="26" fmlaLink="$L$17" max="55" min="18" page="10" val="18"/>
</file>

<file path=xl/ctrlProps/ctrlProp337.xml><?xml version="1.0" encoding="utf-8"?>
<formControlPr xmlns="http://schemas.microsoft.com/office/spreadsheetml/2009/9/main" objectType="Spin" dx="26" fmlaLink="$L20" max="55" min="18" page="10" val="18"/>
</file>

<file path=xl/ctrlProps/ctrlProp338.xml><?xml version="1.0" encoding="utf-8"?>
<formControlPr xmlns="http://schemas.microsoft.com/office/spreadsheetml/2009/9/main" objectType="Spin" dx="26" fmlaLink="$L17" max="55" min="18" page="10" val="18"/>
</file>

<file path=xl/ctrlProps/ctrlProp339.xml><?xml version="1.0" encoding="utf-8"?>
<formControlPr xmlns="http://schemas.microsoft.com/office/spreadsheetml/2009/9/main" objectType="Spin" dx="26" fmlaLink="$L$17" max="55" min="18" page="10" val="18"/>
</file>

<file path=xl/ctrlProps/ctrlProp340.xml><?xml version="1.0" encoding="utf-8"?>
<formControlPr xmlns="http://schemas.microsoft.com/office/spreadsheetml/2009/9/main" objectType="Spin" dx="26" fmlaLink="$L$17" max="55" min="18" page="10" val="18"/>
</file>

<file path=xl/ctrlProps/ctrlProp341.xml><?xml version="1.0" encoding="utf-8"?>
<formControlPr xmlns="http://schemas.microsoft.com/office/spreadsheetml/2009/9/main" objectType="Spin" dx="26" fmlaLink="$L20" max="55" min="18" page="10" val="18"/>
</file>

<file path=xl/ctrlProps/ctrlProp342.xml><?xml version="1.0" encoding="utf-8"?>
<formControlPr xmlns="http://schemas.microsoft.com/office/spreadsheetml/2009/9/main" objectType="Spin" dx="26" fmlaLink="$L17" max="55" min="18" page="10" val="18"/>
</file>

<file path=xl/ctrlProps/ctrlProp343.xml><?xml version="1.0" encoding="utf-8"?>
<formControlPr xmlns="http://schemas.microsoft.com/office/spreadsheetml/2009/9/main" objectType="Spin" dx="26" fmlaLink="$L$17" max="55" min="18" page="10" val="18"/>
</file>

<file path=xl/ctrlProps/ctrlProp344.xml><?xml version="1.0" encoding="utf-8"?>
<formControlPr xmlns="http://schemas.microsoft.com/office/spreadsheetml/2009/9/main" objectType="Spin" dx="26" fmlaLink="$L$17" max="55" min="18" page="10" val="18"/>
</file>

<file path=xl/ctrlProps/ctrlProp345.xml><?xml version="1.0" encoding="utf-8"?>
<formControlPr xmlns="http://schemas.microsoft.com/office/spreadsheetml/2009/9/main" objectType="Spin" dx="26" fmlaLink="$L20" max="55" min="18" page="10" val="18"/>
</file>

<file path=xl/ctrlProps/ctrlProp346.xml><?xml version="1.0" encoding="utf-8"?>
<formControlPr xmlns="http://schemas.microsoft.com/office/spreadsheetml/2009/9/main" objectType="Spin" dx="26" fmlaLink="K20" inc="5" max="30" page="10" val="0"/>
</file>

<file path=xl/ctrlProps/ctrlProp347.xml><?xml version="1.0" encoding="utf-8"?>
<formControlPr xmlns="http://schemas.microsoft.com/office/spreadsheetml/2009/9/main" objectType="Spin" dx="26" fmlaLink="K17" inc="5" max="30" page="10" val="0"/>
</file>

<file path=xl/ctrlProps/ctrlProp348.xml><?xml version="1.0" encoding="utf-8"?>
<formControlPr xmlns="http://schemas.microsoft.com/office/spreadsheetml/2009/9/main" objectType="Spin" dx="26" fmlaLink="K20" inc="5" max="30" page="10" val="0"/>
</file>

<file path=xl/ctrlProps/ctrlProp349.xml><?xml version="1.0" encoding="utf-8"?>
<formControlPr xmlns="http://schemas.microsoft.com/office/spreadsheetml/2009/9/main" objectType="Spin" dx="26" fmlaLink="$L17" max="55" min="18" page="10" val="18"/>
</file>

<file path=xl/ctrlProps/ctrlProp350.xml><?xml version="1.0" encoding="utf-8"?>
<formControlPr xmlns="http://schemas.microsoft.com/office/spreadsheetml/2009/9/main" objectType="Spin" dx="26" fmlaLink="K17" inc="5" max="30" page="10" val="0"/>
</file>

<file path=xl/ctrlProps/ctrlProp351.xml><?xml version="1.0" encoding="utf-8"?>
<formControlPr xmlns="http://schemas.microsoft.com/office/spreadsheetml/2009/9/main" objectType="Spin" dx="26" fmlaLink="K17" inc="5" max="30" page="10" val="0"/>
</file>

<file path=xl/ctrlProps/ctrlProp352.xml><?xml version="1.0" encoding="utf-8"?>
<formControlPr xmlns="http://schemas.microsoft.com/office/spreadsheetml/2009/9/main" objectType="Spin" dx="26" fmlaLink="$L$17" max="55" min="18" page="10" val="18"/>
</file>

<file path=xl/ctrlProps/ctrlProp353.xml><?xml version="1.0" encoding="utf-8"?>
<formControlPr xmlns="http://schemas.microsoft.com/office/spreadsheetml/2009/9/main" objectType="Spin" dx="26" fmlaLink="$L$17" max="55" min="18" page="10" val="18"/>
</file>

<file path=xl/ctrlProps/ctrlProp354.xml><?xml version="1.0" encoding="utf-8"?>
<formControlPr xmlns="http://schemas.microsoft.com/office/spreadsheetml/2009/9/main" objectType="Spin" dx="26" fmlaLink="$L20" max="55" min="18" page="10" val="18"/>
</file>

<file path=xl/ctrlProps/ctrlProp355.xml><?xml version="1.0" encoding="utf-8"?>
<formControlPr xmlns="http://schemas.microsoft.com/office/spreadsheetml/2009/9/main" objectType="Spin" dx="26" fmlaLink="$L17" max="55" min="18" page="10" val="18"/>
</file>

<file path=xl/ctrlProps/ctrlProp356.xml><?xml version="1.0" encoding="utf-8"?>
<formControlPr xmlns="http://schemas.microsoft.com/office/spreadsheetml/2009/9/main" objectType="Spin" dx="26" fmlaLink="$L$17" max="55" min="18" page="10" val="18"/>
</file>

<file path=xl/ctrlProps/ctrlProp357.xml><?xml version="1.0" encoding="utf-8"?>
<formControlPr xmlns="http://schemas.microsoft.com/office/spreadsheetml/2009/9/main" objectType="Spin" dx="26" fmlaLink="$L$17" max="55" min="18" page="10" val="18"/>
</file>

<file path=xl/ctrlProps/ctrlProp358.xml><?xml version="1.0" encoding="utf-8"?>
<formControlPr xmlns="http://schemas.microsoft.com/office/spreadsheetml/2009/9/main" objectType="Spin" dx="26" fmlaLink="$L20" max="55" min="18" page="10" val="18"/>
</file>

<file path=xl/ctrlProps/ctrlProp359.xml><?xml version="1.0" encoding="utf-8"?>
<formControlPr xmlns="http://schemas.microsoft.com/office/spreadsheetml/2009/9/main" objectType="Spin" dx="26" fmlaLink="$L17" max="55" min="18" page="10" val="18"/>
</file>

<file path=xl/ctrlProps/ctrlProp360.xml><?xml version="1.0" encoding="utf-8"?>
<formControlPr xmlns="http://schemas.microsoft.com/office/spreadsheetml/2009/9/main" objectType="Spin" dx="26" fmlaLink="$L$17" max="55" min="18" page="10" val="18"/>
</file>

<file path=xl/ctrlProps/ctrlProp361.xml><?xml version="1.0" encoding="utf-8"?>
<formControlPr xmlns="http://schemas.microsoft.com/office/spreadsheetml/2009/9/main" objectType="Spin" dx="26" fmlaLink="$L$17" max="55" min="18" page="10" val="18"/>
</file>

<file path=xl/ctrlProps/ctrlProp362.xml><?xml version="1.0" encoding="utf-8"?>
<formControlPr xmlns="http://schemas.microsoft.com/office/spreadsheetml/2009/9/main" objectType="Spin" dx="26" fmlaLink="$L20" max="55" min="18" page="10" val="18"/>
</file>

<file path=xl/ctrlProps/ctrlProp363.xml><?xml version="1.0" encoding="utf-8"?>
<formControlPr xmlns="http://schemas.microsoft.com/office/spreadsheetml/2009/9/main" objectType="Spin" dx="26" fmlaLink="K20" inc="5" max="30" page="10" val="0"/>
</file>

<file path=xl/ctrlProps/ctrlProp364.xml><?xml version="1.0" encoding="utf-8"?>
<formControlPr xmlns="http://schemas.microsoft.com/office/spreadsheetml/2009/9/main" objectType="Spin" dx="26" fmlaLink="K17" inc="5" max="30" page="10" val="0"/>
</file>

<file path=xl/ctrlProps/ctrlProp365.xml><?xml version="1.0" encoding="utf-8"?>
<formControlPr xmlns="http://schemas.microsoft.com/office/spreadsheetml/2009/9/main" objectType="Spin" dx="26" fmlaLink="K20" inc="5" max="30" page="10" val="0"/>
</file>

<file path=xl/ctrlProps/ctrlProp366.xml><?xml version="1.0" encoding="utf-8"?>
<formControlPr xmlns="http://schemas.microsoft.com/office/spreadsheetml/2009/9/main" objectType="Spin" dx="26" fmlaLink="$L17" max="55" min="18" page="10" val="18"/>
</file>

<file path=xl/ctrlProps/ctrlProp367.xml><?xml version="1.0" encoding="utf-8"?>
<formControlPr xmlns="http://schemas.microsoft.com/office/spreadsheetml/2009/9/main" objectType="Spin" dx="26" fmlaLink="K17" inc="5" max="30" page="10" val="0"/>
</file>

<file path=xl/ctrlProps/ctrlProp368.xml><?xml version="1.0" encoding="utf-8"?>
<formControlPr xmlns="http://schemas.microsoft.com/office/spreadsheetml/2009/9/main" objectType="Spin" dx="26" fmlaLink="K17" inc="5" max="30" page="10" val="0"/>
</file>

<file path=xl/ctrlProps/ctrlProp369.xml><?xml version="1.0" encoding="utf-8"?>
<formControlPr xmlns="http://schemas.microsoft.com/office/spreadsheetml/2009/9/main" objectType="Spin" dx="26" fmlaLink="$L$17" max="55" min="18" page="10" val="18"/>
</file>

<file path=xl/ctrlProps/ctrlProp370.xml><?xml version="1.0" encoding="utf-8"?>
<formControlPr xmlns="http://schemas.microsoft.com/office/spreadsheetml/2009/9/main" objectType="Spin" dx="26" fmlaLink="$L$17" max="55" min="18" page="10" val="18"/>
</file>

<file path=xl/ctrlProps/ctrlProp371.xml><?xml version="1.0" encoding="utf-8"?>
<formControlPr xmlns="http://schemas.microsoft.com/office/spreadsheetml/2009/9/main" objectType="Spin" dx="26" fmlaLink="$L20" max="55" min="18" page="10" val="18"/>
</file>

<file path=xl/ctrlProps/ctrlProp372.xml><?xml version="1.0" encoding="utf-8"?>
<formControlPr xmlns="http://schemas.microsoft.com/office/spreadsheetml/2009/9/main" objectType="Spin" dx="26" fmlaLink="$L17" max="55" min="18" page="10" val="18"/>
</file>

<file path=xl/ctrlProps/ctrlProp373.xml><?xml version="1.0" encoding="utf-8"?>
<formControlPr xmlns="http://schemas.microsoft.com/office/spreadsheetml/2009/9/main" objectType="Spin" dx="26" fmlaLink="$L$17" max="55" min="18" page="10" val="18"/>
</file>

<file path=xl/ctrlProps/ctrlProp374.xml><?xml version="1.0" encoding="utf-8"?>
<formControlPr xmlns="http://schemas.microsoft.com/office/spreadsheetml/2009/9/main" objectType="Spin" dx="26" fmlaLink="$L$17" max="55" min="18" page="10" val="18"/>
</file>

<file path=xl/ctrlProps/ctrlProp375.xml><?xml version="1.0" encoding="utf-8"?>
<formControlPr xmlns="http://schemas.microsoft.com/office/spreadsheetml/2009/9/main" objectType="Spin" dx="26" fmlaLink="$L20" max="55" min="18" page="10" val="18"/>
</file>

<file path=xl/ctrlProps/ctrlProp376.xml><?xml version="1.0" encoding="utf-8"?>
<formControlPr xmlns="http://schemas.microsoft.com/office/spreadsheetml/2009/9/main" objectType="Spin" dx="26" fmlaLink="$L17" max="55" min="18" page="10" val="18"/>
</file>

<file path=xl/ctrlProps/ctrlProp377.xml><?xml version="1.0" encoding="utf-8"?>
<formControlPr xmlns="http://schemas.microsoft.com/office/spreadsheetml/2009/9/main" objectType="Spin" dx="26" fmlaLink="$L$17" max="55" min="18" page="10" val="18"/>
</file>

<file path=xl/ctrlProps/ctrlProp378.xml><?xml version="1.0" encoding="utf-8"?>
<formControlPr xmlns="http://schemas.microsoft.com/office/spreadsheetml/2009/9/main" objectType="Spin" dx="26" fmlaLink="$L$17" max="55" min="18" page="10" val="18"/>
</file>

<file path=xl/ctrlProps/ctrlProp379.xml><?xml version="1.0" encoding="utf-8"?>
<formControlPr xmlns="http://schemas.microsoft.com/office/spreadsheetml/2009/9/main" objectType="Spin" dx="26" fmlaLink="$L20" max="55" min="18" page="10" val="18"/>
</file>

<file path=xl/ctrlProps/ctrlProp380.xml><?xml version="1.0" encoding="utf-8"?>
<formControlPr xmlns="http://schemas.microsoft.com/office/spreadsheetml/2009/9/main" objectType="Spin" dx="26" fmlaLink="$L17" max="55" min="18" page="10" val="18"/>
</file>

<file path=xl/ctrlProps/ctrlProp381.xml><?xml version="1.0" encoding="utf-8"?>
<formControlPr xmlns="http://schemas.microsoft.com/office/spreadsheetml/2009/9/main" objectType="Spin" dx="26" fmlaLink="$L$17" max="55" min="18" page="10" val="18"/>
</file>

<file path=xl/ctrlProps/ctrlProp382.xml><?xml version="1.0" encoding="utf-8"?>
<formControlPr xmlns="http://schemas.microsoft.com/office/spreadsheetml/2009/9/main" objectType="Spin" dx="26" fmlaLink="$L$17" max="55" min="18" page="10" val="18"/>
</file>

<file path=xl/ctrlProps/ctrlProp383.xml><?xml version="1.0" encoding="utf-8"?>
<formControlPr xmlns="http://schemas.microsoft.com/office/spreadsheetml/2009/9/main" objectType="Spin" dx="26" fmlaLink="$L20" max="55" min="18" page="10" val="18"/>
</file>

<file path=xl/ctrlProps/ctrlProp384.xml><?xml version="1.0" encoding="utf-8"?>
<formControlPr xmlns="http://schemas.microsoft.com/office/spreadsheetml/2009/9/main" objectType="Spin" dx="26" fmlaLink="$L17" max="55" min="18" page="10" val="18"/>
</file>

<file path=xl/ctrlProps/ctrlProp385.xml><?xml version="1.0" encoding="utf-8"?>
<formControlPr xmlns="http://schemas.microsoft.com/office/spreadsheetml/2009/9/main" objectType="Spin" dx="26" fmlaLink="$L$17" max="55" min="18" page="10" val="18"/>
</file>

<file path=xl/ctrlProps/ctrlProp386.xml><?xml version="1.0" encoding="utf-8"?>
<formControlPr xmlns="http://schemas.microsoft.com/office/spreadsheetml/2009/9/main" objectType="Spin" dx="26" fmlaLink="$L$17" max="55" min="18" page="10" val="18"/>
</file>

<file path=xl/ctrlProps/ctrlProp387.xml><?xml version="1.0" encoding="utf-8"?>
<formControlPr xmlns="http://schemas.microsoft.com/office/spreadsheetml/2009/9/main" objectType="Spin" dx="26" fmlaLink="$L20" max="55" min="18" page="10" val="18"/>
</file>

<file path=xl/ctrlProps/ctrlProp388.xml><?xml version="1.0" encoding="utf-8"?>
<formControlPr xmlns="http://schemas.microsoft.com/office/spreadsheetml/2009/9/main" objectType="Spin" dx="26" fmlaLink="$L17" max="55" min="18" page="10" val="18"/>
</file>

<file path=xl/ctrlProps/ctrlProp389.xml><?xml version="1.0" encoding="utf-8"?>
<formControlPr xmlns="http://schemas.microsoft.com/office/spreadsheetml/2009/9/main" objectType="Spin" dx="26" fmlaLink="$L$17" max="55" min="18" page="10" val="18"/>
</file>

<file path=xl/ctrlProps/ctrlProp390.xml><?xml version="1.0" encoding="utf-8"?>
<formControlPr xmlns="http://schemas.microsoft.com/office/spreadsheetml/2009/9/main" objectType="Spin" dx="26" fmlaLink="$L$17" max="55" min="18" page="10" val="18"/>
</file>

<file path=xl/ctrlProps/ctrlProp391.xml><?xml version="1.0" encoding="utf-8"?>
<formControlPr xmlns="http://schemas.microsoft.com/office/spreadsheetml/2009/9/main" objectType="Spin" dx="26" fmlaLink="$L20" max="55" min="18" page="10" val="18"/>
</file>

<file path=xl/ctrlProps/ctrlProp392.xml><?xml version="1.0" encoding="utf-8"?>
<formControlPr xmlns="http://schemas.microsoft.com/office/spreadsheetml/2009/9/main" objectType="Spin" dx="26" fmlaLink="K20" inc="5" max="30" page="10" val="0"/>
</file>

<file path=xl/ctrlProps/ctrlProp393.xml><?xml version="1.0" encoding="utf-8"?>
<formControlPr xmlns="http://schemas.microsoft.com/office/spreadsheetml/2009/9/main" objectType="Spin" dx="26" fmlaLink="K17" inc="5" max="30" page="10" val="0"/>
</file>

<file path=xl/ctrlProps/ctrlProp394.xml><?xml version="1.0" encoding="utf-8"?>
<formControlPr xmlns="http://schemas.microsoft.com/office/spreadsheetml/2009/9/main" objectType="Spin" dx="26" fmlaLink="K20" inc="5" max="30" page="10" val="0"/>
</file>

<file path=xl/ctrlProps/ctrlProp395.xml><?xml version="1.0" encoding="utf-8"?>
<formControlPr xmlns="http://schemas.microsoft.com/office/spreadsheetml/2009/9/main" objectType="Spin" dx="26" fmlaLink="$L17" max="55" min="18" page="10" val="18"/>
</file>

<file path=xl/ctrlProps/ctrlProp396.xml><?xml version="1.0" encoding="utf-8"?>
<formControlPr xmlns="http://schemas.microsoft.com/office/spreadsheetml/2009/9/main" objectType="Spin" dx="26" fmlaLink="K17" inc="5" max="30" page="10" val="0"/>
</file>

<file path=xl/ctrlProps/ctrlProp397.xml><?xml version="1.0" encoding="utf-8"?>
<formControlPr xmlns="http://schemas.microsoft.com/office/spreadsheetml/2009/9/main" objectType="Spin" dx="26" fmlaLink="K17" inc="5" max="30" page="10" val="0"/>
</file>

<file path=xl/ctrlProps/ctrlProp398.xml><?xml version="1.0" encoding="utf-8"?>
<formControlPr xmlns="http://schemas.microsoft.com/office/spreadsheetml/2009/9/main" objectType="Spin" dx="26" fmlaLink="$L$17" max="55" min="18" page="10" val="18"/>
</file>

<file path=xl/ctrlProps/ctrlProp399.xml><?xml version="1.0" encoding="utf-8"?>
<formControlPr xmlns="http://schemas.microsoft.com/office/spreadsheetml/2009/9/main" objectType="Spin" dx="26" fmlaLink="$L$17" max="55" min="18" page="10" val="18"/>
</file>

<file path=xl/ctrlProps/ctrlProp400.xml><?xml version="1.0" encoding="utf-8"?>
<formControlPr xmlns="http://schemas.microsoft.com/office/spreadsheetml/2009/9/main" objectType="Spin" dx="26" fmlaLink="$L20" max="55" min="18" page="10" val="18"/>
</file>

<file path=xl/ctrlProps/ctrlProp401.xml><?xml version="1.0" encoding="utf-8"?>
<formControlPr xmlns="http://schemas.microsoft.com/office/spreadsheetml/2009/9/main" objectType="Spin" dx="26" fmlaLink="$L17" max="55" min="18" page="10" val="18"/>
</file>

<file path=xl/ctrlProps/ctrlProp402.xml><?xml version="1.0" encoding="utf-8"?>
<formControlPr xmlns="http://schemas.microsoft.com/office/spreadsheetml/2009/9/main" objectType="Spin" dx="26" fmlaLink="$L$17" max="55" min="18" page="10" val="18"/>
</file>

<file path=xl/ctrlProps/ctrlProp403.xml><?xml version="1.0" encoding="utf-8"?>
<formControlPr xmlns="http://schemas.microsoft.com/office/spreadsheetml/2009/9/main" objectType="Spin" dx="26" fmlaLink="$L$17" max="55" min="18" page="10" val="18"/>
</file>

<file path=xl/ctrlProps/ctrlProp404.xml><?xml version="1.0" encoding="utf-8"?>
<formControlPr xmlns="http://schemas.microsoft.com/office/spreadsheetml/2009/9/main" objectType="Spin" dx="26" fmlaLink="$L20" max="55" min="18" page="10" val="18"/>
</file>

<file path=xl/ctrlProps/ctrlProp405.xml><?xml version="1.0" encoding="utf-8"?>
<formControlPr xmlns="http://schemas.microsoft.com/office/spreadsheetml/2009/9/main" objectType="Spin" dx="26" fmlaLink="$L17" max="55" min="18" page="10" val="18"/>
</file>

<file path=xl/ctrlProps/ctrlProp406.xml><?xml version="1.0" encoding="utf-8"?>
<formControlPr xmlns="http://schemas.microsoft.com/office/spreadsheetml/2009/9/main" objectType="Spin" dx="26" fmlaLink="$L$17" max="55" min="18" page="10" val="18"/>
</file>

<file path=xl/ctrlProps/ctrlProp407.xml><?xml version="1.0" encoding="utf-8"?>
<formControlPr xmlns="http://schemas.microsoft.com/office/spreadsheetml/2009/9/main" objectType="Spin" dx="26" fmlaLink="$L$17" max="55" min="18" page="10" val="18"/>
</file>

<file path=xl/ctrlProps/ctrlProp408.xml><?xml version="1.0" encoding="utf-8"?>
<formControlPr xmlns="http://schemas.microsoft.com/office/spreadsheetml/2009/9/main" objectType="Spin" dx="26" fmlaLink="$L20" max="55" min="18" page="10" val="18"/>
</file>

<file path=xl/ctrlProps/ctrlProp409.xml><?xml version="1.0" encoding="utf-8"?>
<formControlPr xmlns="http://schemas.microsoft.com/office/spreadsheetml/2009/9/main" objectType="Spin" dx="26" fmlaLink="$L17" max="55" min="18" page="10" val="18"/>
</file>

<file path=xl/ctrlProps/ctrlProp410.xml><?xml version="1.0" encoding="utf-8"?>
<formControlPr xmlns="http://schemas.microsoft.com/office/spreadsheetml/2009/9/main" objectType="Spin" dx="26" fmlaLink="$L$17" max="55" min="18" page="10" val="18"/>
</file>

<file path=xl/ctrlProps/ctrlProp411.xml><?xml version="1.0" encoding="utf-8"?>
<formControlPr xmlns="http://schemas.microsoft.com/office/spreadsheetml/2009/9/main" objectType="Spin" dx="26" fmlaLink="$L$17" max="55" min="18" page="10" val="18"/>
</file>

<file path=xl/ctrlProps/ctrlProp412.xml><?xml version="1.0" encoding="utf-8"?>
<formControlPr xmlns="http://schemas.microsoft.com/office/spreadsheetml/2009/9/main" objectType="Spin" dx="26" fmlaLink="$L20" max="55" min="18" page="10" val="18"/>
</file>

<file path=xl/ctrlProps/ctrlProp413.xml><?xml version="1.0" encoding="utf-8"?>
<formControlPr xmlns="http://schemas.microsoft.com/office/spreadsheetml/2009/9/main" objectType="Spin" dx="26" fmlaLink="$L17" max="55" min="18" page="10" val="18"/>
</file>

<file path=xl/ctrlProps/ctrlProp414.xml><?xml version="1.0" encoding="utf-8"?>
<formControlPr xmlns="http://schemas.microsoft.com/office/spreadsheetml/2009/9/main" objectType="Spin" dx="26" fmlaLink="$L$17" max="55" min="18" page="10" val="18"/>
</file>

<file path=xl/ctrlProps/ctrlProp415.xml><?xml version="1.0" encoding="utf-8"?>
<formControlPr xmlns="http://schemas.microsoft.com/office/spreadsheetml/2009/9/main" objectType="Spin" dx="26" fmlaLink="$L$17" max="55" min="18" page="10" val="18"/>
</file>

<file path=xl/ctrlProps/ctrlProp416.xml><?xml version="1.0" encoding="utf-8"?>
<formControlPr xmlns="http://schemas.microsoft.com/office/spreadsheetml/2009/9/main" objectType="Spin" dx="26" fmlaLink="$L20" max="55" min="18" page="10" val="18"/>
</file>

<file path=xl/ctrlProps/ctrlProp417.xml><?xml version="1.0" encoding="utf-8"?>
<formControlPr xmlns="http://schemas.microsoft.com/office/spreadsheetml/2009/9/main" objectType="Spin" dx="26" fmlaLink="$L17" max="55" min="18" page="10" val="18"/>
</file>

<file path=xl/ctrlProps/ctrlProp418.xml><?xml version="1.0" encoding="utf-8"?>
<formControlPr xmlns="http://schemas.microsoft.com/office/spreadsheetml/2009/9/main" objectType="Spin" dx="26" fmlaLink="$L$17" max="55" min="18" page="10" val="18"/>
</file>

<file path=xl/ctrlProps/ctrlProp419.xml><?xml version="1.0" encoding="utf-8"?>
<formControlPr xmlns="http://schemas.microsoft.com/office/spreadsheetml/2009/9/main" objectType="Spin" dx="26" fmlaLink="$L$17" max="55" min="18" page="10" val="18"/>
</file>

<file path=xl/ctrlProps/ctrlProp420.xml><?xml version="1.0" encoding="utf-8"?>
<formControlPr xmlns="http://schemas.microsoft.com/office/spreadsheetml/2009/9/main" objectType="Spin" dx="26" fmlaLink="$L20" max="55" min="18" page="10" val="18"/>
</file>

<file path=xl/ctrlProps/ctrlProp421.xml><?xml version="1.0" encoding="utf-8"?>
<formControlPr xmlns="http://schemas.microsoft.com/office/spreadsheetml/2009/9/main" objectType="Spin" dx="26" fmlaLink="K20" inc="5" max="30" page="10" val="0"/>
</file>

<file path=xl/ctrlProps/ctrlProp422.xml><?xml version="1.0" encoding="utf-8"?>
<formControlPr xmlns="http://schemas.microsoft.com/office/spreadsheetml/2009/9/main" objectType="Spin" dx="26" fmlaLink="K17" inc="5" max="30" page="10" val="0"/>
</file>

<file path=xl/ctrlProps/ctrlProp423.xml><?xml version="1.0" encoding="utf-8"?>
<formControlPr xmlns="http://schemas.microsoft.com/office/spreadsheetml/2009/9/main" objectType="Spin" dx="26" fmlaLink="K20" inc="5" max="30" page="10" val="0"/>
</file>

<file path=xl/ctrlProps/ctrlProp424.xml><?xml version="1.0" encoding="utf-8"?>
<formControlPr xmlns="http://schemas.microsoft.com/office/spreadsheetml/2009/9/main" objectType="Spin" dx="26" fmlaLink="$L17" max="55" min="18" page="10" val="18"/>
</file>

<file path=xl/ctrlProps/ctrlProp425.xml><?xml version="1.0" encoding="utf-8"?>
<formControlPr xmlns="http://schemas.microsoft.com/office/spreadsheetml/2009/9/main" objectType="Spin" dx="26" fmlaLink="K17" inc="5" max="30" page="10" val="0"/>
</file>

<file path=xl/ctrlProps/ctrlProp426.xml><?xml version="1.0" encoding="utf-8"?>
<formControlPr xmlns="http://schemas.microsoft.com/office/spreadsheetml/2009/9/main" objectType="Spin" dx="26" fmlaLink="K17" inc="5" max="30" page="10" val="0"/>
</file>

<file path=xl/ctrlProps/ctrlProp427.xml><?xml version="1.0" encoding="utf-8"?>
<formControlPr xmlns="http://schemas.microsoft.com/office/spreadsheetml/2009/9/main" objectType="Spin" dx="26" fmlaLink="$L$17" max="55" min="18" page="10" val="18"/>
</file>

<file path=xl/ctrlProps/ctrlProp428.xml><?xml version="1.0" encoding="utf-8"?>
<formControlPr xmlns="http://schemas.microsoft.com/office/spreadsheetml/2009/9/main" objectType="Spin" dx="26" fmlaLink="$L$17" max="55" min="18" page="10" val="18"/>
</file>

<file path=xl/ctrlProps/ctrlProp429.xml><?xml version="1.0" encoding="utf-8"?>
<formControlPr xmlns="http://schemas.microsoft.com/office/spreadsheetml/2009/9/main" objectType="Spin" dx="26" fmlaLink="$L20" max="55" min="18" page="10" val="18"/>
</file>

<file path=xl/ctrlProps/ctrlProp430.xml><?xml version="1.0" encoding="utf-8"?>
<formControlPr xmlns="http://schemas.microsoft.com/office/spreadsheetml/2009/9/main" objectType="Spin" dx="26" fmlaLink="$L17" max="55" min="18" page="10" val="18"/>
</file>

<file path=xl/ctrlProps/ctrlProp431.xml><?xml version="1.0" encoding="utf-8"?>
<formControlPr xmlns="http://schemas.microsoft.com/office/spreadsheetml/2009/9/main" objectType="Spin" dx="26" fmlaLink="$L$17" max="55" min="18" page="10" val="18"/>
</file>

<file path=xl/ctrlProps/ctrlProp432.xml><?xml version="1.0" encoding="utf-8"?>
<formControlPr xmlns="http://schemas.microsoft.com/office/spreadsheetml/2009/9/main" objectType="Spin" dx="26" fmlaLink="$L$17" max="55" min="18" page="10" val="18"/>
</file>

<file path=xl/ctrlProps/ctrlProp433.xml><?xml version="1.0" encoding="utf-8"?>
<formControlPr xmlns="http://schemas.microsoft.com/office/spreadsheetml/2009/9/main" objectType="Spin" dx="26" fmlaLink="$L20" max="55" min="18" page="10" val="18"/>
</file>

<file path=xl/ctrlProps/ctrlProp434.xml><?xml version="1.0" encoding="utf-8"?>
<formControlPr xmlns="http://schemas.microsoft.com/office/spreadsheetml/2009/9/main" objectType="Spin" dx="26" fmlaLink="$L17" max="55" min="18" page="10" val="18"/>
</file>

<file path=xl/ctrlProps/ctrlProp435.xml><?xml version="1.0" encoding="utf-8"?>
<formControlPr xmlns="http://schemas.microsoft.com/office/spreadsheetml/2009/9/main" objectType="Spin" dx="26" fmlaLink="$L$17" max="55" min="18" page="10" val="18"/>
</file>

<file path=xl/ctrlProps/ctrlProp436.xml><?xml version="1.0" encoding="utf-8"?>
<formControlPr xmlns="http://schemas.microsoft.com/office/spreadsheetml/2009/9/main" objectType="Spin" dx="26" fmlaLink="$L$17" max="55" min="18" page="10" val="18"/>
</file>

<file path=xl/ctrlProps/ctrlProp437.xml><?xml version="1.0" encoding="utf-8"?>
<formControlPr xmlns="http://schemas.microsoft.com/office/spreadsheetml/2009/9/main" objectType="Spin" dx="26" fmlaLink="$L20" max="55" min="18" page="10" val="18"/>
</file>

<file path=xl/ctrlProps/ctrlProp438.xml><?xml version="1.0" encoding="utf-8"?>
<formControlPr xmlns="http://schemas.microsoft.com/office/spreadsheetml/2009/9/main" objectType="Spin" dx="26" fmlaLink="$L17" max="55" min="18" page="10" val="18"/>
</file>

<file path=xl/ctrlProps/ctrlProp439.xml><?xml version="1.0" encoding="utf-8"?>
<formControlPr xmlns="http://schemas.microsoft.com/office/spreadsheetml/2009/9/main" objectType="Spin" dx="26" fmlaLink="$L$17" max="55" min="18" page="10" val="18"/>
</file>

<file path=xl/ctrlProps/ctrlProp440.xml><?xml version="1.0" encoding="utf-8"?>
<formControlPr xmlns="http://schemas.microsoft.com/office/spreadsheetml/2009/9/main" objectType="Spin" dx="26" fmlaLink="$L$17" max="55" min="18" page="10" val="18"/>
</file>

<file path=xl/ctrlProps/ctrlProp441.xml><?xml version="1.0" encoding="utf-8"?>
<formControlPr xmlns="http://schemas.microsoft.com/office/spreadsheetml/2009/9/main" objectType="Spin" dx="26" fmlaLink="$L20" max="55" min="18" page="10" val="18"/>
</file>

<file path=xl/ctrlProps/ctrlProp442.xml><?xml version="1.0" encoding="utf-8"?>
<formControlPr xmlns="http://schemas.microsoft.com/office/spreadsheetml/2009/9/main" objectType="Spin" dx="26" fmlaLink="$L17" max="55" min="18" page="10" val="18"/>
</file>

<file path=xl/ctrlProps/ctrlProp443.xml><?xml version="1.0" encoding="utf-8"?>
<formControlPr xmlns="http://schemas.microsoft.com/office/spreadsheetml/2009/9/main" objectType="Spin" dx="26" fmlaLink="$L$17" max="55" min="18" page="10" val="18"/>
</file>

<file path=xl/ctrlProps/ctrlProp444.xml><?xml version="1.0" encoding="utf-8"?>
<formControlPr xmlns="http://schemas.microsoft.com/office/spreadsheetml/2009/9/main" objectType="Spin" dx="26" fmlaLink="$L$17" max="55" min="18" page="10" val="18"/>
</file>

<file path=xl/ctrlProps/ctrlProp445.xml><?xml version="1.0" encoding="utf-8"?>
<formControlPr xmlns="http://schemas.microsoft.com/office/spreadsheetml/2009/9/main" objectType="Spin" dx="26" fmlaLink="$L20" max="55" min="18" page="10" val="18"/>
</file>

<file path=xl/ctrlProps/ctrlProp446.xml><?xml version="1.0" encoding="utf-8"?>
<formControlPr xmlns="http://schemas.microsoft.com/office/spreadsheetml/2009/9/main" objectType="Spin" dx="26" fmlaLink="$L17" max="55" min="18" page="10" val="18"/>
</file>

<file path=xl/ctrlProps/ctrlProp447.xml><?xml version="1.0" encoding="utf-8"?>
<formControlPr xmlns="http://schemas.microsoft.com/office/spreadsheetml/2009/9/main" objectType="Spin" dx="26" fmlaLink="$L$17" max="55" min="18" page="10" val="18"/>
</file>

<file path=xl/ctrlProps/ctrlProp448.xml><?xml version="1.0" encoding="utf-8"?>
<formControlPr xmlns="http://schemas.microsoft.com/office/spreadsheetml/2009/9/main" objectType="Spin" dx="26" fmlaLink="$L$17" max="55" min="18" page="10" val="18"/>
</file>

<file path=xl/ctrlProps/ctrlProp449.xml><?xml version="1.0" encoding="utf-8"?>
<formControlPr xmlns="http://schemas.microsoft.com/office/spreadsheetml/2009/9/main" objectType="Spin" dx="26" fmlaLink="$L20" max="55" min="18" page="10" val="18"/>
</file>

<file path=xl/ctrlProps/ctrlProp450.xml><?xml version="1.0" encoding="utf-8"?>
<formControlPr xmlns="http://schemas.microsoft.com/office/spreadsheetml/2009/9/main" objectType="Spin" dx="26" fmlaLink="$L17" max="55" min="18" page="10" val="18"/>
</file>

<file path=xl/ctrlProps/ctrlProp451.xml><?xml version="1.0" encoding="utf-8"?>
<formControlPr xmlns="http://schemas.microsoft.com/office/spreadsheetml/2009/9/main" objectType="Spin" dx="26" fmlaLink="$L$17" max="55" min="18" page="10" val="18"/>
</file>

<file path=xl/ctrlProps/ctrlProp452.xml><?xml version="1.0" encoding="utf-8"?>
<formControlPr xmlns="http://schemas.microsoft.com/office/spreadsheetml/2009/9/main" objectType="Spin" dx="26" fmlaLink="$L$17" max="55" min="18" page="10" val="18"/>
</file>

<file path=xl/ctrlProps/ctrlProp453.xml><?xml version="1.0" encoding="utf-8"?>
<formControlPr xmlns="http://schemas.microsoft.com/office/spreadsheetml/2009/9/main" objectType="Spin" dx="26" fmlaLink="$L20" max="55" min="18" page="10" val="18"/>
</file>

<file path=xl/ctrlProps/ctrlProp454.xml><?xml version="1.0" encoding="utf-8"?>
<formControlPr xmlns="http://schemas.microsoft.com/office/spreadsheetml/2009/9/main" objectType="Spin" dx="26" fmlaLink="$L17" max="55" min="18" page="10" val="18"/>
</file>

<file path=xl/ctrlProps/ctrlProp455.xml><?xml version="1.0" encoding="utf-8"?>
<formControlPr xmlns="http://schemas.microsoft.com/office/spreadsheetml/2009/9/main" objectType="Spin" dx="26" fmlaLink="$L$17" max="55" min="18" page="10" val="18"/>
</file>

<file path=xl/ctrlProps/ctrlProp456.xml><?xml version="1.0" encoding="utf-8"?>
<formControlPr xmlns="http://schemas.microsoft.com/office/spreadsheetml/2009/9/main" objectType="Spin" dx="26" fmlaLink="$L$17" max="55" min="18" page="10" val="18"/>
</file>

<file path=xl/ctrlProps/ctrlProp457.xml><?xml version="1.0" encoding="utf-8"?>
<formControlPr xmlns="http://schemas.microsoft.com/office/spreadsheetml/2009/9/main" objectType="Spin" dx="26" fmlaLink="$L20" max="55" min="18" page="10" val="18"/>
</file>

<file path=xl/ctrlProps/ctrlProp458.xml><?xml version="1.0" encoding="utf-8"?>
<formControlPr xmlns="http://schemas.microsoft.com/office/spreadsheetml/2009/9/main" objectType="Spin" dx="26" fmlaLink="$L17" max="55" min="18" page="10" val="18"/>
</file>

<file path=xl/ctrlProps/ctrlProp459.xml><?xml version="1.0" encoding="utf-8"?>
<formControlPr xmlns="http://schemas.microsoft.com/office/spreadsheetml/2009/9/main" objectType="Spin" dx="26" fmlaLink="$L$17" max="55" min="18" page="10" val="18"/>
</file>

<file path=xl/ctrlProps/ctrlProp460.xml><?xml version="1.0" encoding="utf-8"?>
<formControlPr xmlns="http://schemas.microsoft.com/office/spreadsheetml/2009/9/main" objectType="Spin" dx="26" fmlaLink="$L$17" max="55" min="18" page="10" val="18"/>
</file>

<file path=xl/ctrlProps/ctrlProp461.xml><?xml version="1.0" encoding="utf-8"?>
<formControlPr xmlns="http://schemas.microsoft.com/office/spreadsheetml/2009/9/main" objectType="Spin" dx="26" fmlaLink="$L20" max="55" min="18" page="10" val="18"/>
</file>

<file path=xl/ctrlProps/ctrlProp462.xml><?xml version="1.0" encoding="utf-8"?>
<formControlPr xmlns="http://schemas.microsoft.com/office/spreadsheetml/2009/9/main" objectType="Spin" dx="26" fmlaLink="K20" inc="5" max="30" page="10" val="0"/>
</file>

<file path=xl/ctrlProps/ctrlProp463.xml><?xml version="1.0" encoding="utf-8"?>
<formControlPr xmlns="http://schemas.microsoft.com/office/spreadsheetml/2009/9/main" objectType="Spin" dx="26" fmlaLink="K17" inc="5" max="30" page="10" val="0"/>
</file>

<file path=xl/ctrlProps/ctrlProp464.xml><?xml version="1.0" encoding="utf-8"?>
<formControlPr xmlns="http://schemas.microsoft.com/office/spreadsheetml/2009/9/main" objectType="Spin" dx="26" fmlaLink="K20" inc="5" max="30" page="10" val="0"/>
</file>

<file path=xl/ctrlProps/ctrlProp465.xml><?xml version="1.0" encoding="utf-8"?>
<formControlPr xmlns="http://schemas.microsoft.com/office/spreadsheetml/2009/9/main" objectType="Spin" dx="26" fmlaLink="$L17" max="55" min="18" page="10" val="18"/>
</file>

<file path=xl/ctrlProps/ctrlProp466.xml><?xml version="1.0" encoding="utf-8"?>
<formControlPr xmlns="http://schemas.microsoft.com/office/spreadsheetml/2009/9/main" objectType="Spin" dx="26" fmlaLink="K17" inc="5" max="30" page="10" val="0"/>
</file>

<file path=xl/ctrlProps/ctrlProp467.xml><?xml version="1.0" encoding="utf-8"?>
<formControlPr xmlns="http://schemas.microsoft.com/office/spreadsheetml/2009/9/main" objectType="Spin" dx="26" fmlaLink="K17" inc="5" max="30" page="10" val="0"/>
</file>

<file path=xl/ctrlProps/ctrlProp468.xml><?xml version="1.0" encoding="utf-8"?>
<formControlPr xmlns="http://schemas.microsoft.com/office/spreadsheetml/2009/9/main" objectType="Spin" dx="26" fmlaLink="$L$17" max="55" min="18" page="10" val="18"/>
</file>

<file path=xl/ctrlProps/ctrlProp469.xml><?xml version="1.0" encoding="utf-8"?>
<formControlPr xmlns="http://schemas.microsoft.com/office/spreadsheetml/2009/9/main" objectType="Spin" dx="26" fmlaLink="$L$17" max="55" min="18" page="10" val="18"/>
</file>

<file path=xl/ctrlProps/ctrlProp470.xml><?xml version="1.0" encoding="utf-8"?>
<formControlPr xmlns="http://schemas.microsoft.com/office/spreadsheetml/2009/9/main" objectType="Spin" dx="26" fmlaLink="$L20" max="55" min="18" page="10" val="18"/>
</file>

<file path=xl/ctrlProps/ctrlProp471.xml><?xml version="1.0" encoding="utf-8"?>
<formControlPr xmlns="http://schemas.microsoft.com/office/spreadsheetml/2009/9/main" objectType="Spin" dx="26" fmlaLink="$L17" max="55" min="18" page="10" val="18"/>
</file>

<file path=xl/ctrlProps/ctrlProp472.xml><?xml version="1.0" encoding="utf-8"?>
<formControlPr xmlns="http://schemas.microsoft.com/office/spreadsheetml/2009/9/main" objectType="Spin" dx="26" fmlaLink="$L$17" max="55" min="18" page="10" val="18"/>
</file>

<file path=xl/ctrlProps/ctrlProp473.xml><?xml version="1.0" encoding="utf-8"?>
<formControlPr xmlns="http://schemas.microsoft.com/office/spreadsheetml/2009/9/main" objectType="Spin" dx="26" fmlaLink="$L$17" max="55" min="18" page="10" val="18"/>
</file>

<file path=xl/ctrlProps/ctrlProp474.xml><?xml version="1.0" encoding="utf-8"?>
<formControlPr xmlns="http://schemas.microsoft.com/office/spreadsheetml/2009/9/main" objectType="Spin" dx="26" fmlaLink="$L20" max="55" min="18" page="10" val="18"/>
</file>

<file path=xl/ctrlProps/ctrlProp475.xml><?xml version="1.0" encoding="utf-8"?>
<formControlPr xmlns="http://schemas.microsoft.com/office/spreadsheetml/2009/9/main" objectType="Spin" dx="26" fmlaLink="$L17" max="55" min="18" page="10" val="18"/>
</file>

<file path=xl/ctrlProps/ctrlProp476.xml><?xml version="1.0" encoding="utf-8"?>
<formControlPr xmlns="http://schemas.microsoft.com/office/spreadsheetml/2009/9/main" objectType="Spin" dx="26" fmlaLink="$L$17" max="55" min="18" page="10" val="18"/>
</file>

<file path=xl/ctrlProps/ctrlProp477.xml><?xml version="1.0" encoding="utf-8"?>
<formControlPr xmlns="http://schemas.microsoft.com/office/spreadsheetml/2009/9/main" objectType="Spin" dx="26" fmlaLink="$L$17" max="55" min="18" page="10" val="18"/>
</file>

<file path=xl/ctrlProps/ctrlProp478.xml><?xml version="1.0" encoding="utf-8"?>
<formControlPr xmlns="http://schemas.microsoft.com/office/spreadsheetml/2009/9/main" objectType="Spin" dx="26" fmlaLink="$L20" max="55" min="18" page="10" val="18"/>
</file>

<file path=xl/ctrlProps/ctrlProp479.xml><?xml version="1.0" encoding="utf-8"?>
<formControlPr xmlns="http://schemas.microsoft.com/office/spreadsheetml/2009/9/main" objectType="Spin" dx="26" fmlaLink="$L17" max="55" min="18" page="10" val="18"/>
</file>

<file path=xl/ctrlProps/ctrlProp480.xml><?xml version="1.0" encoding="utf-8"?>
<formControlPr xmlns="http://schemas.microsoft.com/office/spreadsheetml/2009/9/main" objectType="Spin" dx="26" fmlaLink="$L$17" max="55" min="18" page="10" val="18"/>
</file>

<file path=xl/ctrlProps/ctrlProp481.xml><?xml version="1.0" encoding="utf-8"?>
<formControlPr xmlns="http://schemas.microsoft.com/office/spreadsheetml/2009/9/main" objectType="Spin" dx="26" fmlaLink="$L$17" max="55" min="18" page="10" val="18"/>
</file>

<file path=xl/ctrlProps/ctrlProp482.xml><?xml version="1.0" encoding="utf-8"?>
<formControlPr xmlns="http://schemas.microsoft.com/office/spreadsheetml/2009/9/main" objectType="Spin" dx="26" fmlaLink="$L20" max="55" min="18" page="10" val="18"/>
</file>

<file path=xl/ctrlProps/ctrlProp483.xml><?xml version="1.0" encoding="utf-8"?>
<formControlPr xmlns="http://schemas.microsoft.com/office/spreadsheetml/2009/9/main" objectType="Spin" dx="26" fmlaLink="$L17" max="55" min="18" page="10" val="18"/>
</file>

<file path=xl/ctrlProps/ctrlProp484.xml><?xml version="1.0" encoding="utf-8"?>
<formControlPr xmlns="http://schemas.microsoft.com/office/spreadsheetml/2009/9/main" objectType="Spin" dx="26" fmlaLink="$L$17" max="55" min="18" page="10" val="18"/>
</file>

<file path=xl/ctrlProps/ctrlProp485.xml><?xml version="1.0" encoding="utf-8"?>
<formControlPr xmlns="http://schemas.microsoft.com/office/spreadsheetml/2009/9/main" objectType="Spin" dx="26" fmlaLink="$L$17" max="55" min="18" page="10" val="18"/>
</file>

<file path=xl/ctrlProps/ctrlProp486.xml><?xml version="1.0" encoding="utf-8"?>
<formControlPr xmlns="http://schemas.microsoft.com/office/spreadsheetml/2009/9/main" objectType="Spin" dx="26" fmlaLink="$L20" max="55" min="18" page="10" val="18"/>
</file>

<file path=xl/ctrlProps/ctrlProp487.xml><?xml version="1.0" encoding="utf-8"?>
<formControlPr xmlns="http://schemas.microsoft.com/office/spreadsheetml/2009/9/main" objectType="Spin" dx="26" fmlaLink="$L17" max="55" min="18" page="10" val="18"/>
</file>

<file path=xl/ctrlProps/ctrlProp488.xml><?xml version="1.0" encoding="utf-8"?>
<formControlPr xmlns="http://schemas.microsoft.com/office/spreadsheetml/2009/9/main" objectType="Spin" dx="26" fmlaLink="$L$17" max="55" min="18" page="10" val="18"/>
</file>

<file path=xl/ctrlProps/ctrlProp489.xml><?xml version="1.0" encoding="utf-8"?>
<formControlPr xmlns="http://schemas.microsoft.com/office/spreadsheetml/2009/9/main" objectType="Spin" dx="26" fmlaLink="$L$17" max="55" min="18" page="10" val="18"/>
</file>

<file path=xl/ctrlProps/ctrlProp490.xml><?xml version="1.0" encoding="utf-8"?>
<formControlPr xmlns="http://schemas.microsoft.com/office/spreadsheetml/2009/9/main" objectType="Spin" dx="26" fmlaLink="$L20" max="55" min="18" page="10" val="18"/>
</file>

<file path=xl/ctrlProps/ctrlProp491.xml><?xml version="1.0" encoding="utf-8"?>
<formControlPr xmlns="http://schemas.microsoft.com/office/spreadsheetml/2009/9/main" objectType="Spin" dx="26" fmlaLink="$L17" max="55" min="18" page="10" val="18"/>
</file>

<file path=xl/ctrlProps/ctrlProp492.xml><?xml version="1.0" encoding="utf-8"?>
<formControlPr xmlns="http://schemas.microsoft.com/office/spreadsheetml/2009/9/main" objectType="Spin" dx="26" fmlaLink="$L$17" max="55" min="18" page="10" val="18"/>
</file>

<file path=xl/ctrlProps/ctrlProp493.xml><?xml version="1.0" encoding="utf-8"?>
<formControlPr xmlns="http://schemas.microsoft.com/office/spreadsheetml/2009/9/main" objectType="Spin" dx="26" fmlaLink="$L$17" max="55" min="18" page="10" val="18"/>
</file>

<file path=xl/ctrlProps/ctrlProp494.xml><?xml version="1.0" encoding="utf-8"?>
<formControlPr xmlns="http://schemas.microsoft.com/office/spreadsheetml/2009/9/main" objectType="Spin" dx="26" fmlaLink="$L20" max="55" min="18" page="10" val="18"/>
</file>

<file path=xl/ctrlProps/ctrlProp495.xml><?xml version="1.0" encoding="utf-8"?>
<formControlPr xmlns="http://schemas.microsoft.com/office/spreadsheetml/2009/9/main" objectType="Spin" dx="26" fmlaLink="$L17" max="55" min="18" page="10" val="18"/>
</file>

<file path=xl/ctrlProps/ctrlProp496.xml><?xml version="1.0" encoding="utf-8"?>
<formControlPr xmlns="http://schemas.microsoft.com/office/spreadsheetml/2009/9/main" objectType="Spin" dx="26" fmlaLink="$L$17" max="55" min="18" page="10" val="18"/>
</file>

<file path=xl/ctrlProps/ctrlProp497.xml><?xml version="1.0" encoding="utf-8"?>
<formControlPr xmlns="http://schemas.microsoft.com/office/spreadsheetml/2009/9/main" objectType="Spin" dx="26" fmlaLink="$L$17" max="55" min="18" page="10" val="18"/>
</file>

<file path=xl/ctrlProps/ctrlProp498.xml><?xml version="1.0" encoding="utf-8"?>
<formControlPr xmlns="http://schemas.microsoft.com/office/spreadsheetml/2009/9/main" objectType="Spin" dx="26" fmlaLink="$L20" max="55" min="18" page="10" val="18"/>
</file>

<file path=xl/ctrlProps/ctrlProp499.xml><?xml version="1.0" encoding="utf-8"?>
<formControlPr xmlns="http://schemas.microsoft.com/office/spreadsheetml/2009/9/main" objectType="Spin" dx="26" fmlaLink="$L17" max="55" min="18" page="10" val="18"/>
</file>

<file path=xl/ctrlProps/ctrlProp500.xml><?xml version="1.0" encoding="utf-8"?>
<formControlPr xmlns="http://schemas.microsoft.com/office/spreadsheetml/2009/9/main" objectType="Spin" dx="26" fmlaLink="$L$17" max="55" min="18" page="10" val="18"/>
</file>

<file path=xl/ctrlProps/ctrlProp501.xml><?xml version="1.0" encoding="utf-8"?>
<formControlPr xmlns="http://schemas.microsoft.com/office/spreadsheetml/2009/9/main" objectType="Spin" dx="26" fmlaLink="$L$17" max="55" min="18" page="10" val="18"/>
</file>

<file path=xl/ctrlProps/ctrlProp502.xml><?xml version="1.0" encoding="utf-8"?>
<formControlPr xmlns="http://schemas.microsoft.com/office/spreadsheetml/2009/9/main" objectType="Spin" dx="26" fmlaLink="$L20" max="55" min="18" page="10" val="18"/>
</file>

<file path=xl/ctrlProps/ctrlProp503.xml><?xml version="1.0" encoding="utf-8"?>
<formControlPr xmlns="http://schemas.microsoft.com/office/spreadsheetml/2009/9/main" objectType="Spin" dx="26" fmlaLink="K20" inc="5" max="30" page="10" val="0"/>
</file>

<file path=xl/ctrlProps/ctrlProp504.xml><?xml version="1.0" encoding="utf-8"?>
<formControlPr xmlns="http://schemas.microsoft.com/office/spreadsheetml/2009/9/main" objectType="Spin" dx="26" fmlaLink="K17" inc="5" max="30" page="10" val="0"/>
</file>

<file path=xl/ctrlProps/ctrlProp505.xml><?xml version="1.0" encoding="utf-8"?>
<formControlPr xmlns="http://schemas.microsoft.com/office/spreadsheetml/2009/9/main" objectType="Spin" dx="26" fmlaLink="K20" inc="5" max="30" page="10" val="0"/>
</file>

<file path=xl/ctrlProps/ctrlProp506.xml><?xml version="1.0" encoding="utf-8"?>
<formControlPr xmlns="http://schemas.microsoft.com/office/spreadsheetml/2009/9/main" objectType="Spin" dx="26" fmlaLink="$L17" max="55" min="18" page="10" val="18"/>
</file>

<file path=xl/ctrlProps/ctrlProp507.xml><?xml version="1.0" encoding="utf-8"?>
<formControlPr xmlns="http://schemas.microsoft.com/office/spreadsheetml/2009/9/main" objectType="Spin" dx="26" fmlaLink="K17" inc="5" max="30" page="10" val="0"/>
</file>

<file path=xl/ctrlProps/ctrlProp508.xml><?xml version="1.0" encoding="utf-8"?>
<formControlPr xmlns="http://schemas.microsoft.com/office/spreadsheetml/2009/9/main" objectType="Spin" dx="26" fmlaLink="K17" inc="5" max="30" page="10" val="0"/>
</file>

<file path=xl/ctrlProps/ctrlProp509.xml><?xml version="1.0" encoding="utf-8"?>
<formControlPr xmlns="http://schemas.microsoft.com/office/spreadsheetml/2009/9/main" objectType="Spin" dx="26" fmlaLink="$L$17" max="55" min="18" page="10" val="18"/>
</file>

<file path=xl/ctrlProps/ctrlProp510.xml><?xml version="1.0" encoding="utf-8"?>
<formControlPr xmlns="http://schemas.microsoft.com/office/spreadsheetml/2009/9/main" objectType="Spin" dx="26" fmlaLink="$L$17" max="55" min="18" page="10" val="18"/>
</file>

<file path=xl/ctrlProps/ctrlProp511.xml><?xml version="1.0" encoding="utf-8"?>
<formControlPr xmlns="http://schemas.microsoft.com/office/spreadsheetml/2009/9/main" objectType="Spin" dx="26" fmlaLink="$L20" max="55" min="18" page="10" val="18"/>
</file>

<file path=xl/ctrlProps/ctrlProp512.xml><?xml version="1.0" encoding="utf-8"?>
<formControlPr xmlns="http://schemas.microsoft.com/office/spreadsheetml/2009/9/main" objectType="Spin" dx="26" fmlaLink="$L17" max="55" min="18" page="10" val="18"/>
</file>

<file path=xl/ctrlProps/ctrlProp513.xml><?xml version="1.0" encoding="utf-8"?>
<formControlPr xmlns="http://schemas.microsoft.com/office/spreadsheetml/2009/9/main" objectType="Spin" dx="26" fmlaLink="$L$17" max="55" min="18" page="10" val="18"/>
</file>

<file path=xl/ctrlProps/ctrlProp514.xml><?xml version="1.0" encoding="utf-8"?>
<formControlPr xmlns="http://schemas.microsoft.com/office/spreadsheetml/2009/9/main" objectType="Spin" dx="26" fmlaLink="$L$17" max="55" min="18" page="10" val="18"/>
</file>

<file path=xl/ctrlProps/ctrlProp515.xml><?xml version="1.0" encoding="utf-8"?>
<formControlPr xmlns="http://schemas.microsoft.com/office/spreadsheetml/2009/9/main" objectType="Spin" dx="26" fmlaLink="$L20" max="55" min="18" page="10" val="18"/>
</file>

<file path=xl/ctrlProps/ctrlProp516.xml><?xml version="1.0" encoding="utf-8"?>
<formControlPr xmlns="http://schemas.microsoft.com/office/spreadsheetml/2009/9/main" objectType="Spin" dx="26" fmlaLink="$L17" max="55" min="18" page="10" val="18"/>
</file>

<file path=xl/ctrlProps/ctrlProp517.xml><?xml version="1.0" encoding="utf-8"?>
<formControlPr xmlns="http://schemas.microsoft.com/office/spreadsheetml/2009/9/main" objectType="Spin" dx="26" fmlaLink="$L$17" max="55" min="18" page="10" val="18"/>
</file>

<file path=xl/ctrlProps/ctrlProp518.xml><?xml version="1.0" encoding="utf-8"?>
<formControlPr xmlns="http://schemas.microsoft.com/office/spreadsheetml/2009/9/main" objectType="Spin" dx="26" fmlaLink="$L$17" max="55" min="18" page="10" val="18"/>
</file>

<file path=xl/ctrlProps/ctrlProp519.xml><?xml version="1.0" encoding="utf-8"?>
<formControlPr xmlns="http://schemas.microsoft.com/office/spreadsheetml/2009/9/main" objectType="Spin" dx="26" fmlaLink="$L20" max="55" min="18" page="10" val="18"/>
</file>

<file path=xl/ctrlProps/ctrlProp520.xml><?xml version="1.0" encoding="utf-8"?>
<formControlPr xmlns="http://schemas.microsoft.com/office/spreadsheetml/2009/9/main" objectType="Spin" dx="26" fmlaLink="$L17" max="55" min="18" page="10" val="18"/>
</file>

<file path=xl/ctrlProps/ctrlProp521.xml><?xml version="1.0" encoding="utf-8"?>
<formControlPr xmlns="http://schemas.microsoft.com/office/spreadsheetml/2009/9/main" objectType="Spin" dx="26" fmlaLink="$L$17" max="55" min="18" page="10" val="18"/>
</file>

<file path=xl/ctrlProps/ctrlProp522.xml><?xml version="1.0" encoding="utf-8"?>
<formControlPr xmlns="http://schemas.microsoft.com/office/spreadsheetml/2009/9/main" objectType="Spin" dx="26" fmlaLink="$L$17" max="55" min="18" page="10" val="18"/>
</file>

<file path=xl/ctrlProps/ctrlProp523.xml><?xml version="1.0" encoding="utf-8"?>
<formControlPr xmlns="http://schemas.microsoft.com/office/spreadsheetml/2009/9/main" objectType="Spin" dx="26" fmlaLink="$L20" max="55" min="18" page="10" val="18"/>
</file>

<file path=xl/ctrlProps/ctrlProp524.xml><?xml version="1.0" encoding="utf-8"?>
<formControlPr xmlns="http://schemas.microsoft.com/office/spreadsheetml/2009/9/main" objectType="Spin" dx="26" fmlaLink="$L17" max="55" min="18" page="10" val="18"/>
</file>

<file path=xl/ctrlProps/ctrlProp525.xml><?xml version="1.0" encoding="utf-8"?>
<formControlPr xmlns="http://schemas.microsoft.com/office/spreadsheetml/2009/9/main" objectType="Spin" dx="26" fmlaLink="$L$17" max="55" min="18" page="10" val="18"/>
</file>

<file path=xl/ctrlProps/ctrlProp526.xml><?xml version="1.0" encoding="utf-8"?>
<formControlPr xmlns="http://schemas.microsoft.com/office/spreadsheetml/2009/9/main" objectType="Spin" dx="26" fmlaLink="$L$17" max="55" min="18" page="10" val="18"/>
</file>

<file path=xl/ctrlProps/ctrlProp527.xml><?xml version="1.0" encoding="utf-8"?>
<formControlPr xmlns="http://schemas.microsoft.com/office/spreadsheetml/2009/9/main" objectType="Spin" dx="26" fmlaLink="$L20" max="55" min="18" page="10" val="18"/>
</file>

<file path=xl/ctrlProps/ctrlProp528.xml><?xml version="1.0" encoding="utf-8"?>
<formControlPr xmlns="http://schemas.microsoft.com/office/spreadsheetml/2009/9/main" objectType="Spin" dx="26" fmlaLink="$L17" max="55" min="18" page="10" val="18"/>
</file>

<file path=xl/ctrlProps/ctrlProp529.xml><?xml version="1.0" encoding="utf-8"?>
<formControlPr xmlns="http://schemas.microsoft.com/office/spreadsheetml/2009/9/main" objectType="Spin" dx="26" fmlaLink="$L$17" max="55" min="18" page="10" val="18"/>
</file>

<file path=xl/ctrlProps/ctrlProp530.xml><?xml version="1.0" encoding="utf-8"?>
<formControlPr xmlns="http://schemas.microsoft.com/office/spreadsheetml/2009/9/main" objectType="Spin" dx="26" fmlaLink="$L$17" max="55" min="18" page="10" val="18"/>
</file>

<file path=xl/ctrlProps/ctrlProp531.xml><?xml version="1.0" encoding="utf-8"?>
<formControlPr xmlns="http://schemas.microsoft.com/office/spreadsheetml/2009/9/main" objectType="Spin" dx="26" fmlaLink="$L20" max="55" min="18" page="10" val="18"/>
</file>

<file path=xl/ctrlProps/ctrlProp532.xml><?xml version="1.0" encoding="utf-8"?>
<formControlPr xmlns="http://schemas.microsoft.com/office/spreadsheetml/2009/9/main" objectType="Spin" dx="26" fmlaLink="$L17" max="55" min="18" page="10" val="18"/>
</file>

<file path=xl/ctrlProps/ctrlProp533.xml><?xml version="1.0" encoding="utf-8"?>
<formControlPr xmlns="http://schemas.microsoft.com/office/spreadsheetml/2009/9/main" objectType="Spin" dx="26" fmlaLink="$L$17" max="55" min="18" page="10" val="18"/>
</file>

<file path=xl/ctrlProps/ctrlProp534.xml><?xml version="1.0" encoding="utf-8"?>
<formControlPr xmlns="http://schemas.microsoft.com/office/spreadsheetml/2009/9/main" objectType="Spin" dx="26" fmlaLink="$L$17" max="55" min="18" page="10" val="18"/>
</file>

<file path=xl/ctrlProps/ctrlProp535.xml><?xml version="1.0" encoding="utf-8"?>
<formControlPr xmlns="http://schemas.microsoft.com/office/spreadsheetml/2009/9/main" objectType="Spin" dx="26" fmlaLink="$L20" max="55" min="18" page="10" val="18"/>
</file>

<file path=xl/ctrlProps/ctrlProp536.xml><?xml version="1.0" encoding="utf-8"?>
<formControlPr xmlns="http://schemas.microsoft.com/office/spreadsheetml/2009/9/main" objectType="Spin" dx="26" fmlaLink="$L17" max="55" min="18" page="10" val="18"/>
</file>

<file path=xl/ctrlProps/ctrlProp537.xml><?xml version="1.0" encoding="utf-8"?>
<formControlPr xmlns="http://schemas.microsoft.com/office/spreadsheetml/2009/9/main" objectType="Spin" dx="26" fmlaLink="$L$17" max="55" min="18" page="10" val="18"/>
</file>

<file path=xl/ctrlProps/ctrlProp538.xml><?xml version="1.0" encoding="utf-8"?>
<formControlPr xmlns="http://schemas.microsoft.com/office/spreadsheetml/2009/9/main" objectType="Spin" dx="26" fmlaLink="$L$17" max="55" min="18" page="10" val="18"/>
</file>

<file path=xl/ctrlProps/ctrlProp539.xml><?xml version="1.0" encoding="utf-8"?>
<formControlPr xmlns="http://schemas.microsoft.com/office/spreadsheetml/2009/9/main" objectType="Spin" dx="26" fmlaLink="$L20" max="55" min="18" page="10" val="18"/>
</file>

<file path=xl/ctrlProps/ctrlProp540.xml><?xml version="1.0" encoding="utf-8"?>
<formControlPr xmlns="http://schemas.microsoft.com/office/spreadsheetml/2009/9/main" objectType="Spin" dx="26" fmlaLink="$L17" max="55" min="18" page="10" val="18"/>
</file>

<file path=xl/ctrlProps/ctrlProp541.xml><?xml version="1.0" encoding="utf-8"?>
<formControlPr xmlns="http://schemas.microsoft.com/office/spreadsheetml/2009/9/main" objectType="Spin" dx="26" fmlaLink="$L$17" max="55" min="18" page="10" val="18"/>
</file>

<file path=xl/ctrlProps/ctrlProp542.xml><?xml version="1.0" encoding="utf-8"?>
<formControlPr xmlns="http://schemas.microsoft.com/office/spreadsheetml/2009/9/main" objectType="Spin" dx="26" fmlaLink="$L$17" max="55" min="18" page="10" val="18"/>
</file>

<file path=xl/ctrlProps/ctrlProp543.xml><?xml version="1.0" encoding="utf-8"?>
<formControlPr xmlns="http://schemas.microsoft.com/office/spreadsheetml/2009/9/main" objectType="Spin" dx="26" fmlaLink="$L20" max="55" min="18" page="10" val="18"/>
</file>

<file path=xl/ctrlProps/ctrlProp544.xml><?xml version="1.0" encoding="utf-8"?>
<formControlPr xmlns="http://schemas.microsoft.com/office/spreadsheetml/2009/9/main" objectType="Spin" dx="26" fmlaLink="K20" inc="5" max="30" page="10" val="0"/>
</file>

<file path=xl/ctrlProps/ctrlProp545.xml><?xml version="1.0" encoding="utf-8"?>
<formControlPr xmlns="http://schemas.microsoft.com/office/spreadsheetml/2009/9/main" objectType="Spin" dx="26" fmlaLink="K17" inc="5" max="30" page="10" val="0"/>
</file>

<file path=xl/ctrlProps/ctrlProp546.xml><?xml version="1.0" encoding="utf-8"?>
<formControlPr xmlns="http://schemas.microsoft.com/office/spreadsheetml/2009/9/main" objectType="Spin" dx="26" fmlaLink="K20" inc="5" max="30" page="10" val="0"/>
</file>

<file path=xl/ctrlProps/ctrlProp547.xml><?xml version="1.0" encoding="utf-8"?>
<formControlPr xmlns="http://schemas.microsoft.com/office/spreadsheetml/2009/9/main" objectType="Spin" dx="26" fmlaLink="$L17" max="55" min="18" page="10" val="18"/>
</file>

<file path=xl/ctrlProps/ctrlProp548.xml><?xml version="1.0" encoding="utf-8"?>
<formControlPr xmlns="http://schemas.microsoft.com/office/spreadsheetml/2009/9/main" objectType="Spin" dx="26" fmlaLink="K17" inc="5" max="30" page="10" val="0"/>
</file>

<file path=xl/ctrlProps/ctrlProp549.xml><?xml version="1.0" encoding="utf-8"?>
<formControlPr xmlns="http://schemas.microsoft.com/office/spreadsheetml/2009/9/main" objectType="Spin" dx="26" fmlaLink="K17" inc="5" max="30" page="10" val="0"/>
</file>

<file path=xl/ctrlProps/ctrlProp550.xml><?xml version="1.0" encoding="utf-8"?>
<formControlPr xmlns="http://schemas.microsoft.com/office/spreadsheetml/2009/9/main" objectType="Spin" dx="26" fmlaLink="$L$17" max="55" min="18" page="10" val="18"/>
</file>

<file path=xl/ctrlProps/ctrlProp551.xml><?xml version="1.0" encoding="utf-8"?>
<formControlPr xmlns="http://schemas.microsoft.com/office/spreadsheetml/2009/9/main" objectType="Spin" dx="26" fmlaLink="$L$17" max="55" min="18" page="10" val="18"/>
</file>

<file path=xl/ctrlProps/ctrlProp552.xml><?xml version="1.0" encoding="utf-8"?>
<formControlPr xmlns="http://schemas.microsoft.com/office/spreadsheetml/2009/9/main" objectType="Spin" dx="26" fmlaLink="$L20" max="55" min="18" page="10" val="18"/>
</file>

<file path=xl/ctrlProps/ctrlProp553.xml><?xml version="1.0" encoding="utf-8"?>
<formControlPr xmlns="http://schemas.microsoft.com/office/spreadsheetml/2009/9/main" objectType="Spin" dx="26" fmlaLink="$L17" max="55" min="18" page="10" val="18"/>
</file>

<file path=xl/ctrlProps/ctrlProp554.xml><?xml version="1.0" encoding="utf-8"?>
<formControlPr xmlns="http://schemas.microsoft.com/office/spreadsheetml/2009/9/main" objectType="Spin" dx="26" fmlaLink="$L$17" max="55" min="18" page="10" val="18"/>
</file>

<file path=xl/ctrlProps/ctrlProp555.xml><?xml version="1.0" encoding="utf-8"?>
<formControlPr xmlns="http://schemas.microsoft.com/office/spreadsheetml/2009/9/main" objectType="Spin" dx="26" fmlaLink="$L$17" max="55" min="18" page="10" val="18"/>
</file>

<file path=xl/ctrlProps/ctrlProp556.xml><?xml version="1.0" encoding="utf-8"?>
<formControlPr xmlns="http://schemas.microsoft.com/office/spreadsheetml/2009/9/main" objectType="Spin" dx="26" fmlaLink="$L20" max="55" min="18" page="10" val="18"/>
</file>

<file path=xl/ctrlProps/ctrlProp557.xml><?xml version="1.0" encoding="utf-8"?>
<formControlPr xmlns="http://schemas.microsoft.com/office/spreadsheetml/2009/9/main" objectType="Spin" dx="26" fmlaLink="$L17" max="55" min="18" page="10" val="18"/>
</file>

<file path=xl/ctrlProps/ctrlProp558.xml><?xml version="1.0" encoding="utf-8"?>
<formControlPr xmlns="http://schemas.microsoft.com/office/spreadsheetml/2009/9/main" objectType="Spin" dx="26" fmlaLink="$L$17" max="55" min="18" page="10" val="18"/>
</file>

<file path=xl/ctrlProps/ctrlProp559.xml><?xml version="1.0" encoding="utf-8"?>
<formControlPr xmlns="http://schemas.microsoft.com/office/spreadsheetml/2009/9/main" objectType="Spin" dx="26" fmlaLink="$L$17" max="55" min="18" page="10" val="18"/>
</file>

<file path=xl/ctrlProps/ctrlProp560.xml><?xml version="1.0" encoding="utf-8"?>
<formControlPr xmlns="http://schemas.microsoft.com/office/spreadsheetml/2009/9/main" objectType="Spin" dx="26" fmlaLink="$L20" max="55" min="18" page="10" val="18"/>
</file>

<file path=xl/ctrlProps/ctrlProp561.xml><?xml version="1.0" encoding="utf-8"?>
<formControlPr xmlns="http://schemas.microsoft.com/office/spreadsheetml/2009/9/main" objectType="Spin" dx="26" fmlaLink="$L17" max="55" min="18" page="10" val="18"/>
</file>

<file path=xl/ctrlProps/ctrlProp562.xml><?xml version="1.0" encoding="utf-8"?>
<formControlPr xmlns="http://schemas.microsoft.com/office/spreadsheetml/2009/9/main" objectType="Spin" dx="26" fmlaLink="$L$17" max="55" min="18" page="10" val="18"/>
</file>

<file path=xl/ctrlProps/ctrlProp563.xml><?xml version="1.0" encoding="utf-8"?>
<formControlPr xmlns="http://schemas.microsoft.com/office/spreadsheetml/2009/9/main" objectType="Spin" dx="26" fmlaLink="$L$17" max="55" min="18" page="10" val="18"/>
</file>

<file path=xl/ctrlProps/ctrlProp564.xml><?xml version="1.0" encoding="utf-8"?>
<formControlPr xmlns="http://schemas.microsoft.com/office/spreadsheetml/2009/9/main" objectType="Spin" dx="26" fmlaLink="$L20" max="55" min="18" page="10" val="18"/>
</file>

<file path=xl/ctrlProps/ctrlProp565.xml><?xml version="1.0" encoding="utf-8"?>
<formControlPr xmlns="http://schemas.microsoft.com/office/spreadsheetml/2009/9/main" objectType="Spin" dx="26" fmlaLink="$L17" max="55" min="18" page="10" val="18"/>
</file>

<file path=xl/ctrlProps/ctrlProp566.xml><?xml version="1.0" encoding="utf-8"?>
<formControlPr xmlns="http://schemas.microsoft.com/office/spreadsheetml/2009/9/main" objectType="Spin" dx="26" fmlaLink="$L$17" max="55" min="18" page="10" val="18"/>
</file>

<file path=xl/ctrlProps/ctrlProp567.xml><?xml version="1.0" encoding="utf-8"?>
<formControlPr xmlns="http://schemas.microsoft.com/office/spreadsheetml/2009/9/main" objectType="Spin" dx="26" fmlaLink="$L$17" max="55" min="18" page="10" val="18"/>
</file>

<file path=xl/ctrlProps/ctrlProp568.xml><?xml version="1.0" encoding="utf-8"?>
<formControlPr xmlns="http://schemas.microsoft.com/office/spreadsheetml/2009/9/main" objectType="Spin" dx="26" fmlaLink="$L20" max="55" min="18" page="10" val="18"/>
</file>

<file path=xl/ctrlProps/ctrlProp569.xml><?xml version="1.0" encoding="utf-8"?>
<formControlPr xmlns="http://schemas.microsoft.com/office/spreadsheetml/2009/9/main" objectType="Spin" dx="26" fmlaLink="$L17" max="55" min="18" page="10" val="18"/>
</file>

<file path=xl/ctrlProps/ctrlProp570.xml><?xml version="1.0" encoding="utf-8"?>
<formControlPr xmlns="http://schemas.microsoft.com/office/spreadsheetml/2009/9/main" objectType="Spin" dx="26" fmlaLink="$L$17" max="55" min="18" page="10" val="18"/>
</file>

<file path=xl/ctrlProps/ctrlProp571.xml><?xml version="1.0" encoding="utf-8"?>
<formControlPr xmlns="http://schemas.microsoft.com/office/spreadsheetml/2009/9/main" objectType="Spin" dx="26" fmlaLink="$L$17" max="55" min="18" page="10" val="18"/>
</file>

<file path=xl/ctrlProps/ctrlProp572.xml><?xml version="1.0" encoding="utf-8"?>
<formControlPr xmlns="http://schemas.microsoft.com/office/spreadsheetml/2009/9/main" objectType="Spin" dx="26" fmlaLink="$L20" max="55" min="18" page="10" val="18"/>
</file>

<file path=xl/ctrlProps/ctrlProp573.xml><?xml version="1.0" encoding="utf-8"?>
<formControlPr xmlns="http://schemas.microsoft.com/office/spreadsheetml/2009/9/main" objectType="Spin" dx="26" fmlaLink="$L17" max="55" min="18" page="10" val="18"/>
</file>

<file path=xl/ctrlProps/ctrlProp574.xml><?xml version="1.0" encoding="utf-8"?>
<formControlPr xmlns="http://schemas.microsoft.com/office/spreadsheetml/2009/9/main" objectType="Spin" dx="26" fmlaLink="$L$17" max="55" min="18" page="10" val="18"/>
</file>

<file path=xl/ctrlProps/ctrlProp575.xml><?xml version="1.0" encoding="utf-8"?>
<formControlPr xmlns="http://schemas.microsoft.com/office/spreadsheetml/2009/9/main" objectType="Spin" dx="26" fmlaLink="$L$17" max="55" min="18" page="10" val="18"/>
</file>

<file path=xl/ctrlProps/ctrlProp576.xml><?xml version="1.0" encoding="utf-8"?>
<formControlPr xmlns="http://schemas.microsoft.com/office/spreadsheetml/2009/9/main" objectType="Spin" dx="26" fmlaLink="$L20" max="55" min="18" page="10" val="18"/>
</file>

<file path=xl/ctrlProps/ctrlProp577.xml><?xml version="1.0" encoding="utf-8"?>
<formControlPr xmlns="http://schemas.microsoft.com/office/spreadsheetml/2009/9/main" objectType="Spin" dx="26" fmlaLink="$L17" max="55" min="18" page="10" val="18"/>
</file>

<file path=xl/ctrlProps/ctrlProp578.xml><?xml version="1.0" encoding="utf-8"?>
<formControlPr xmlns="http://schemas.microsoft.com/office/spreadsheetml/2009/9/main" objectType="Spin" dx="26" fmlaLink="$L$17" max="55" min="18" page="10" val="18"/>
</file>

<file path=xl/ctrlProps/ctrlProp579.xml><?xml version="1.0" encoding="utf-8"?>
<formControlPr xmlns="http://schemas.microsoft.com/office/spreadsheetml/2009/9/main" objectType="Spin" dx="26" fmlaLink="$L$17" max="55" min="18" page="10" val="18"/>
</file>

<file path=xl/ctrlProps/ctrlProp580.xml><?xml version="1.0" encoding="utf-8"?>
<formControlPr xmlns="http://schemas.microsoft.com/office/spreadsheetml/2009/9/main" objectType="Spin" dx="26" fmlaLink="$L20" max="55" min="18" page="10" val="18"/>
</file>

<file path=xl/ctrlProps/ctrlProp581.xml><?xml version="1.0" encoding="utf-8"?>
<formControlPr xmlns="http://schemas.microsoft.com/office/spreadsheetml/2009/9/main" objectType="Spin" dx="26" fmlaLink="$L17" max="55" min="18" page="10" val="18"/>
</file>

<file path=xl/ctrlProps/ctrlProp582.xml><?xml version="1.0" encoding="utf-8"?>
<formControlPr xmlns="http://schemas.microsoft.com/office/spreadsheetml/2009/9/main" objectType="Spin" dx="26" fmlaLink="$L$17" max="55" min="18" page="10" val="18"/>
</file>

<file path=xl/ctrlProps/ctrlProp583.xml><?xml version="1.0" encoding="utf-8"?>
<formControlPr xmlns="http://schemas.microsoft.com/office/spreadsheetml/2009/9/main" objectType="Spin" dx="26" fmlaLink="$L$17" max="55" min="18" page="10" val="18"/>
</file>

<file path=xl/ctrlProps/ctrlProp584.xml><?xml version="1.0" encoding="utf-8"?>
<formControlPr xmlns="http://schemas.microsoft.com/office/spreadsheetml/2009/9/main" objectType="Spin" dx="26" fmlaLink="$L20" max="55" min="18" page="10" val="18"/>
</file>

<file path=xl/ctrlProps/ctrlProp585.xml><?xml version="1.0" encoding="utf-8"?>
<formControlPr xmlns="http://schemas.microsoft.com/office/spreadsheetml/2009/9/main" objectType="Spin" dx="26" fmlaLink="K20" inc="5" max="30" page="10" val="0"/>
</file>

<file path=xl/ctrlProps/ctrlProp586.xml><?xml version="1.0" encoding="utf-8"?>
<formControlPr xmlns="http://schemas.microsoft.com/office/spreadsheetml/2009/9/main" objectType="Spin" dx="26" fmlaLink="K17" inc="5" max="30" page="10" val="0"/>
</file>

<file path=xl/ctrlProps/ctrlProp587.xml><?xml version="1.0" encoding="utf-8"?>
<formControlPr xmlns="http://schemas.microsoft.com/office/spreadsheetml/2009/9/main" objectType="Spin" dx="26" fmlaLink="K20" inc="5" max="30" page="10" val="0"/>
</file>

<file path=xl/ctrlProps/ctrlProp588.xml><?xml version="1.0" encoding="utf-8"?>
<formControlPr xmlns="http://schemas.microsoft.com/office/spreadsheetml/2009/9/main" objectType="Spin" dx="26" fmlaLink="$L17" max="55" min="18" page="10" val="18"/>
</file>

<file path=xl/ctrlProps/ctrlProp589.xml><?xml version="1.0" encoding="utf-8"?>
<formControlPr xmlns="http://schemas.microsoft.com/office/spreadsheetml/2009/9/main" objectType="Spin" dx="26" fmlaLink="K17" inc="5" max="30" page="10" val="0"/>
</file>

<file path=xl/ctrlProps/ctrlProp590.xml><?xml version="1.0" encoding="utf-8"?>
<formControlPr xmlns="http://schemas.microsoft.com/office/spreadsheetml/2009/9/main" objectType="Spin" dx="26" fmlaLink="K17" inc="5" max="30" page="10" val="0"/>
</file>

<file path=xl/ctrlProps/ctrlProp591.xml><?xml version="1.0" encoding="utf-8"?>
<formControlPr xmlns="http://schemas.microsoft.com/office/spreadsheetml/2009/9/main" objectType="Spin" dx="26" fmlaLink="$L$17" max="55" min="18" page="10" val="18"/>
</file>

<file path=xl/ctrlProps/ctrlProp592.xml><?xml version="1.0" encoding="utf-8"?>
<formControlPr xmlns="http://schemas.microsoft.com/office/spreadsheetml/2009/9/main" objectType="Spin" dx="26" fmlaLink="$L$17" max="55" min="18" page="10" val="18"/>
</file>

<file path=xl/ctrlProps/ctrlProp593.xml><?xml version="1.0" encoding="utf-8"?>
<formControlPr xmlns="http://schemas.microsoft.com/office/spreadsheetml/2009/9/main" objectType="Spin" dx="26" fmlaLink="$L20" max="55" min="18" page="10" val="18"/>
</file>

<file path=xl/ctrlProps/ctrlProp594.xml><?xml version="1.0" encoding="utf-8"?>
<formControlPr xmlns="http://schemas.microsoft.com/office/spreadsheetml/2009/9/main" objectType="Spin" dx="26" fmlaLink="$L17" max="55" min="18" page="10" val="18"/>
</file>

<file path=xl/ctrlProps/ctrlProp595.xml><?xml version="1.0" encoding="utf-8"?>
<formControlPr xmlns="http://schemas.microsoft.com/office/spreadsheetml/2009/9/main" objectType="Spin" dx="26" fmlaLink="$L$17" max="55" min="18" page="10" val="18"/>
</file>

<file path=xl/ctrlProps/ctrlProp596.xml><?xml version="1.0" encoding="utf-8"?>
<formControlPr xmlns="http://schemas.microsoft.com/office/spreadsheetml/2009/9/main" objectType="Spin" dx="26" fmlaLink="$L$17" max="55" min="18" page="10" val="18"/>
</file>

<file path=xl/ctrlProps/ctrlProp597.xml><?xml version="1.0" encoding="utf-8"?>
<formControlPr xmlns="http://schemas.microsoft.com/office/spreadsheetml/2009/9/main" objectType="Spin" dx="26" fmlaLink="$L20" max="55" min="18" page="10" val="18"/>
</file>

<file path=xl/ctrlProps/ctrlProp598.xml><?xml version="1.0" encoding="utf-8"?>
<formControlPr xmlns="http://schemas.microsoft.com/office/spreadsheetml/2009/9/main" objectType="Spin" dx="26" fmlaLink="$L17" max="55" min="18" page="10" val="18"/>
</file>

<file path=xl/ctrlProps/ctrlProp599.xml><?xml version="1.0" encoding="utf-8"?>
<formControlPr xmlns="http://schemas.microsoft.com/office/spreadsheetml/2009/9/main" objectType="Spin" dx="26" fmlaLink="$L$17" max="55" min="18" page="10" val="18"/>
</file>

<file path=xl/ctrlProps/ctrlProp600.xml><?xml version="1.0" encoding="utf-8"?>
<formControlPr xmlns="http://schemas.microsoft.com/office/spreadsheetml/2009/9/main" objectType="Spin" dx="26" fmlaLink="$L$17" max="55" min="18" page="10" val="18"/>
</file>

<file path=xl/ctrlProps/ctrlProp601.xml><?xml version="1.0" encoding="utf-8"?>
<formControlPr xmlns="http://schemas.microsoft.com/office/spreadsheetml/2009/9/main" objectType="Spin" dx="26" fmlaLink="$L20" max="55" min="18" page="10" val="18"/>
</file>

<file path=xl/ctrlProps/ctrlProp602.xml><?xml version="1.0" encoding="utf-8"?>
<formControlPr xmlns="http://schemas.microsoft.com/office/spreadsheetml/2009/9/main" objectType="Spin" dx="26" fmlaLink="$L17" max="55" min="18" page="10" val="18"/>
</file>

<file path=xl/ctrlProps/ctrlProp603.xml><?xml version="1.0" encoding="utf-8"?>
<formControlPr xmlns="http://schemas.microsoft.com/office/spreadsheetml/2009/9/main" objectType="Spin" dx="26" fmlaLink="$L$17" max="55" min="18" page="10" val="18"/>
</file>

<file path=xl/ctrlProps/ctrlProp604.xml><?xml version="1.0" encoding="utf-8"?>
<formControlPr xmlns="http://schemas.microsoft.com/office/spreadsheetml/2009/9/main" objectType="Spin" dx="26" fmlaLink="$L$17" max="55" min="18" page="10" val="18"/>
</file>

<file path=xl/ctrlProps/ctrlProp605.xml><?xml version="1.0" encoding="utf-8"?>
<formControlPr xmlns="http://schemas.microsoft.com/office/spreadsheetml/2009/9/main" objectType="Spin" dx="26" fmlaLink="$L20" max="55" min="18" page="10" val="18"/>
</file>

<file path=xl/ctrlProps/ctrlProp606.xml><?xml version="1.0" encoding="utf-8"?>
<formControlPr xmlns="http://schemas.microsoft.com/office/spreadsheetml/2009/9/main" objectType="Spin" dx="26" fmlaLink="$L17" max="55" min="18" page="10" val="18"/>
</file>

<file path=xl/ctrlProps/ctrlProp607.xml><?xml version="1.0" encoding="utf-8"?>
<formControlPr xmlns="http://schemas.microsoft.com/office/spreadsheetml/2009/9/main" objectType="Spin" dx="26" fmlaLink="$L$17" max="55" min="18" page="10" val="18"/>
</file>

<file path=xl/ctrlProps/ctrlProp608.xml><?xml version="1.0" encoding="utf-8"?>
<formControlPr xmlns="http://schemas.microsoft.com/office/spreadsheetml/2009/9/main" objectType="Spin" dx="26" fmlaLink="$L$17" max="55" min="18" page="10" val="18"/>
</file>

<file path=xl/ctrlProps/ctrlProp609.xml><?xml version="1.0" encoding="utf-8"?>
<formControlPr xmlns="http://schemas.microsoft.com/office/spreadsheetml/2009/9/main" objectType="Spin" dx="26" fmlaLink="$L20" max="55" min="18" page="10" val="18"/>
</file>

<file path=xl/ctrlProps/ctrlProp610.xml><?xml version="1.0" encoding="utf-8"?>
<formControlPr xmlns="http://schemas.microsoft.com/office/spreadsheetml/2009/9/main" objectType="Spin" dx="26" fmlaLink="$L17" max="55" min="18" page="10" val="18"/>
</file>

<file path=xl/ctrlProps/ctrlProp611.xml><?xml version="1.0" encoding="utf-8"?>
<formControlPr xmlns="http://schemas.microsoft.com/office/spreadsheetml/2009/9/main" objectType="Spin" dx="26" fmlaLink="$L$17" max="55" min="18" page="10" val="18"/>
</file>

<file path=xl/ctrlProps/ctrlProp612.xml><?xml version="1.0" encoding="utf-8"?>
<formControlPr xmlns="http://schemas.microsoft.com/office/spreadsheetml/2009/9/main" objectType="Spin" dx="26" fmlaLink="$L$17" max="55" min="18" page="10" val="18"/>
</file>

<file path=xl/ctrlProps/ctrlProp613.xml><?xml version="1.0" encoding="utf-8"?>
<formControlPr xmlns="http://schemas.microsoft.com/office/spreadsheetml/2009/9/main" objectType="Spin" dx="26" fmlaLink="$L20" max="55" min="18" page="10" val="18"/>
</file>

<file path=xl/ctrlProps/ctrlProp614.xml><?xml version="1.0" encoding="utf-8"?>
<formControlPr xmlns="http://schemas.microsoft.com/office/spreadsheetml/2009/9/main" objectType="Spin" dx="26" fmlaLink="$L17" max="55" min="18" page="10" val="18"/>
</file>

<file path=xl/ctrlProps/ctrlProp615.xml><?xml version="1.0" encoding="utf-8"?>
<formControlPr xmlns="http://schemas.microsoft.com/office/spreadsheetml/2009/9/main" objectType="Spin" dx="26" fmlaLink="$L$17" max="55" min="18" page="10" val="18"/>
</file>

<file path=xl/ctrlProps/ctrlProp616.xml><?xml version="1.0" encoding="utf-8"?>
<formControlPr xmlns="http://schemas.microsoft.com/office/spreadsheetml/2009/9/main" objectType="Spin" dx="26" fmlaLink="$L$17" max="55" min="18" page="10" val="18"/>
</file>

<file path=xl/ctrlProps/ctrlProp617.xml><?xml version="1.0" encoding="utf-8"?>
<formControlPr xmlns="http://schemas.microsoft.com/office/spreadsheetml/2009/9/main" objectType="Spin" dx="26" fmlaLink="$L20" max="55" min="18" page="10" val="18"/>
</file>

<file path=xl/ctrlProps/ctrlProp618.xml><?xml version="1.0" encoding="utf-8"?>
<formControlPr xmlns="http://schemas.microsoft.com/office/spreadsheetml/2009/9/main" objectType="Spin" dx="26" fmlaLink="$L17" max="55" min="18" page="10" val="18"/>
</file>

<file path=xl/ctrlProps/ctrlProp619.xml><?xml version="1.0" encoding="utf-8"?>
<formControlPr xmlns="http://schemas.microsoft.com/office/spreadsheetml/2009/9/main" objectType="Spin" dx="26" fmlaLink="$L$17" max="55" min="18" page="10" val="18"/>
</file>

<file path=xl/ctrlProps/ctrlProp620.xml><?xml version="1.0" encoding="utf-8"?>
<formControlPr xmlns="http://schemas.microsoft.com/office/spreadsheetml/2009/9/main" objectType="Spin" dx="26" fmlaLink="$L$17" max="55" min="18" page="10" val="18"/>
</file>

<file path=xl/ctrlProps/ctrlProp621.xml><?xml version="1.0" encoding="utf-8"?>
<formControlPr xmlns="http://schemas.microsoft.com/office/spreadsheetml/2009/9/main" objectType="Spin" dx="26" fmlaLink="$L20" max="55" min="18" page="10" val="18"/>
</file>

<file path=xl/ctrlProps/ctrlProp622.xml><?xml version="1.0" encoding="utf-8"?>
<formControlPr xmlns="http://schemas.microsoft.com/office/spreadsheetml/2009/9/main" objectType="Spin" dx="26" fmlaLink="$L17" max="55" min="18" page="10" val="18"/>
</file>

<file path=xl/ctrlProps/ctrlProp623.xml><?xml version="1.0" encoding="utf-8"?>
<formControlPr xmlns="http://schemas.microsoft.com/office/spreadsheetml/2009/9/main" objectType="Spin" dx="26" fmlaLink="$L$17" max="55" min="18" page="10" val="18"/>
</file>

<file path=xl/ctrlProps/ctrlProp624.xml><?xml version="1.0" encoding="utf-8"?>
<formControlPr xmlns="http://schemas.microsoft.com/office/spreadsheetml/2009/9/main" objectType="Spin" dx="26" fmlaLink="$L$17" max="55" min="18" page="10" val="18"/>
</file>

<file path=xl/ctrlProps/ctrlProp625.xml><?xml version="1.0" encoding="utf-8"?>
<formControlPr xmlns="http://schemas.microsoft.com/office/spreadsheetml/2009/9/main" objectType="Spin" dx="26" fmlaLink="$L20" max="55" min="18" page="10" val="18"/>
</file>

<file path=xl/ctrlProps/ctrlProp626.xml><?xml version="1.0" encoding="utf-8"?>
<formControlPr xmlns="http://schemas.microsoft.com/office/spreadsheetml/2009/9/main" objectType="Spin" dx="26" fmlaLink="K20" inc="5" max="30" page="10" val="0"/>
</file>

<file path=xl/ctrlProps/ctrlProp627.xml><?xml version="1.0" encoding="utf-8"?>
<formControlPr xmlns="http://schemas.microsoft.com/office/spreadsheetml/2009/9/main" objectType="Spin" dx="26" fmlaLink="K17" inc="5" max="30" page="10" val="0"/>
</file>

<file path=xl/ctrlProps/ctrlProp628.xml><?xml version="1.0" encoding="utf-8"?>
<formControlPr xmlns="http://schemas.microsoft.com/office/spreadsheetml/2009/9/main" objectType="Spin" dx="26" fmlaLink="K20" inc="5" max="30" page="10" val="0"/>
</file>

<file path=xl/ctrlProps/ctrlProp629.xml><?xml version="1.0" encoding="utf-8"?>
<formControlPr xmlns="http://schemas.microsoft.com/office/spreadsheetml/2009/9/main" objectType="Spin" dx="26" fmlaLink="$L17" max="55" min="18" page="10" val="18"/>
</file>

<file path=xl/ctrlProps/ctrlProp630.xml><?xml version="1.0" encoding="utf-8"?>
<formControlPr xmlns="http://schemas.microsoft.com/office/spreadsheetml/2009/9/main" objectType="Spin" dx="26" fmlaLink="K17" inc="5" max="30" page="10" val="0"/>
</file>

<file path=xl/ctrlProps/ctrlProp631.xml><?xml version="1.0" encoding="utf-8"?>
<formControlPr xmlns="http://schemas.microsoft.com/office/spreadsheetml/2009/9/main" objectType="Spin" dx="26" fmlaLink="K17" inc="5" max="30" page="10" val="0"/>
</file>

<file path=xl/ctrlProps/ctrlProp632.xml><?xml version="1.0" encoding="utf-8"?>
<formControlPr xmlns="http://schemas.microsoft.com/office/spreadsheetml/2009/9/main" objectType="Spin" dx="26" fmlaLink="$L$17" max="55" min="18" page="10" val="18"/>
</file>

<file path=xl/ctrlProps/ctrlProp633.xml><?xml version="1.0" encoding="utf-8"?>
<formControlPr xmlns="http://schemas.microsoft.com/office/spreadsheetml/2009/9/main" objectType="Spin" dx="26" fmlaLink="$L$17" max="55" min="18" page="10" val="18"/>
</file>

<file path=xl/ctrlProps/ctrlProp634.xml><?xml version="1.0" encoding="utf-8"?>
<formControlPr xmlns="http://schemas.microsoft.com/office/spreadsheetml/2009/9/main" objectType="Spin" dx="26" fmlaLink="$L20" max="55" min="18" page="10" val="18"/>
</file>

<file path=xl/ctrlProps/ctrlProp635.xml><?xml version="1.0" encoding="utf-8"?>
<formControlPr xmlns="http://schemas.microsoft.com/office/spreadsheetml/2009/9/main" objectType="Spin" dx="26" fmlaLink="$L17" max="55" min="18" page="10" val="18"/>
</file>

<file path=xl/ctrlProps/ctrlProp636.xml><?xml version="1.0" encoding="utf-8"?>
<formControlPr xmlns="http://schemas.microsoft.com/office/spreadsheetml/2009/9/main" objectType="Spin" dx="26" fmlaLink="$L$17" max="55" min="18" page="10" val="18"/>
</file>

<file path=xl/ctrlProps/ctrlProp637.xml><?xml version="1.0" encoding="utf-8"?>
<formControlPr xmlns="http://schemas.microsoft.com/office/spreadsheetml/2009/9/main" objectType="Spin" dx="26" fmlaLink="$L$17" max="55" min="18" page="10" val="18"/>
</file>

<file path=xl/ctrlProps/ctrlProp638.xml><?xml version="1.0" encoding="utf-8"?>
<formControlPr xmlns="http://schemas.microsoft.com/office/spreadsheetml/2009/9/main" objectType="Spin" dx="26" fmlaLink="$L20" max="55" min="18" page="10" val="18"/>
</file>

<file path=xl/ctrlProps/ctrlProp639.xml><?xml version="1.0" encoding="utf-8"?>
<formControlPr xmlns="http://schemas.microsoft.com/office/spreadsheetml/2009/9/main" objectType="Spin" dx="26" fmlaLink="$L17" max="55" min="18" page="10" val="18"/>
</file>

<file path=xl/ctrlProps/ctrlProp640.xml><?xml version="1.0" encoding="utf-8"?>
<formControlPr xmlns="http://schemas.microsoft.com/office/spreadsheetml/2009/9/main" objectType="Spin" dx="26" fmlaLink="$L$17" max="55" min="18" page="10" val="18"/>
</file>

<file path=xl/ctrlProps/ctrlProp641.xml><?xml version="1.0" encoding="utf-8"?>
<formControlPr xmlns="http://schemas.microsoft.com/office/spreadsheetml/2009/9/main" objectType="Spin" dx="26" fmlaLink="$L$17" max="55" min="18" page="10" val="18"/>
</file>

<file path=xl/ctrlProps/ctrlProp642.xml><?xml version="1.0" encoding="utf-8"?>
<formControlPr xmlns="http://schemas.microsoft.com/office/spreadsheetml/2009/9/main" objectType="Spin" dx="26" fmlaLink="$L20" max="55" min="18" page="10" val="18"/>
</file>

<file path=xl/ctrlProps/ctrlProp643.xml><?xml version="1.0" encoding="utf-8"?>
<formControlPr xmlns="http://schemas.microsoft.com/office/spreadsheetml/2009/9/main" objectType="Spin" dx="26" fmlaLink="$L17" max="55" min="18" page="10" val="18"/>
</file>

<file path=xl/ctrlProps/ctrlProp644.xml><?xml version="1.0" encoding="utf-8"?>
<formControlPr xmlns="http://schemas.microsoft.com/office/spreadsheetml/2009/9/main" objectType="Spin" dx="26" fmlaLink="$L$17" max="55" min="18" page="10" val="18"/>
</file>

<file path=xl/ctrlProps/ctrlProp645.xml><?xml version="1.0" encoding="utf-8"?>
<formControlPr xmlns="http://schemas.microsoft.com/office/spreadsheetml/2009/9/main" objectType="Spin" dx="26" fmlaLink="$L$17" max="55" min="18" page="10" val="18"/>
</file>

<file path=xl/ctrlProps/ctrlProp646.xml><?xml version="1.0" encoding="utf-8"?>
<formControlPr xmlns="http://schemas.microsoft.com/office/spreadsheetml/2009/9/main" objectType="Spin" dx="26" fmlaLink="$L20" max="55" min="18" page="10" val="18"/>
</file>

<file path=xl/ctrlProps/ctrlProp647.xml><?xml version="1.0" encoding="utf-8"?>
<formControlPr xmlns="http://schemas.microsoft.com/office/spreadsheetml/2009/9/main" objectType="Spin" dx="26" fmlaLink="$L17" max="55" min="18" page="10" val="18"/>
</file>

<file path=xl/ctrlProps/ctrlProp648.xml><?xml version="1.0" encoding="utf-8"?>
<formControlPr xmlns="http://schemas.microsoft.com/office/spreadsheetml/2009/9/main" objectType="Spin" dx="26" fmlaLink="$L$17" max="55" min="18" page="10" val="18"/>
</file>

<file path=xl/ctrlProps/ctrlProp649.xml><?xml version="1.0" encoding="utf-8"?>
<formControlPr xmlns="http://schemas.microsoft.com/office/spreadsheetml/2009/9/main" objectType="Spin" dx="26" fmlaLink="$L$17" max="55" min="18" page="10" val="18"/>
</file>

<file path=xl/ctrlProps/ctrlProp650.xml><?xml version="1.0" encoding="utf-8"?>
<formControlPr xmlns="http://schemas.microsoft.com/office/spreadsheetml/2009/9/main" objectType="Spin" dx="26" fmlaLink="$L20" max="55" min="18" page="10" val="18"/>
</file>

<file path=xl/ctrlProps/ctrlProp651.xml><?xml version="1.0" encoding="utf-8"?>
<formControlPr xmlns="http://schemas.microsoft.com/office/spreadsheetml/2009/9/main" objectType="Spin" dx="26" fmlaLink="$L17" max="55" min="18" page="10" val="18"/>
</file>

<file path=xl/ctrlProps/ctrlProp652.xml><?xml version="1.0" encoding="utf-8"?>
<formControlPr xmlns="http://schemas.microsoft.com/office/spreadsheetml/2009/9/main" objectType="Spin" dx="26" fmlaLink="$L$17" max="55" min="18" page="10" val="18"/>
</file>

<file path=xl/ctrlProps/ctrlProp653.xml><?xml version="1.0" encoding="utf-8"?>
<formControlPr xmlns="http://schemas.microsoft.com/office/spreadsheetml/2009/9/main" objectType="Spin" dx="26" fmlaLink="$L$17" max="55" min="18" page="10" val="18"/>
</file>

<file path=xl/ctrlProps/ctrlProp654.xml><?xml version="1.0" encoding="utf-8"?>
<formControlPr xmlns="http://schemas.microsoft.com/office/spreadsheetml/2009/9/main" objectType="Spin" dx="26" fmlaLink="$L20" max="55" min="18" page="10" val="18"/>
</file>

<file path=xl/ctrlProps/ctrlProp655.xml><?xml version="1.0" encoding="utf-8"?>
<formControlPr xmlns="http://schemas.microsoft.com/office/spreadsheetml/2009/9/main" objectType="Spin" dx="26" fmlaLink="$L17" max="55" min="18" page="10" val="18"/>
</file>

<file path=xl/ctrlProps/ctrlProp656.xml><?xml version="1.0" encoding="utf-8"?>
<formControlPr xmlns="http://schemas.microsoft.com/office/spreadsheetml/2009/9/main" objectType="Spin" dx="26" fmlaLink="$L$17" max="55" min="18" page="10" val="18"/>
</file>

<file path=xl/ctrlProps/ctrlProp657.xml><?xml version="1.0" encoding="utf-8"?>
<formControlPr xmlns="http://schemas.microsoft.com/office/spreadsheetml/2009/9/main" objectType="Spin" dx="26" fmlaLink="$L$17" max="55" min="18" page="10" val="18"/>
</file>

<file path=xl/ctrlProps/ctrlProp658.xml><?xml version="1.0" encoding="utf-8"?>
<formControlPr xmlns="http://schemas.microsoft.com/office/spreadsheetml/2009/9/main" objectType="Spin" dx="26" fmlaLink="$L20" max="55" min="18" page="10" val="18"/>
</file>

<file path=xl/ctrlProps/ctrlProp659.xml><?xml version="1.0" encoding="utf-8"?>
<formControlPr xmlns="http://schemas.microsoft.com/office/spreadsheetml/2009/9/main" objectType="Spin" dx="26" fmlaLink="$L17" max="55" min="18" page="10" val="18"/>
</file>

<file path=xl/ctrlProps/ctrlProp660.xml><?xml version="1.0" encoding="utf-8"?>
<formControlPr xmlns="http://schemas.microsoft.com/office/spreadsheetml/2009/9/main" objectType="Spin" dx="26" fmlaLink="$L$17" max="55" min="18" page="10" val="18"/>
</file>

<file path=xl/ctrlProps/ctrlProp661.xml><?xml version="1.0" encoding="utf-8"?>
<formControlPr xmlns="http://schemas.microsoft.com/office/spreadsheetml/2009/9/main" objectType="Spin" dx="26" fmlaLink="$L$17" max="55" min="18" page="10" val="18"/>
</file>

<file path=xl/ctrlProps/ctrlProp662.xml><?xml version="1.0" encoding="utf-8"?>
<formControlPr xmlns="http://schemas.microsoft.com/office/spreadsheetml/2009/9/main" objectType="Spin" dx="26" fmlaLink="$L20" max="55" min="18" page="10" val="18"/>
</file>

<file path=xl/ctrlProps/ctrlProp663.xml><?xml version="1.0" encoding="utf-8"?>
<formControlPr xmlns="http://schemas.microsoft.com/office/spreadsheetml/2009/9/main" objectType="Spin" dx="26" fmlaLink="$L17" max="55" min="18" page="10" val="18"/>
</file>

<file path=xl/ctrlProps/ctrlProp664.xml><?xml version="1.0" encoding="utf-8"?>
<formControlPr xmlns="http://schemas.microsoft.com/office/spreadsheetml/2009/9/main" objectType="Spin" dx="26" fmlaLink="$L$17" max="55" min="18" page="10" val="18"/>
</file>

<file path=xl/ctrlProps/ctrlProp665.xml><?xml version="1.0" encoding="utf-8"?>
<formControlPr xmlns="http://schemas.microsoft.com/office/spreadsheetml/2009/9/main" objectType="Spin" dx="26" fmlaLink="$L$17" max="55" min="18" page="10" val="18"/>
</file>

<file path=xl/ctrlProps/ctrlProp666.xml><?xml version="1.0" encoding="utf-8"?>
<formControlPr xmlns="http://schemas.microsoft.com/office/spreadsheetml/2009/9/main" objectType="Spin" dx="26" fmlaLink="$L20" max="55" min="18" page="10" val="18"/>
</file>

<file path=xl/ctrlProps/ctrlProp667.xml><?xml version="1.0" encoding="utf-8"?>
<formControlPr xmlns="http://schemas.microsoft.com/office/spreadsheetml/2009/9/main" objectType="Spin" dx="26" fmlaLink="K20" inc="5" max="30" page="10" val="0"/>
</file>

<file path=xl/ctrlProps/ctrlProp668.xml><?xml version="1.0" encoding="utf-8"?>
<formControlPr xmlns="http://schemas.microsoft.com/office/spreadsheetml/2009/9/main" objectType="Spin" dx="26" fmlaLink="K17" inc="5" max="30" page="10" val="0"/>
</file>

<file path=xl/ctrlProps/ctrlProp669.xml><?xml version="1.0" encoding="utf-8"?>
<formControlPr xmlns="http://schemas.microsoft.com/office/spreadsheetml/2009/9/main" objectType="Spin" dx="26" fmlaLink="K20" inc="5" max="30" page="10" val="0"/>
</file>

<file path=xl/ctrlProps/ctrlProp670.xml><?xml version="1.0" encoding="utf-8"?>
<formControlPr xmlns="http://schemas.microsoft.com/office/spreadsheetml/2009/9/main" objectType="Spin" dx="26" fmlaLink="$L17" max="55" min="18" page="10" val="18"/>
</file>

<file path=xl/ctrlProps/ctrlProp671.xml><?xml version="1.0" encoding="utf-8"?>
<formControlPr xmlns="http://schemas.microsoft.com/office/spreadsheetml/2009/9/main" objectType="Spin" dx="26" fmlaLink="K17" inc="5" max="30" page="10" val="0"/>
</file>

<file path=xl/ctrlProps/ctrlProp672.xml><?xml version="1.0" encoding="utf-8"?>
<formControlPr xmlns="http://schemas.microsoft.com/office/spreadsheetml/2009/9/main" objectType="Spin" dx="26" fmlaLink="K17" inc="5" max="30" page="10" val="0"/>
</file>

<file path=xl/ctrlProps/ctrlProp673.xml><?xml version="1.0" encoding="utf-8"?>
<formControlPr xmlns="http://schemas.microsoft.com/office/spreadsheetml/2009/9/main" objectType="Spin" dx="26" fmlaLink="$L$17" max="55" min="18" page="10" val="18"/>
</file>

<file path=xl/ctrlProps/ctrlProp674.xml><?xml version="1.0" encoding="utf-8"?>
<formControlPr xmlns="http://schemas.microsoft.com/office/spreadsheetml/2009/9/main" objectType="Spin" dx="26" fmlaLink="$L$17" max="55" min="18" page="10" val="18"/>
</file>

<file path=xl/ctrlProps/ctrlProp675.xml><?xml version="1.0" encoding="utf-8"?>
<formControlPr xmlns="http://schemas.microsoft.com/office/spreadsheetml/2009/9/main" objectType="Spin" dx="26" fmlaLink="$L20" max="55" min="18" page="10" val="18"/>
</file>

<file path=xl/ctrlProps/ctrlProp676.xml><?xml version="1.0" encoding="utf-8"?>
<formControlPr xmlns="http://schemas.microsoft.com/office/spreadsheetml/2009/9/main" objectType="Spin" dx="26" fmlaLink="$L17" max="55" min="18" page="10" val="18"/>
</file>

<file path=xl/ctrlProps/ctrlProp677.xml><?xml version="1.0" encoding="utf-8"?>
<formControlPr xmlns="http://schemas.microsoft.com/office/spreadsheetml/2009/9/main" objectType="Spin" dx="26" fmlaLink="$L$17" max="55" min="18" page="10" val="18"/>
</file>

<file path=xl/ctrlProps/ctrlProp678.xml><?xml version="1.0" encoding="utf-8"?>
<formControlPr xmlns="http://schemas.microsoft.com/office/spreadsheetml/2009/9/main" objectType="Spin" dx="26" fmlaLink="$L$17" max="55" min="18" page="10" val="18"/>
</file>

<file path=xl/ctrlProps/ctrlProp679.xml><?xml version="1.0" encoding="utf-8"?>
<formControlPr xmlns="http://schemas.microsoft.com/office/spreadsheetml/2009/9/main" objectType="Spin" dx="26" fmlaLink="$L20" max="55" min="18" page="10" val="18"/>
</file>

<file path=xl/ctrlProps/ctrlProp680.xml><?xml version="1.0" encoding="utf-8"?>
<formControlPr xmlns="http://schemas.microsoft.com/office/spreadsheetml/2009/9/main" objectType="Spin" dx="26" fmlaLink="$L17" max="55" min="18" page="10" val="18"/>
</file>

<file path=xl/ctrlProps/ctrlProp681.xml><?xml version="1.0" encoding="utf-8"?>
<formControlPr xmlns="http://schemas.microsoft.com/office/spreadsheetml/2009/9/main" objectType="Spin" dx="26" fmlaLink="$L$17" max="55" min="18" page="10" val="18"/>
</file>

<file path=xl/ctrlProps/ctrlProp682.xml><?xml version="1.0" encoding="utf-8"?>
<formControlPr xmlns="http://schemas.microsoft.com/office/spreadsheetml/2009/9/main" objectType="Spin" dx="26" fmlaLink="$L$17" max="55" min="18" page="10" val="18"/>
</file>

<file path=xl/ctrlProps/ctrlProp683.xml><?xml version="1.0" encoding="utf-8"?>
<formControlPr xmlns="http://schemas.microsoft.com/office/spreadsheetml/2009/9/main" objectType="Spin" dx="26" fmlaLink="$L20" max="55" min="18" page="10" val="18"/>
</file>

<file path=xl/ctrlProps/ctrlProp684.xml><?xml version="1.0" encoding="utf-8"?>
<formControlPr xmlns="http://schemas.microsoft.com/office/spreadsheetml/2009/9/main" objectType="Spin" dx="26" fmlaLink="$L17" max="55" min="18" page="10" val="18"/>
</file>

<file path=xl/ctrlProps/ctrlProp685.xml><?xml version="1.0" encoding="utf-8"?>
<formControlPr xmlns="http://schemas.microsoft.com/office/spreadsheetml/2009/9/main" objectType="Spin" dx="26" fmlaLink="$L$17" max="55" min="18" page="10" val="18"/>
</file>

<file path=xl/ctrlProps/ctrlProp686.xml><?xml version="1.0" encoding="utf-8"?>
<formControlPr xmlns="http://schemas.microsoft.com/office/spreadsheetml/2009/9/main" objectType="Spin" dx="26" fmlaLink="$L$17" max="55" min="18" page="10" val="18"/>
</file>

<file path=xl/ctrlProps/ctrlProp687.xml><?xml version="1.0" encoding="utf-8"?>
<formControlPr xmlns="http://schemas.microsoft.com/office/spreadsheetml/2009/9/main" objectType="Spin" dx="26" fmlaLink="$L20" max="55" min="18" page="10" val="18"/>
</file>

<file path=xl/ctrlProps/ctrlProp688.xml><?xml version="1.0" encoding="utf-8"?>
<formControlPr xmlns="http://schemas.microsoft.com/office/spreadsheetml/2009/9/main" objectType="Spin" dx="26" fmlaLink="$L17" max="55" min="18" page="10" val="18"/>
</file>

<file path=xl/ctrlProps/ctrlProp689.xml><?xml version="1.0" encoding="utf-8"?>
<formControlPr xmlns="http://schemas.microsoft.com/office/spreadsheetml/2009/9/main" objectType="Spin" dx="26" fmlaLink="$L$17" max="55" min="18" page="10" val="18"/>
</file>

<file path=xl/ctrlProps/ctrlProp690.xml><?xml version="1.0" encoding="utf-8"?>
<formControlPr xmlns="http://schemas.microsoft.com/office/spreadsheetml/2009/9/main" objectType="Spin" dx="26" fmlaLink="$L$17" max="55" min="18" page="10" val="18"/>
</file>

<file path=xl/ctrlProps/ctrlProp691.xml><?xml version="1.0" encoding="utf-8"?>
<formControlPr xmlns="http://schemas.microsoft.com/office/spreadsheetml/2009/9/main" objectType="Spin" dx="26" fmlaLink="$L20" max="55" min="18" page="10" val="18"/>
</file>

<file path=xl/ctrlProps/ctrlProp692.xml><?xml version="1.0" encoding="utf-8"?>
<formControlPr xmlns="http://schemas.microsoft.com/office/spreadsheetml/2009/9/main" objectType="Spin" dx="26" fmlaLink="$L17" max="55" min="18" page="10" val="18"/>
</file>

<file path=xl/ctrlProps/ctrlProp693.xml><?xml version="1.0" encoding="utf-8"?>
<formControlPr xmlns="http://schemas.microsoft.com/office/spreadsheetml/2009/9/main" objectType="Spin" dx="26" fmlaLink="$L$17" max="55" min="18" page="10" val="18"/>
</file>

<file path=xl/ctrlProps/ctrlProp694.xml><?xml version="1.0" encoding="utf-8"?>
<formControlPr xmlns="http://schemas.microsoft.com/office/spreadsheetml/2009/9/main" objectType="Spin" dx="26" fmlaLink="$L$17" max="55" min="18" page="10" val="18"/>
</file>

<file path=xl/ctrlProps/ctrlProp695.xml><?xml version="1.0" encoding="utf-8"?>
<formControlPr xmlns="http://schemas.microsoft.com/office/spreadsheetml/2009/9/main" objectType="Spin" dx="26" fmlaLink="$L20" max="55" min="18" page="10" val="18"/>
</file>

<file path=xl/ctrlProps/ctrlProp696.xml><?xml version="1.0" encoding="utf-8"?>
<formControlPr xmlns="http://schemas.microsoft.com/office/spreadsheetml/2009/9/main" objectType="Spin" dx="26" fmlaLink="$L17" max="55" min="18" page="10" val="18"/>
</file>

<file path=xl/ctrlProps/ctrlProp697.xml><?xml version="1.0" encoding="utf-8"?>
<formControlPr xmlns="http://schemas.microsoft.com/office/spreadsheetml/2009/9/main" objectType="Spin" dx="26" fmlaLink="$L$17" max="55" min="18" page="10" val="18"/>
</file>

<file path=xl/ctrlProps/ctrlProp698.xml><?xml version="1.0" encoding="utf-8"?>
<formControlPr xmlns="http://schemas.microsoft.com/office/spreadsheetml/2009/9/main" objectType="Spin" dx="26" fmlaLink="$L$17" max="55" min="18" page="10" val="18"/>
</file>

<file path=xl/ctrlProps/ctrlProp699.xml><?xml version="1.0" encoding="utf-8"?>
<formControlPr xmlns="http://schemas.microsoft.com/office/spreadsheetml/2009/9/main" objectType="Spin" dx="26" fmlaLink="$L20" max="55" min="18" page="10" val="18"/>
</file>

<file path=xl/ctrlProps/ctrlProp700.xml><?xml version="1.0" encoding="utf-8"?>
<formControlPr xmlns="http://schemas.microsoft.com/office/spreadsheetml/2009/9/main" objectType="Spin" dx="26" fmlaLink="$L17" max="55" min="18" page="10" val="18"/>
</file>

<file path=xl/ctrlProps/ctrlProp701.xml><?xml version="1.0" encoding="utf-8"?>
<formControlPr xmlns="http://schemas.microsoft.com/office/spreadsheetml/2009/9/main" objectType="Spin" dx="26" fmlaLink="$L$17" max="55" min="18" page="10" val="18"/>
</file>

<file path=xl/ctrlProps/ctrlProp702.xml><?xml version="1.0" encoding="utf-8"?>
<formControlPr xmlns="http://schemas.microsoft.com/office/spreadsheetml/2009/9/main" objectType="Spin" dx="26" fmlaLink="$L$17" max="55" min="18" page="10" val="18"/>
</file>

<file path=xl/ctrlProps/ctrlProp703.xml><?xml version="1.0" encoding="utf-8"?>
<formControlPr xmlns="http://schemas.microsoft.com/office/spreadsheetml/2009/9/main" objectType="Spin" dx="26" fmlaLink="$L20" max="55" min="18" page="10" val="18"/>
</file>

<file path=xl/ctrlProps/ctrlProp704.xml><?xml version="1.0" encoding="utf-8"?>
<formControlPr xmlns="http://schemas.microsoft.com/office/spreadsheetml/2009/9/main" objectType="Spin" dx="26" fmlaLink="$L17" max="55" min="18" page="10" val="18"/>
</file>

<file path=xl/ctrlProps/ctrlProp705.xml><?xml version="1.0" encoding="utf-8"?>
<formControlPr xmlns="http://schemas.microsoft.com/office/spreadsheetml/2009/9/main" objectType="Spin" dx="26" fmlaLink="$L$17" max="55" min="18" page="10" val="18"/>
</file>

<file path=xl/ctrlProps/ctrlProp706.xml><?xml version="1.0" encoding="utf-8"?>
<formControlPr xmlns="http://schemas.microsoft.com/office/spreadsheetml/2009/9/main" objectType="Spin" dx="26" fmlaLink="$L$17" max="55" min="18" page="10" val="18"/>
</file>

<file path=xl/ctrlProps/ctrlProp707.xml><?xml version="1.0" encoding="utf-8"?>
<formControlPr xmlns="http://schemas.microsoft.com/office/spreadsheetml/2009/9/main" objectType="Spin" dx="26" fmlaLink="$L20" max="55" min="18" page="10" val="18"/>
</file>

<file path=xl/ctrlProps/ctrlProp708.xml><?xml version="1.0" encoding="utf-8"?>
<formControlPr xmlns="http://schemas.microsoft.com/office/spreadsheetml/2009/9/main" objectType="Spin" dx="26" fmlaLink="K20" inc="5" max="30" page="10" val="0"/>
</file>

<file path=xl/ctrlProps/ctrlProp709.xml><?xml version="1.0" encoding="utf-8"?>
<formControlPr xmlns="http://schemas.microsoft.com/office/spreadsheetml/2009/9/main" objectType="Spin" dx="26" fmlaLink="K17" inc="5" max="30" page="10" val="0"/>
</file>

<file path=xl/ctrlProps/ctrlProp710.xml><?xml version="1.0" encoding="utf-8"?>
<formControlPr xmlns="http://schemas.microsoft.com/office/spreadsheetml/2009/9/main" objectType="Spin" dx="26" fmlaLink="K20" inc="5" max="30" page="10" val="0"/>
</file>

<file path=xl/ctrlProps/ctrlProp711.xml><?xml version="1.0" encoding="utf-8"?>
<formControlPr xmlns="http://schemas.microsoft.com/office/spreadsheetml/2009/9/main" objectType="Spin" dx="26" fmlaLink="$L17" max="55" min="18" page="10" val="18"/>
</file>

<file path=xl/ctrlProps/ctrlProp712.xml><?xml version="1.0" encoding="utf-8"?>
<formControlPr xmlns="http://schemas.microsoft.com/office/spreadsheetml/2009/9/main" objectType="Spin" dx="26" fmlaLink="K17" inc="5" max="30" page="10" val="0"/>
</file>

<file path=xl/ctrlProps/ctrlProp713.xml><?xml version="1.0" encoding="utf-8"?>
<formControlPr xmlns="http://schemas.microsoft.com/office/spreadsheetml/2009/9/main" objectType="Spin" dx="26" fmlaLink="K17" inc="5" max="30" page="10" val="0"/>
</file>

<file path=xl/ctrlProps/ctrlProp714.xml><?xml version="1.0" encoding="utf-8"?>
<formControlPr xmlns="http://schemas.microsoft.com/office/spreadsheetml/2009/9/main" objectType="Spin" dx="26" fmlaLink="$L$17" max="55" min="18" page="10" val="18"/>
</file>

<file path=xl/ctrlProps/ctrlProp715.xml><?xml version="1.0" encoding="utf-8"?>
<formControlPr xmlns="http://schemas.microsoft.com/office/spreadsheetml/2009/9/main" objectType="Spin" dx="26" fmlaLink="$L$17" max="55" min="18" page="10" val="18"/>
</file>

<file path=xl/ctrlProps/ctrlProp716.xml><?xml version="1.0" encoding="utf-8"?>
<formControlPr xmlns="http://schemas.microsoft.com/office/spreadsheetml/2009/9/main" objectType="Spin" dx="26" fmlaLink="$L20" max="55" min="18" page="10" val="18"/>
</file>

<file path=xl/ctrlProps/ctrlProp717.xml><?xml version="1.0" encoding="utf-8"?>
<formControlPr xmlns="http://schemas.microsoft.com/office/spreadsheetml/2009/9/main" objectType="Spin" dx="26" fmlaLink="$L17" max="55" min="18" page="10" val="18"/>
</file>

<file path=xl/ctrlProps/ctrlProp718.xml><?xml version="1.0" encoding="utf-8"?>
<formControlPr xmlns="http://schemas.microsoft.com/office/spreadsheetml/2009/9/main" objectType="Spin" dx="26" fmlaLink="$L$17" max="55" min="18" page="10" val="18"/>
</file>

<file path=xl/ctrlProps/ctrlProp719.xml><?xml version="1.0" encoding="utf-8"?>
<formControlPr xmlns="http://schemas.microsoft.com/office/spreadsheetml/2009/9/main" objectType="Spin" dx="26" fmlaLink="$L$17" max="55" min="18" page="10" val="18"/>
</file>

<file path=xl/ctrlProps/ctrlProp720.xml><?xml version="1.0" encoding="utf-8"?>
<formControlPr xmlns="http://schemas.microsoft.com/office/spreadsheetml/2009/9/main" objectType="Spin" dx="26" fmlaLink="$L20" max="55" min="18" page="10" val="18"/>
</file>

<file path=xl/ctrlProps/ctrlProp721.xml><?xml version="1.0" encoding="utf-8"?>
<formControlPr xmlns="http://schemas.microsoft.com/office/spreadsheetml/2009/9/main" objectType="Spin" dx="26" fmlaLink="$L17" max="55" min="18" page="10" val="18"/>
</file>

<file path=xl/ctrlProps/ctrlProp722.xml><?xml version="1.0" encoding="utf-8"?>
<formControlPr xmlns="http://schemas.microsoft.com/office/spreadsheetml/2009/9/main" objectType="Spin" dx="26" fmlaLink="$L$17" max="55" min="18" page="10" val="18"/>
</file>

<file path=xl/ctrlProps/ctrlProp723.xml><?xml version="1.0" encoding="utf-8"?>
<formControlPr xmlns="http://schemas.microsoft.com/office/spreadsheetml/2009/9/main" objectType="Spin" dx="26" fmlaLink="$L$17" max="55" min="18" page="10" val="18"/>
</file>

<file path=xl/ctrlProps/ctrlProp724.xml><?xml version="1.0" encoding="utf-8"?>
<formControlPr xmlns="http://schemas.microsoft.com/office/spreadsheetml/2009/9/main" objectType="Spin" dx="26" fmlaLink="$L20" max="55" min="18" page="10" val="18"/>
</file>

<file path=xl/ctrlProps/ctrlProp725.xml><?xml version="1.0" encoding="utf-8"?>
<formControlPr xmlns="http://schemas.microsoft.com/office/spreadsheetml/2009/9/main" objectType="Spin" dx="26" fmlaLink="$L17" max="55" min="18" page="10" val="18"/>
</file>

<file path=xl/ctrlProps/ctrlProp726.xml><?xml version="1.0" encoding="utf-8"?>
<formControlPr xmlns="http://schemas.microsoft.com/office/spreadsheetml/2009/9/main" objectType="Spin" dx="26" fmlaLink="$L$17" max="55" min="18" page="10" val="18"/>
</file>

<file path=xl/ctrlProps/ctrlProp727.xml><?xml version="1.0" encoding="utf-8"?>
<formControlPr xmlns="http://schemas.microsoft.com/office/spreadsheetml/2009/9/main" objectType="Spin" dx="26" fmlaLink="$L$17" max="55" min="18" page="10" val="18"/>
</file>

<file path=xl/ctrlProps/ctrlProp728.xml><?xml version="1.0" encoding="utf-8"?>
<formControlPr xmlns="http://schemas.microsoft.com/office/spreadsheetml/2009/9/main" objectType="Spin" dx="26" fmlaLink="$L20" max="55" min="18" page="10" val="18"/>
</file>

<file path=xl/ctrlProps/ctrlProp729.xml><?xml version="1.0" encoding="utf-8"?>
<formControlPr xmlns="http://schemas.microsoft.com/office/spreadsheetml/2009/9/main" objectType="Spin" dx="26" fmlaLink="$L17" max="55" min="18" page="10" val="18"/>
</file>

<file path=xl/ctrlProps/ctrlProp730.xml><?xml version="1.0" encoding="utf-8"?>
<formControlPr xmlns="http://schemas.microsoft.com/office/spreadsheetml/2009/9/main" objectType="Spin" dx="26" fmlaLink="$L$17" max="55" min="18" page="10" val="18"/>
</file>

<file path=xl/ctrlProps/ctrlProp731.xml><?xml version="1.0" encoding="utf-8"?>
<formControlPr xmlns="http://schemas.microsoft.com/office/spreadsheetml/2009/9/main" objectType="Spin" dx="26" fmlaLink="$L$17" max="55" min="18" page="10" val="18"/>
</file>

<file path=xl/ctrlProps/ctrlProp732.xml><?xml version="1.0" encoding="utf-8"?>
<formControlPr xmlns="http://schemas.microsoft.com/office/spreadsheetml/2009/9/main" objectType="Spin" dx="26" fmlaLink="$L20" max="55" min="18" page="10" val="18"/>
</file>

<file path=xl/ctrlProps/ctrlProp733.xml><?xml version="1.0" encoding="utf-8"?>
<formControlPr xmlns="http://schemas.microsoft.com/office/spreadsheetml/2009/9/main" objectType="Spin" dx="26" fmlaLink="$L17" max="55" min="18" page="10" val="18"/>
</file>

<file path=xl/ctrlProps/ctrlProp734.xml><?xml version="1.0" encoding="utf-8"?>
<formControlPr xmlns="http://schemas.microsoft.com/office/spreadsheetml/2009/9/main" objectType="Spin" dx="26" fmlaLink="$L$17" max="55" min="18" page="10" val="18"/>
</file>

<file path=xl/ctrlProps/ctrlProp735.xml><?xml version="1.0" encoding="utf-8"?>
<formControlPr xmlns="http://schemas.microsoft.com/office/spreadsheetml/2009/9/main" objectType="Spin" dx="26" fmlaLink="$L$17" max="55" min="18" page="10" val="18"/>
</file>

<file path=xl/ctrlProps/ctrlProp736.xml><?xml version="1.0" encoding="utf-8"?>
<formControlPr xmlns="http://schemas.microsoft.com/office/spreadsheetml/2009/9/main" objectType="Spin" dx="26" fmlaLink="$L20" max="55" min="18" page="10" val="18"/>
</file>

<file path=xl/ctrlProps/ctrlProp737.xml><?xml version="1.0" encoding="utf-8"?>
<formControlPr xmlns="http://schemas.microsoft.com/office/spreadsheetml/2009/9/main" objectType="Spin" dx="26" fmlaLink="$L17" max="55" min="18" page="10" val="18"/>
</file>

<file path=xl/ctrlProps/ctrlProp738.xml><?xml version="1.0" encoding="utf-8"?>
<formControlPr xmlns="http://schemas.microsoft.com/office/spreadsheetml/2009/9/main" objectType="Spin" dx="26" fmlaLink="$L$17" max="55" min="18" page="10" val="18"/>
</file>

<file path=xl/ctrlProps/ctrlProp739.xml><?xml version="1.0" encoding="utf-8"?>
<formControlPr xmlns="http://schemas.microsoft.com/office/spreadsheetml/2009/9/main" objectType="Spin" dx="26" fmlaLink="$L$17" max="55" min="18" page="10" val="18"/>
</file>

<file path=xl/ctrlProps/ctrlProp740.xml><?xml version="1.0" encoding="utf-8"?>
<formControlPr xmlns="http://schemas.microsoft.com/office/spreadsheetml/2009/9/main" objectType="Spin" dx="26" fmlaLink="$L20" max="55" min="18" page="10" val="18"/>
</file>

<file path=xl/ctrlProps/ctrlProp741.xml><?xml version="1.0" encoding="utf-8"?>
<formControlPr xmlns="http://schemas.microsoft.com/office/spreadsheetml/2009/9/main" objectType="Spin" dx="26" fmlaLink="$L17" max="55" min="18" page="10" val="18"/>
</file>

<file path=xl/ctrlProps/ctrlProp742.xml><?xml version="1.0" encoding="utf-8"?>
<formControlPr xmlns="http://schemas.microsoft.com/office/spreadsheetml/2009/9/main" objectType="Spin" dx="26" fmlaLink="$L$17" max="55" min="18" page="10" val="18"/>
</file>

<file path=xl/ctrlProps/ctrlProp743.xml><?xml version="1.0" encoding="utf-8"?>
<formControlPr xmlns="http://schemas.microsoft.com/office/spreadsheetml/2009/9/main" objectType="Spin" dx="26" fmlaLink="$L$17" max="55" min="18" page="10" val="18"/>
</file>

<file path=xl/ctrlProps/ctrlProp744.xml><?xml version="1.0" encoding="utf-8"?>
<formControlPr xmlns="http://schemas.microsoft.com/office/spreadsheetml/2009/9/main" objectType="Spin" dx="26" fmlaLink="$L20" max="55" min="18" page="10" val="18"/>
</file>

<file path=xl/ctrlProps/ctrlProp745.xml><?xml version="1.0" encoding="utf-8"?>
<formControlPr xmlns="http://schemas.microsoft.com/office/spreadsheetml/2009/9/main" objectType="Spin" dx="26" fmlaLink="$L17" max="55" min="18" page="10" val="18"/>
</file>

<file path=xl/ctrlProps/ctrlProp746.xml><?xml version="1.0" encoding="utf-8"?>
<formControlPr xmlns="http://schemas.microsoft.com/office/spreadsheetml/2009/9/main" objectType="Spin" dx="26" fmlaLink="$L$17" max="55" min="18" page="10" val="18"/>
</file>

<file path=xl/ctrlProps/ctrlProp747.xml><?xml version="1.0" encoding="utf-8"?>
<formControlPr xmlns="http://schemas.microsoft.com/office/spreadsheetml/2009/9/main" objectType="Spin" dx="26" fmlaLink="$L$17" max="55" min="18" page="10" val="18"/>
</file>

<file path=xl/ctrlProps/ctrlProp748.xml><?xml version="1.0" encoding="utf-8"?>
<formControlPr xmlns="http://schemas.microsoft.com/office/spreadsheetml/2009/9/main" objectType="Spin" dx="26" fmlaLink="$L20" max="55" min="18" page="10" val="18"/>
</file>

<file path=xl/ctrlProps/ctrlProp749.xml><?xml version="1.0" encoding="utf-8"?>
<formControlPr xmlns="http://schemas.microsoft.com/office/spreadsheetml/2009/9/main" objectType="Spin" dx="26" fmlaLink="$L17" max="55" min="18" page="10" val="18"/>
</file>

<file path=xl/ctrlProps/ctrlProp750.xml><?xml version="1.0" encoding="utf-8"?>
<formControlPr xmlns="http://schemas.microsoft.com/office/spreadsheetml/2009/9/main" objectType="Spin" dx="26" fmlaLink="$L$17" max="55" min="18" page="10" val="18"/>
</file>

<file path=xl/ctrlProps/ctrlProp751.xml><?xml version="1.0" encoding="utf-8"?>
<formControlPr xmlns="http://schemas.microsoft.com/office/spreadsheetml/2009/9/main" objectType="Spin" dx="26" fmlaLink="$L$17" max="55" min="18" page="10" val="18"/>
</file>

<file path=xl/ctrlProps/ctrlProp752.xml><?xml version="1.0" encoding="utf-8"?>
<formControlPr xmlns="http://schemas.microsoft.com/office/spreadsheetml/2009/9/main" objectType="Spin" dx="26" fmlaLink="$L20" max="55" min="18" page="10" val="18"/>
</file>

<file path=xl/ctrlProps/ctrlProp753.xml><?xml version="1.0" encoding="utf-8"?>
<formControlPr xmlns="http://schemas.microsoft.com/office/spreadsheetml/2009/9/main" objectType="Spin" dx="26" fmlaLink="$L17" max="55" min="18" page="10" val="18"/>
</file>

<file path=xl/ctrlProps/ctrlProp754.xml><?xml version="1.0" encoding="utf-8"?>
<formControlPr xmlns="http://schemas.microsoft.com/office/spreadsheetml/2009/9/main" objectType="Spin" dx="26" fmlaLink="$L$17" max="55" min="18" page="10" val="18"/>
</file>

<file path=xl/ctrlProps/ctrlProp755.xml><?xml version="1.0" encoding="utf-8"?>
<formControlPr xmlns="http://schemas.microsoft.com/office/spreadsheetml/2009/9/main" objectType="Spin" dx="26" fmlaLink="$L$17" max="55" min="18" page="10" val="18"/>
</file>

<file path=xl/ctrlProps/ctrlProp756.xml><?xml version="1.0" encoding="utf-8"?>
<formControlPr xmlns="http://schemas.microsoft.com/office/spreadsheetml/2009/9/main" objectType="Spin" dx="26" fmlaLink="$L20" max="55" min="18" page="10" val="18"/>
</file>

<file path=xl/ctrlProps/ctrlProp757.xml><?xml version="1.0" encoding="utf-8"?>
<formControlPr xmlns="http://schemas.microsoft.com/office/spreadsheetml/2009/9/main" objectType="Spin" dx="26" fmlaLink="$L17" max="55" min="18" page="10" val="18"/>
</file>

<file path=xl/ctrlProps/ctrlProp758.xml><?xml version="1.0" encoding="utf-8"?>
<formControlPr xmlns="http://schemas.microsoft.com/office/spreadsheetml/2009/9/main" objectType="Spin" dx="26" fmlaLink="$L$17" max="55" min="18" page="10" val="18"/>
</file>

<file path=xl/ctrlProps/ctrlProp759.xml><?xml version="1.0" encoding="utf-8"?>
<formControlPr xmlns="http://schemas.microsoft.com/office/spreadsheetml/2009/9/main" objectType="Spin" dx="26" fmlaLink="$L$17" max="55" min="18" page="10" val="18"/>
</file>

<file path=xl/ctrlProps/ctrlProp760.xml><?xml version="1.0" encoding="utf-8"?>
<formControlPr xmlns="http://schemas.microsoft.com/office/spreadsheetml/2009/9/main" objectType="Spin" dx="26" fmlaLink="$L20" max="55" min="18" page="10" val="18"/>
</file>

<file path=xl/ctrlProps/ctrlProp761.xml><?xml version="1.0" encoding="utf-8"?>
<formControlPr xmlns="http://schemas.microsoft.com/office/spreadsheetml/2009/9/main" objectType="Spin" dx="26" fmlaLink="$L17" max="55" min="18" page="10" val="18"/>
</file>

<file path=xl/ctrlProps/ctrlProp762.xml><?xml version="1.0" encoding="utf-8"?>
<formControlPr xmlns="http://schemas.microsoft.com/office/spreadsheetml/2009/9/main" objectType="Spin" dx="26" fmlaLink="$L$17" max="55" min="18" page="10" val="18"/>
</file>

<file path=xl/ctrlProps/ctrlProp763.xml><?xml version="1.0" encoding="utf-8"?>
<formControlPr xmlns="http://schemas.microsoft.com/office/spreadsheetml/2009/9/main" objectType="Spin" dx="26" fmlaLink="$L$17" max="55" min="18" page="10" val="18"/>
</file>

<file path=xl/ctrlProps/ctrlProp764.xml><?xml version="1.0" encoding="utf-8"?>
<formControlPr xmlns="http://schemas.microsoft.com/office/spreadsheetml/2009/9/main" objectType="Spin" dx="26" fmlaLink="$L20" max="55" min="18" page="10" val="18"/>
</file>

<file path=xl/ctrlProps/ctrlProp765.xml><?xml version="1.0" encoding="utf-8"?>
<formControlPr xmlns="http://schemas.microsoft.com/office/spreadsheetml/2009/9/main" objectType="Spin" dx="26" fmlaLink="$L17" max="55" min="18" page="10" val="18"/>
</file>

<file path=xl/ctrlProps/ctrlProp766.xml><?xml version="1.0" encoding="utf-8"?>
<formControlPr xmlns="http://schemas.microsoft.com/office/spreadsheetml/2009/9/main" objectType="Spin" dx="26" fmlaLink="$L$17" max="55" min="18" page="10" val="18"/>
</file>

<file path=xl/ctrlProps/ctrlProp767.xml><?xml version="1.0" encoding="utf-8"?>
<formControlPr xmlns="http://schemas.microsoft.com/office/spreadsheetml/2009/9/main" objectType="Spin" dx="26" fmlaLink="$L$17" max="55" min="18" page="10" val="18"/>
</file>

<file path=xl/ctrlProps/ctrlProp768.xml><?xml version="1.0" encoding="utf-8"?>
<formControlPr xmlns="http://schemas.microsoft.com/office/spreadsheetml/2009/9/main" objectType="Spin" dx="26" fmlaLink="$L20" max="55" min="18" page="10" val="18"/>
</file>

<file path=xl/ctrlProps/ctrlProp769.xml><?xml version="1.0" encoding="utf-8"?>
<formControlPr xmlns="http://schemas.microsoft.com/office/spreadsheetml/2009/9/main" objectType="Spin" dx="26" fmlaLink="$L17" max="55" min="18" page="10" val="18"/>
</file>

<file path=xl/ctrlProps/ctrlProp770.xml><?xml version="1.0" encoding="utf-8"?>
<formControlPr xmlns="http://schemas.microsoft.com/office/spreadsheetml/2009/9/main" objectType="Spin" dx="26" fmlaLink="$L$17" max="55" min="18" page="10" val="18"/>
</file>

<file path=xl/ctrlProps/ctrlProp771.xml><?xml version="1.0" encoding="utf-8"?>
<formControlPr xmlns="http://schemas.microsoft.com/office/spreadsheetml/2009/9/main" objectType="Spin" dx="26" fmlaLink="$L$17" max="55" min="18" page="10" val="18"/>
</file>

<file path=xl/ctrlProps/ctrlProp772.xml><?xml version="1.0" encoding="utf-8"?>
<formControlPr xmlns="http://schemas.microsoft.com/office/spreadsheetml/2009/9/main" objectType="Spin" dx="26" fmlaLink="$L20" max="55" min="18" page="10" val="18"/>
</file>

<file path=xl/ctrlProps/ctrlProp773.xml><?xml version="1.0" encoding="utf-8"?>
<formControlPr xmlns="http://schemas.microsoft.com/office/spreadsheetml/2009/9/main" objectType="Spin" dx="26" fmlaLink="$L17" max="55" min="18" page="10" val="18"/>
</file>

<file path=xl/ctrlProps/ctrlProp774.xml><?xml version="1.0" encoding="utf-8"?>
<formControlPr xmlns="http://schemas.microsoft.com/office/spreadsheetml/2009/9/main" objectType="Spin" dx="26" fmlaLink="$L$17" max="55" min="18" page="10" val="18"/>
</file>

<file path=xl/ctrlProps/ctrlProp775.xml><?xml version="1.0" encoding="utf-8"?>
<formControlPr xmlns="http://schemas.microsoft.com/office/spreadsheetml/2009/9/main" objectType="Spin" dx="26" fmlaLink="$L$17" max="55" min="18" page="10" val="18"/>
</file>

<file path=xl/ctrlProps/ctrlProp776.xml><?xml version="1.0" encoding="utf-8"?>
<formControlPr xmlns="http://schemas.microsoft.com/office/spreadsheetml/2009/9/main" objectType="Spin" dx="26" fmlaLink="$L20" max="55" min="18" page="10" val="18"/>
</file>

<file path=xl/ctrlProps/ctrlProp777.xml><?xml version="1.0" encoding="utf-8"?>
<formControlPr xmlns="http://schemas.microsoft.com/office/spreadsheetml/2009/9/main" objectType="Spin" dx="26" fmlaLink="$L17" max="55" min="18" page="10" val="18"/>
</file>

<file path=xl/ctrlProps/ctrlProp778.xml><?xml version="1.0" encoding="utf-8"?>
<formControlPr xmlns="http://schemas.microsoft.com/office/spreadsheetml/2009/9/main" objectType="Spin" dx="26" fmlaLink="$L$17" max="55" min="18" page="10" val="18"/>
</file>

<file path=xl/ctrlProps/ctrlProp779.xml><?xml version="1.0" encoding="utf-8"?>
<formControlPr xmlns="http://schemas.microsoft.com/office/spreadsheetml/2009/9/main" objectType="Spin" dx="26" fmlaLink="$L$17" max="55" min="18" page="10" val="18"/>
</file>

<file path=xl/ctrlProps/ctrlProp780.xml><?xml version="1.0" encoding="utf-8"?>
<formControlPr xmlns="http://schemas.microsoft.com/office/spreadsheetml/2009/9/main" objectType="Spin" dx="26" fmlaLink="$L20" max="55" min="18" page="10" val="18"/>
</file>

<file path=xl/ctrlProps/ctrlProp781.xml><?xml version="1.0" encoding="utf-8"?>
<formControlPr xmlns="http://schemas.microsoft.com/office/spreadsheetml/2009/9/main" objectType="Spin" dx="26" fmlaLink="$L17" max="55" min="18" page="10" val="18"/>
</file>

<file path=xl/ctrlProps/ctrlProp782.xml><?xml version="1.0" encoding="utf-8"?>
<formControlPr xmlns="http://schemas.microsoft.com/office/spreadsheetml/2009/9/main" objectType="Spin" dx="26" fmlaLink="$L$17" max="55" min="18" page="10" val="18"/>
</file>

<file path=xl/ctrlProps/ctrlProp783.xml><?xml version="1.0" encoding="utf-8"?>
<formControlPr xmlns="http://schemas.microsoft.com/office/spreadsheetml/2009/9/main" objectType="Spin" dx="26" fmlaLink="$L$17" max="55" min="18" page="10" val="18"/>
</file>

<file path=xl/ctrlProps/ctrlProp784.xml><?xml version="1.0" encoding="utf-8"?>
<formControlPr xmlns="http://schemas.microsoft.com/office/spreadsheetml/2009/9/main" objectType="Spin" dx="26" fmlaLink="$L20" max="55" min="18" page="10" val="18"/>
</file>

<file path=xl/ctrlProps/ctrlProp785.xml><?xml version="1.0" encoding="utf-8"?>
<formControlPr xmlns="http://schemas.microsoft.com/office/spreadsheetml/2009/9/main" objectType="Spin" dx="26" fmlaLink="K20" inc="5" max="30" page="10" val="0"/>
</file>

<file path=xl/ctrlProps/ctrlProp786.xml><?xml version="1.0" encoding="utf-8"?>
<formControlPr xmlns="http://schemas.microsoft.com/office/spreadsheetml/2009/9/main" objectType="Spin" dx="26" fmlaLink="K17" inc="5" max="30" page="10" val="0"/>
</file>

<file path=xl/ctrlProps/ctrlProp787.xml><?xml version="1.0" encoding="utf-8"?>
<formControlPr xmlns="http://schemas.microsoft.com/office/spreadsheetml/2009/9/main" objectType="Spin" dx="26" fmlaLink="K20" inc="5" max="30" page="10" val="0"/>
</file>

<file path=xl/ctrlProps/ctrlProp788.xml><?xml version="1.0" encoding="utf-8"?>
<formControlPr xmlns="http://schemas.microsoft.com/office/spreadsheetml/2009/9/main" objectType="Spin" dx="26" fmlaLink="$L17" max="55" min="18" page="10" val="18"/>
</file>

<file path=xl/ctrlProps/ctrlProp789.xml><?xml version="1.0" encoding="utf-8"?>
<formControlPr xmlns="http://schemas.microsoft.com/office/spreadsheetml/2009/9/main" objectType="Spin" dx="26" fmlaLink="K17" inc="5" max="30" page="10" val="0"/>
</file>

<file path=xl/ctrlProps/ctrlProp790.xml><?xml version="1.0" encoding="utf-8"?>
<formControlPr xmlns="http://schemas.microsoft.com/office/spreadsheetml/2009/9/main" objectType="Spin" dx="26" fmlaLink="K17" inc="5" max="30" page="10" val="0"/>
</file>

<file path=xl/ctrlProps/ctrlProp791.xml><?xml version="1.0" encoding="utf-8"?>
<formControlPr xmlns="http://schemas.microsoft.com/office/spreadsheetml/2009/9/main" objectType="Spin" dx="26" fmlaLink="$L$17" max="55" min="18" page="10" val="18"/>
</file>

<file path=xl/ctrlProps/ctrlProp792.xml><?xml version="1.0" encoding="utf-8"?>
<formControlPr xmlns="http://schemas.microsoft.com/office/spreadsheetml/2009/9/main" objectType="Spin" dx="26" fmlaLink="$L$17" max="55" min="18" page="10" val="18"/>
</file>

<file path=xl/ctrlProps/ctrlProp793.xml><?xml version="1.0" encoding="utf-8"?>
<formControlPr xmlns="http://schemas.microsoft.com/office/spreadsheetml/2009/9/main" objectType="Spin" dx="26" fmlaLink="$L20" max="55" min="18" page="10" val="18"/>
</file>

<file path=xl/ctrlProps/ctrlProp794.xml><?xml version="1.0" encoding="utf-8"?>
<formControlPr xmlns="http://schemas.microsoft.com/office/spreadsheetml/2009/9/main" objectType="Spin" dx="26" fmlaLink="$L17" max="55" min="18" page="10" val="18"/>
</file>

<file path=xl/ctrlProps/ctrlProp795.xml><?xml version="1.0" encoding="utf-8"?>
<formControlPr xmlns="http://schemas.microsoft.com/office/spreadsheetml/2009/9/main" objectType="Spin" dx="26" fmlaLink="$L$17" max="55" min="18" page="10" val="18"/>
</file>

<file path=xl/ctrlProps/ctrlProp796.xml><?xml version="1.0" encoding="utf-8"?>
<formControlPr xmlns="http://schemas.microsoft.com/office/spreadsheetml/2009/9/main" objectType="Spin" dx="26" fmlaLink="$L$17" max="55" min="18" page="10" val="18"/>
</file>

<file path=xl/ctrlProps/ctrlProp797.xml><?xml version="1.0" encoding="utf-8"?>
<formControlPr xmlns="http://schemas.microsoft.com/office/spreadsheetml/2009/9/main" objectType="Spin" dx="26" fmlaLink="$L20" max="55" min="18" page="10" val="18"/>
</file>

<file path=xl/ctrlProps/ctrlProp798.xml><?xml version="1.0" encoding="utf-8"?>
<formControlPr xmlns="http://schemas.microsoft.com/office/spreadsheetml/2009/9/main" objectType="Spin" dx="26" fmlaLink="$L17" max="55" min="18" page="10" val="18"/>
</file>

<file path=xl/ctrlProps/ctrlProp799.xml><?xml version="1.0" encoding="utf-8"?>
<formControlPr xmlns="http://schemas.microsoft.com/office/spreadsheetml/2009/9/main" objectType="Spin" dx="26" fmlaLink="$L$17" max="55" min="18" page="10" val="18"/>
</file>

<file path=xl/ctrlProps/ctrlProp800.xml><?xml version="1.0" encoding="utf-8"?>
<formControlPr xmlns="http://schemas.microsoft.com/office/spreadsheetml/2009/9/main" objectType="Spin" dx="26" fmlaLink="$L$17" max="55" min="18" page="10" val="18"/>
</file>

<file path=xl/ctrlProps/ctrlProp801.xml><?xml version="1.0" encoding="utf-8"?>
<formControlPr xmlns="http://schemas.microsoft.com/office/spreadsheetml/2009/9/main" objectType="Spin" dx="26" fmlaLink="$L20" max="55" min="18" page="10" val="18"/>
</file>

<file path=xl/ctrlProps/ctrlProp802.xml><?xml version="1.0" encoding="utf-8"?>
<formControlPr xmlns="http://schemas.microsoft.com/office/spreadsheetml/2009/9/main" objectType="Spin" dx="26" fmlaLink="$L17" max="55" min="18" page="10" val="18"/>
</file>

<file path=xl/ctrlProps/ctrlProp803.xml><?xml version="1.0" encoding="utf-8"?>
<formControlPr xmlns="http://schemas.microsoft.com/office/spreadsheetml/2009/9/main" objectType="Spin" dx="26" fmlaLink="$L$17" max="55" min="18" page="10" val="18"/>
</file>

<file path=xl/ctrlProps/ctrlProp804.xml><?xml version="1.0" encoding="utf-8"?>
<formControlPr xmlns="http://schemas.microsoft.com/office/spreadsheetml/2009/9/main" objectType="Spin" dx="26" fmlaLink="$L$17" max="55" min="18" page="10" val="18"/>
</file>

<file path=xl/ctrlProps/ctrlProp805.xml><?xml version="1.0" encoding="utf-8"?>
<formControlPr xmlns="http://schemas.microsoft.com/office/spreadsheetml/2009/9/main" objectType="Spin" dx="26" fmlaLink="$L20" max="55" min="18" page="10" val="18"/>
</file>

<file path=xl/ctrlProps/ctrlProp806.xml><?xml version="1.0" encoding="utf-8"?>
<formControlPr xmlns="http://schemas.microsoft.com/office/spreadsheetml/2009/9/main" objectType="Spin" dx="26" fmlaLink="$L17" max="55" min="18" page="10" val="18"/>
</file>

<file path=xl/ctrlProps/ctrlProp807.xml><?xml version="1.0" encoding="utf-8"?>
<formControlPr xmlns="http://schemas.microsoft.com/office/spreadsheetml/2009/9/main" objectType="Spin" dx="26" fmlaLink="$L$17" max="55" min="18" page="10" val="18"/>
</file>

<file path=xl/ctrlProps/ctrlProp808.xml><?xml version="1.0" encoding="utf-8"?>
<formControlPr xmlns="http://schemas.microsoft.com/office/spreadsheetml/2009/9/main" objectType="Spin" dx="26" fmlaLink="$L$17" max="55" min="18" page="10" val="18"/>
</file>

<file path=xl/ctrlProps/ctrlProp809.xml><?xml version="1.0" encoding="utf-8"?>
<formControlPr xmlns="http://schemas.microsoft.com/office/spreadsheetml/2009/9/main" objectType="Spin" dx="26" fmlaLink="$L20" max="55" min="18" page="10" val="18"/>
</file>

<file path=xl/ctrlProps/ctrlProp810.xml><?xml version="1.0" encoding="utf-8"?>
<formControlPr xmlns="http://schemas.microsoft.com/office/spreadsheetml/2009/9/main" objectType="Spin" dx="26" fmlaLink="$L17" max="55" min="18" page="10" val="18"/>
</file>

<file path=xl/ctrlProps/ctrlProp811.xml><?xml version="1.0" encoding="utf-8"?>
<formControlPr xmlns="http://schemas.microsoft.com/office/spreadsheetml/2009/9/main" objectType="Spin" dx="26" fmlaLink="$L$17" max="55" min="18" page="10" val="18"/>
</file>

<file path=xl/ctrlProps/ctrlProp812.xml><?xml version="1.0" encoding="utf-8"?>
<formControlPr xmlns="http://schemas.microsoft.com/office/spreadsheetml/2009/9/main" objectType="Spin" dx="26" fmlaLink="$L$17" max="55" min="18" page="10" val="18"/>
</file>

<file path=xl/ctrlProps/ctrlProp813.xml><?xml version="1.0" encoding="utf-8"?>
<formControlPr xmlns="http://schemas.microsoft.com/office/spreadsheetml/2009/9/main" objectType="Spin" dx="26" fmlaLink="$L20" max="55" min="18" page="10" val="18"/>
</file>

<file path=xl/ctrlProps/ctrlProp814.xml><?xml version="1.0" encoding="utf-8"?>
<formControlPr xmlns="http://schemas.microsoft.com/office/spreadsheetml/2009/9/main" objectType="Spin" dx="26" fmlaLink="$L17" max="55" min="18" page="10" val="18"/>
</file>

<file path=xl/ctrlProps/ctrlProp815.xml><?xml version="1.0" encoding="utf-8"?>
<formControlPr xmlns="http://schemas.microsoft.com/office/spreadsheetml/2009/9/main" objectType="Spin" dx="26" fmlaLink="$L$17" max="55" min="18" page="10" val="18"/>
</file>

<file path=xl/ctrlProps/ctrlProp816.xml><?xml version="1.0" encoding="utf-8"?>
<formControlPr xmlns="http://schemas.microsoft.com/office/spreadsheetml/2009/9/main" objectType="Spin" dx="26" fmlaLink="$L$17" max="55" min="18" page="10" val="18"/>
</file>

<file path=xl/ctrlProps/ctrlProp817.xml><?xml version="1.0" encoding="utf-8"?>
<formControlPr xmlns="http://schemas.microsoft.com/office/spreadsheetml/2009/9/main" objectType="Spin" dx="26" fmlaLink="$L20" max="55" min="18" page="10" val="18"/>
</file>

<file path=xl/ctrlProps/ctrlProp818.xml><?xml version="1.0" encoding="utf-8"?>
<formControlPr xmlns="http://schemas.microsoft.com/office/spreadsheetml/2009/9/main" objectType="Spin" dx="26" fmlaLink="$L17" max="55" min="18" page="10" val="18"/>
</file>

<file path=xl/ctrlProps/ctrlProp819.xml><?xml version="1.0" encoding="utf-8"?>
<formControlPr xmlns="http://schemas.microsoft.com/office/spreadsheetml/2009/9/main" objectType="Spin" dx="26" fmlaLink="$L$17" max="55" min="18" page="10" val="18"/>
</file>

<file path=xl/ctrlProps/ctrlProp820.xml><?xml version="1.0" encoding="utf-8"?>
<formControlPr xmlns="http://schemas.microsoft.com/office/spreadsheetml/2009/9/main" objectType="Spin" dx="26" fmlaLink="$L$17" max="55" min="18" page="10" val="18"/>
</file>

<file path=xl/ctrlProps/ctrlProp821.xml><?xml version="1.0" encoding="utf-8"?>
<formControlPr xmlns="http://schemas.microsoft.com/office/spreadsheetml/2009/9/main" objectType="Spin" dx="26" fmlaLink="$L20" max="55" min="18" page="10" val="18"/>
</file>

<file path=xl/ctrlProps/ctrlProp822.xml><?xml version="1.0" encoding="utf-8"?>
<formControlPr xmlns="http://schemas.microsoft.com/office/spreadsheetml/2009/9/main" objectType="Spin" dx="26" fmlaLink="$L17" max="55" min="18" page="10" val="18"/>
</file>

<file path=xl/ctrlProps/ctrlProp823.xml><?xml version="1.0" encoding="utf-8"?>
<formControlPr xmlns="http://schemas.microsoft.com/office/spreadsheetml/2009/9/main" objectType="Spin" dx="26" fmlaLink="$L$17" max="55" min="18" page="10" val="18"/>
</file>

<file path=xl/ctrlProps/ctrlProp824.xml><?xml version="1.0" encoding="utf-8"?>
<formControlPr xmlns="http://schemas.microsoft.com/office/spreadsheetml/2009/9/main" objectType="Spin" dx="26" fmlaLink="$L$17" max="55" min="18" page="10" val="18"/>
</file>

<file path=xl/ctrlProps/ctrlProp825.xml><?xml version="1.0" encoding="utf-8"?>
<formControlPr xmlns="http://schemas.microsoft.com/office/spreadsheetml/2009/9/main" objectType="Spin" dx="26" fmlaLink="$L20" max="55" min="18" page="10" val="18"/>
</file>

<file path=xl/ctrlProps/ctrlProp826.xml><?xml version="1.0" encoding="utf-8"?>
<formControlPr xmlns="http://schemas.microsoft.com/office/spreadsheetml/2009/9/main" objectType="Spin" dx="26" fmlaLink="$L17" max="55" min="18" page="10" val="18"/>
</file>

<file path=xl/ctrlProps/ctrlProp827.xml><?xml version="1.0" encoding="utf-8"?>
<formControlPr xmlns="http://schemas.microsoft.com/office/spreadsheetml/2009/9/main" objectType="Spin" dx="26" fmlaLink="$L$17" max="55" min="18" page="10" val="18"/>
</file>

<file path=xl/ctrlProps/ctrlProp828.xml><?xml version="1.0" encoding="utf-8"?>
<formControlPr xmlns="http://schemas.microsoft.com/office/spreadsheetml/2009/9/main" objectType="Spin" dx="26" fmlaLink="$L$17" max="55" min="18" page="10" val="18"/>
</file>

<file path=xl/ctrlProps/ctrlProp829.xml><?xml version="1.0" encoding="utf-8"?>
<formControlPr xmlns="http://schemas.microsoft.com/office/spreadsheetml/2009/9/main" objectType="Spin" dx="26" fmlaLink="$L20" max="55" min="18" page="10" val="18"/>
</file>

<file path=xl/ctrlProps/ctrlProp830.xml><?xml version="1.0" encoding="utf-8"?>
<formControlPr xmlns="http://schemas.microsoft.com/office/spreadsheetml/2009/9/main" objectType="Spin" dx="26" fmlaLink="$L17" max="55" min="18" page="10" val="18"/>
</file>

<file path=xl/ctrlProps/ctrlProp831.xml><?xml version="1.0" encoding="utf-8"?>
<formControlPr xmlns="http://schemas.microsoft.com/office/spreadsheetml/2009/9/main" objectType="Spin" dx="26" fmlaLink="$L$17" max="55" min="18" page="10" val="18"/>
</file>

<file path=xl/ctrlProps/ctrlProp832.xml><?xml version="1.0" encoding="utf-8"?>
<formControlPr xmlns="http://schemas.microsoft.com/office/spreadsheetml/2009/9/main" objectType="Spin" dx="26" fmlaLink="$L$17" max="55" min="18" page="10" val="18"/>
</file>

<file path=xl/ctrlProps/ctrlProp833.xml><?xml version="1.0" encoding="utf-8"?>
<formControlPr xmlns="http://schemas.microsoft.com/office/spreadsheetml/2009/9/main" objectType="Spin" dx="26" fmlaLink="$L20" max="55" min="18" page="10" val="18"/>
</file>

<file path=xl/ctrlProps/ctrlProp834.xml><?xml version="1.0" encoding="utf-8"?>
<formControlPr xmlns="http://schemas.microsoft.com/office/spreadsheetml/2009/9/main" objectType="Spin" dx="26" fmlaLink="$L17" max="55" min="18" page="10" val="18"/>
</file>

<file path=xl/ctrlProps/ctrlProp835.xml><?xml version="1.0" encoding="utf-8"?>
<formControlPr xmlns="http://schemas.microsoft.com/office/spreadsheetml/2009/9/main" objectType="Spin" dx="26" fmlaLink="$L$17" max="55" min="18" page="10" val="18"/>
</file>

<file path=xl/ctrlProps/ctrlProp836.xml><?xml version="1.0" encoding="utf-8"?>
<formControlPr xmlns="http://schemas.microsoft.com/office/spreadsheetml/2009/9/main" objectType="Spin" dx="26" fmlaLink="$L$17" max="55" min="18" page="10" val="18"/>
</file>

<file path=xl/ctrlProps/ctrlProp837.xml><?xml version="1.0" encoding="utf-8"?>
<formControlPr xmlns="http://schemas.microsoft.com/office/spreadsheetml/2009/9/main" objectType="Spin" dx="26" fmlaLink="$L20" max="55" min="18" page="10" val="18"/>
</file>

<file path=xl/ctrlProps/ctrlProp838.xml><?xml version="1.0" encoding="utf-8"?>
<formControlPr xmlns="http://schemas.microsoft.com/office/spreadsheetml/2009/9/main" objectType="Spin" dx="26" fmlaLink="$L17" max="55" min="18" page="10" val="18"/>
</file>

<file path=xl/ctrlProps/ctrlProp839.xml><?xml version="1.0" encoding="utf-8"?>
<formControlPr xmlns="http://schemas.microsoft.com/office/spreadsheetml/2009/9/main" objectType="Spin" dx="26" fmlaLink="$L$17" max="55" min="18" page="10" val="18"/>
</file>

<file path=xl/ctrlProps/ctrlProp840.xml><?xml version="1.0" encoding="utf-8"?>
<formControlPr xmlns="http://schemas.microsoft.com/office/spreadsheetml/2009/9/main" objectType="Spin" dx="26" fmlaLink="$L$17" max="55" min="18" page="10" val="18"/>
</file>

<file path=xl/ctrlProps/ctrlProp841.xml><?xml version="1.0" encoding="utf-8"?>
<formControlPr xmlns="http://schemas.microsoft.com/office/spreadsheetml/2009/9/main" objectType="Spin" dx="26" fmlaLink="$L20" max="55" min="18" page="10" val="18"/>
</file>

<file path=xl/ctrlProps/ctrlProp842.xml><?xml version="1.0" encoding="utf-8"?>
<formControlPr xmlns="http://schemas.microsoft.com/office/spreadsheetml/2009/9/main" objectType="Spin" dx="26" fmlaLink="$L17" max="55" min="18" page="10" val="18"/>
</file>

<file path=xl/ctrlProps/ctrlProp843.xml><?xml version="1.0" encoding="utf-8"?>
<formControlPr xmlns="http://schemas.microsoft.com/office/spreadsheetml/2009/9/main" objectType="Spin" dx="26" fmlaLink="$L$17" max="55" min="18" page="10" val="18"/>
</file>

<file path=xl/ctrlProps/ctrlProp844.xml><?xml version="1.0" encoding="utf-8"?>
<formControlPr xmlns="http://schemas.microsoft.com/office/spreadsheetml/2009/9/main" objectType="Spin" dx="26" fmlaLink="$L$17" max="55" min="18" page="10" val="18"/>
</file>

<file path=xl/ctrlProps/ctrlProp845.xml><?xml version="1.0" encoding="utf-8"?>
<formControlPr xmlns="http://schemas.microsoft.com/office/spreadsheetml/2009/9/main" objectType="Spin" dx="26" fmlaLink="$L20" max="55" min="18" page="10" val="18"/>
</file>

<file path=xl/ctrlProps/ctrlProp846.xml><?xml version="1.0" encoding="utf-8"?>
<formControlPr xmlns="http://schemas.microsoft.com/office/spreadsheetml/2009/9/main" objectType="Spin" dx="26" fmlaLink="$L17" max="55" min="18" page="10" val="18"/>
</file>

<file path=xl/ctrlProps/ctrlProp847.xml><?xml version="1.0" encoding="utf-8"?>
<formControlPr xmlns="http://schemas.microsoft.com/office/spreadsheetml/2009/9/main" objectType="Spin" dx="26" fmlaLink="$L$17" max="55" min="18" page="10" val="18"/>
</file>

<file path=xl/ctrlProps/ctrlProp848.xml><?xml version="1.0" encoding="utf-8"?>
<formControlPr xmlns="http://schemas.microsoft.com/office/spreadsheetml/2009/9/main" objectType="Spin" dx="26" fmlaLink="$L$17" max="55" min="18" page="10" val="18"/>
</file>

<file path=xl/ctrlProps/ctrlProp849.xml><?xml version="1.0" encoding="utf-8"?>
<formControlPr xmlns="http://schemas.microsoft.com/office/spreadsheetml/2009/9/main" objectType="Spin" dx="26" fmlaLink="$L20" max="55" min="18" page="10" val="18"/>
</file>

<file path=xl/ctrlProps/ctrlProp850.xml><?xml version="1.0" encoding="utf-8"?>
<formControlPr xmlns="http://schemas.microsoft.com/office/spreadsheetml/2009/9/main" objectType="Spin" dx="26" fmlaLink="$L17" max="55" min="18" page="10" val="18"/>
</file>

<file path=xl/ctrlProps/ctrlProp851.xml><?xml version="1.0" encoding="utf-8"?>
<formControlPr xmlns="http://schemas.microsoft.com/office/spreadsheetml/2009/9/main" objectType="Spin" dx="26" fmlaLink="$L$17" max="55" min="18" page="10" val="18"/>
</file>

<file path=xl/ctrlProps/ctrlProp852.xml><?xml version="1.0" encoding="utf-8"?>
<formControlPr xmlns="http://schemas.microsoft.com/office/spreadsheetml/2009/9/main" objectType="Spin" dx="26" fmlaLink="$L$17" max="55" min="18" page="10" val="18"/>
</file>

<file path=xl/ctrlProps/ctrlProp853.xml><?xml version="1.0" encoding="utf-8"?>
<formControlPr xmlns="http://schemas.microsoft.com/office/spreadsheetml/2009/9/main" objectType="Spin" dx="26" fmlaLink="$L20" max="55" min="18" page="10" val="18"/>
</file>

<file path=xl/ctrlProps/ctrlProp854.xml><?xml version="1.0" encoding="utf-8"?>
<formControlPr xmlns="http://schemas.microsoft.com/office/spreadsheetml/2009/9/main" objectType="Spin" dx="26" fmlaLink="$L17" max="55" min="18" page="10" val="18"/>
</file>

<file path=xl/ctrlProps/ctrlProp855.xml><?xml version="1.0" encoding="utf-8"?>
<formControlPr xmlns="http://schemas.microsoft.com/office/spreadsheetml/2009/9/main" objectType="Spin" dx="26" fmlaLink="$L$17" max="55" min="18" page="10" val="18"/>
</file>

<file path=xl/ctrlProps/ctrlProp856.xml><?xml version="1.0" encoding="utf-8"?>
<formControlPr xmlns="http://schemas.microsoft.com/office/spreadsheetml/2009/9/main" objectType="Spin" dx="26" fmlaLink="$L$17" max="55" min="18" page="10" val="18"/>
</file>

<file path=xl/ctrlProps/ctrlProp857.xml><?xml version="1.0" encoding="utf-8"?>
<formControlPr xmlns="http://schemas.microsoft.com/office/spreadsheetml/2009/9/main" objectType="Spin" dx="26" fmlaLink="$L20" max="55" min="18" page="10" val="18"/>
</file>

<file path=xl/ctrlProps/ctrlProp858.xml><?xml version="1.0" encoding="utf-8"?>
<formControlPr xmlns="http://schemas.microsoft.com/office/spreadsheetml/2009/9/main" objectType="Spin" dx="26" fmlaLink="$L17" max="55" min="18" page="10" val="18"/>
</file>

<file path=xl/ctrlProps/ctrlProp859.xml><?xml version="1.0" encoding="utf-8"?>
<formControlPr xmlns="http://schemas.microsoft.com/office/spreadsheetml/2009/9/main" objectType="Spin" dx="26" fmlaLink="$L$17" max="55" min="18" page="10" val="18"/>
</file>

<file path=xl/ctrlProps/ctrlProp860.xml><?xml version="1.0" encoding="utf-8"?>
<formControlPr xmlns="http://schemas.microsoft.com/office/spreadsheetml/2009/9/main" objectType="Spin" dx="26" fmlaLink="$L$17" max="55" min="18" page="10" val="18"/>
</file>

<file path=xl/ctrlProps/ctrlProp861.xml><?xml version="1.0" encoding="utf-8"?>
<formControlPr xmlns="http://schemas.microsoft.com/office/spreadsheetml/2009/9/main" objectType="Spin" dx="26" fmlaLink="$L20" max="55" min="18" page="10" val="18"/>
</file>

<file path=xl/ctrlProps/ctrlProp862.xml><?xml version="1.0" encoding="utf-8"?>
<formControlPr xmlns="http://schemas.microsoft.com/office/spreadsheetml/2009/9/main" objectType="Spin" dx="26" fmlaLink="K20" inc="5" max="30" page="10" val="0"/>
</file>

<file path=xl/ctrlProps/ctrlProp863.xml><?xml version="1.0" encoding="utf-8"?>
<formControlPr xmlns="http://schemas.microsoft.com/office/spreadsheetml/2009/9/main" objectType="Spin" dx="26" fmlaLink="K17" inc="5" max="30" page="10" val="0"/>
</file>

<file path=xl/ctrlProps/ctrlProp864.xml><?xml version="1.0" encoding="utf-8"?>
<formControlPr xmlns="http://schemas.microsoft.com/office/spreadsheetml/2009/9/main" objectType="Spin" dx="26" fmlaLink="K20" inc="5" max="30" page="10" val="0"/>
</file>

<file path=xl/ctrlProps/ctrlProp865.xml><?xml version="1.0" encoding="utf-8"?>
<formControlPr xmlns="http://schemas.microsoft.com/office/spreadsheetml/2009/9/main" objectType="Spin" dx="26" fmlaLink="$L17" max="55" min="18" page="10" val="18"/>
</file>

<file path=xl/ctrlProps/ctrlProp866.xml><?xml version="1.0" encoding="utf-8"?>
<formControlPr xmlns="http://schemas.microsoft.com/office/spreadsheetml/2009/9/main" objectType="Spin" dx="26" fmlaLink="K17" inc="5" max="30" page="10" val="0"/>
</file>

<file path=xl/ctrlProps/ctrlProp867.xml><?xml version="1.0" encoding="utf-8"?>
<formControlPr xmlns="http://schemas.microsoft.com/office/spreadsheetml/2009/9/main" objectType="Spin" dx="26" fmlaLink="K17" inc="5" max="30" page="10" val="0"/>
</file>

<file path=xl/ctrlProps/ctrlProp868.xml><?xml version="1.0" encoding="utf-8"?>
<formControlPr xmlns="http://schemas.microsoft.com/office/spreadsheetml/2009/9/main" objectType="Spin" dx="26" fmlaLink="$L$17" max="55" min="18" page="10" val="18"/>
</file>

<file path=xl/ctrlProps/ctrlProp869.xml><?xml version="1.0" encoding="utf-8"?>
<formControlPr xmlns="http://schemas.microsoft.com/office/spreadsheetml/2009/9/main" objectType="Spin" dx="26" fmlaLink="$L$17" max="55" min="18" page="10" val="18"/>
</file>

<file path=xl/ctrlProps/ctrlProp870.xml><?xml version="1.0" encoding="utf-8"?>
<formControlPr xmlns="http://schemas.microsoft.com/office/spreadsheetml/2009/9/main" objectType="Spin" dx="26" fmlaLink="$L20" max="55" min="18" page="10" val="18"/>
</file>

<file path=xl/ctrlProps/ctrlProp871.xml><?xml version="1.0" encoding="utf-8"?>
<formControlPr xmlns="http://schemas.microsoft.com/office/spreadsheetml/2009/9/main" objectType="Spin" dx="26" fmlaLink="$L17" max="55" min="18" page="10" val="18"/>
</file>

<file path=xl/ctrlProps/ctrlProp872.xml><?xml version="1.0" encoding="utf-8"?>
<formControlPr xmlns="http://schemas.microsoft.com/office/spreadsheetml/2009/9/main" objectType="Spin" dx="26" fmlaLink="$L$17" max="55" min="18" page="10" val="18"/>
</file>

<file path=xl/ctrlProps/ctrlProp873.xml><?xml version="1.0" encoding="utf-8"?>
<formControlPr xmlns="http://schemas.microsoft.com/office/spreadsheetml/2009/9/main" objectType="Spin" dx="26" fmlaLink="$L$17" max="55" min="18" page="10" val="18"/>
</file>

<file path=xl/ctrlProps/ctrlProp874.xml><?xml version="1.0" encoding="utf-8"?>
<formControlPr xmlns="http://schemas.microsoft.com/office/spreadsheetml/2009/9/main" objectType="Spin" dx="26" fmlaLink="$L20" max="55" min="18" page="10" val="18"/>
</file>

<file path=xl/ctrlProps/ctrlProp875.xml><?xml version="1.0" encoding="utf-8"?>
<formControlPr xmlns="http://schemas.microsoft.com/office/spreadsheetml/2009/9/main" objectType="Spin" dx="26" fmlaLink="$L17" max="55" min="18" page="10" val="18"/>
</file>

<file path=xl/ctrlProps/ctrlProp876.xml><?xml version="1.0" encoding="utf-8"?>
<formControlPr xmlns="http://schemas.microsoft.com/office/spreadsheetml/2009/9/main" objectType="Spin" dx="26" fmlaLink="$L$17" max="55" min="18" page="10" val="18"/>
</file>

<file path=xl/ctrlProps/ctrlProp877.xml><?xml version="1.0" encoding="utf-8"?>
<formControlPr xmlns="http://schemas.microsoft.com/office/spreadsheetml/2009/9/main" objectType="Spin" dx="26" fmlaLink="$L$17" max="55" min="18" page="10" val="18"/>
</file>

<file path=xl/ctrlProps/ctrlProp878.xml><?xml version="1.0" encoding="utf-8"?>
<formControlPr xmlns="http://schemas.microsoft.com/office/spreadsheetml/2009/9/main" objectType="Spin" dx="26" fmlaLink="$L20" max="55" min="18" page="10" val="18"/>
</file>

<file path=xl/ctrlProps/ctrlProp879.xml><?xml version="1.0" encoding="utf-8"?>
<formControlPr xmlns="http://schemas.microsoft.com/office/spreadsheetml/2009/9/main" objectType="Spin" dx="26" fmlaLink="$L17" max="55" min="18" page="10" val="18"/>
</file>

<file path=xl/ctrlProps/ctrlProp880.xml><?xml version="1.0" encoding="utf-8"?>
<formControlPr xmlns="http://schemas.microsoft.com/office/spreadsheetml/2009/9/main" objectType="Spin" dx="26" fmlaLink="$L$17" max="55" min="18" page="10" val="18"/>
</file>

<file path=xl/ctrlProps/ctrlProp881.xml><?xml version="1.0" encoding="utf-8"?>
<formControlPr xmlns="http://schemas.microsoft.com/office/spreadsheetml/2009/9/main" objectType="Spin" dx="26" fmlaLink="$L$17" max="55" min="18" page="10" val="18"/>
</file>

<file path=xl/ctrlProps/ctrlProp882.xml><?xml version="1.0" encoding="utf-8"?>
<formControlPr xmlns="http://schemas.microsoft.com/office/spreadsheetml/2009/9/main" objectType="Spin" dx="26" fmlaLink="$L20" max="55" min="18" page="10" val="18"/>
</file>

<file path=xl/ctrlProps/ctrlProp883.xml><?xml version="1.0" encoding="utf-8"?>
<formControlPr xmlns="http://schemas.microsoft.com/office/spreadsheetml/2009/9/main" objectType="Spin" dx="26" fmlaLink="$L17" max="55" min="18" page="10" val="18"/>
</file>

<file path=xl/ctrlProps/ctrlProp884.xml><?xml version="1.0" encoding="utf-8"?>
<formControlPr xmlns="http://schemas.microsoft.com/office/spreadsheetml/2009/9/main" objectType="Spin" dx="26" fmlaLink="$L$17" max="55" min="18" page="10" val="18"/>
</file>

<file path=xl/ctrlProps/ctrlProp885.xml><?xml version="1.0" encoding="utf-8"?>
<formControlPr xmlns="http://schemas.microsoft.com/office/spreadsheetml/2009/9/main" objectType="Spin" dx="26" fmlaLink="$L$17" max="55" min="18" page="10" val="18"/>
</file>

<file path=xl/ctrlProps/ctrlProp886.xml><?xml version="1.0" encoding="utf-8"?>
<formControlPr xmlns="http://schemas.microsoft.com/office/spreadsheetml/2009/9/main" objectType="Spin" dx="26" fmlaLink="$L20" max="55" min="18" page="10" val="18"/>
</file>

<file path=xl/ctrlProps/ctrlProp887.xml><?xml version="1.0" encoding="utf-8"?>
<formControlPr xmlns="http://schemas.microsoft.com/office/spreadsheetml/2009/9/main" objectType="Spin" dx="26" fmlaLink="$L17" max="55" min="18" page="10" val="18"/>
</file>

<file path=xl/ctrlProps/ctrlProp888.xml><?xml version="1.0" encoding="utf-8"?>
<formControlPr xmlns="http://schemas.microsoft.com/office/spreadsheetml/2009/9/main" objectType="Spin" dx="26" fmlaLink="$L$17" max="55" min="18" page="10" val="18"/>
</file>

<file path=xl/ctrlProps/ctrlProp889.xml><?xml version="1.0" encoding="utf-8"?>
<formControlPr xmlns="http://schemas.microsoft.com/office/spreadsheetml/2009/9/main" objectType="Spin" dx="26" fmlaLink="$L$17" max="55" min="18" page="10" val="18"/>
</file>

<file path=xl/ctrlProps/ctrlProp890.xml><?xml version="1.0" encoding="utf-8"?>
<formControlPr xmlns="http://schemas.microsoft.com/office/spreadsheetml/2009/9/main" objectType="Spin" dx="26" fmlaLink="$L20" max="55" min="18" page="10" val="18"/>
</file>

<file path=xl/ctrlProps/ctrlProp891.xml><?xml version="1.0" encoding="utf-8"?>
<formControlPr xmlns="http://schemas.microsoft.com/office/spreadsheetml/2009/9/main" objectType="Spin" dx="26" fmlaLink="$L17" max="55" min="18" page="10" val="18"/>
</file>

<file path=xl/ctrlProps/ctrlProp892.xml><?xml version="1.0" encoding="utf-8"?>
<formControlPr xmlns="http://schemas.microsoft.com/office/spreadsheetml/2009/9/main" objectType="Spin" dx="26" fmlaLink="$L$17" max="55" min="18" page="10" val="18"/>
</file>

<file path=xl/ctrlProps/ctrlProp893.xml><?xml version="1.0" encoding="utf-8"?>
<formControlPr xmlns="http://schemas.microsoft.com/office/spreadsheetml/2009/9/main" objectType="Spin" dx="26" fmlaLink="$L$17" max="55" min="18" page="10" val="18"/>
</file>

<file path=xl/ctrlProps/ctrlProp894.xml><?xml version="1.0" encoding="utf-8"?>
<formControlPr xmlns="http://schemas.microsoft.com/office/spreadsheetml/2009/9/main" objectType="Spin" dx="26" fmlaLink="$L20" max="55" min="18" page="10" val="18"/>
</file>

<file path=xl/ctrlProps/ctrlProp895.xml><?xml version="1.0" encoding="utf-8"?>
<formControlPr xmlns="http://schemas.microsoft.com/office/spreadsheetml/2009/9/main" objectType="Spin" dx="26" fmlaLink="$L17" max="55" min="18" page="10" val="18"/>
</file>

<file path=xl/ctrlProps/ctrlProp896.xml><?xml version="1.0" encoding="utf-8"?>
<formControlPr xmlns="http://schemas.microsoft.com/office/spreadsheetml/2009/9/main" objectType="Spin" dx="26" fmlaLink="$L$17" max="55" min="18" page="10" val="18"/>
</file>

<file path=xl/ctrlProps/ctrlProp897.xml><?xml version="1.0" encoding="utf-8"?>
<formControlPr xmlns="http://schemas.microsoft.com/office/spreadsheetml/2009/9/main" objectType="Spin" dx="26" fmlaLink="$L$17" max="55" min="18" page="10" val="18"/>
</file>

<file path=xl/ctrlProps/ctrlProp898.xml><?xml version="1.0" encoding="utf-8"?>
<formControlPr xmlns="http://schemas.microsoft.com/office/spreadsheetml/2009/9/main" objectType="Spin" dx="26" fmlaLink="$L20" max="55" min="18" page="10" val="18"/>
</file>

<file path=xl/ctrlProps/ctrlProp899.xml><?xml version="1.0" encoding="utf-8"?>
<formControlPr xmlns="http://schemas.microsoft.com/office/spreadsheetml/2009/9/main" objectType="Spin" dx="26" fmlaLink="$L17" max="55" min="18" page="10" val="18"/>
</file>

<file path=xl/ctrlProps/ctrlProp900.xml><?xml version="1.0" encoding="utf-8"?>
<formControlPr xmlns="http://schemas.microsoft.com/office/spreadsheetml/2009/9/main" objectType="Spin" dx="26" fmlaLink="$L$17" max="55" min="18" page="10" val="18"/>
</file>

<file path=xl/ctrlProps/ctrlProp901.xml><?xml version="1.0" encoding="utf-8"?>
<formControlPr xmlns="http://schemas.microsoft.com/office/spreadsheetml/2009/9/main" objectType="Spin" dx="26" fmlaLink="$L$17" max="55" min="18" page="10" val="18"/>
</file>

<file path=xl/ctrlProps/ctrlProp902.xml><?xml version="1.0" encoding="utf-8"?>
<formControlPr xmlns="http://schemas.microsoft.com/office/spreadsheetml/2009/9/main" objectType="Spin" dx="26" fmlaLink="$L20" max="55" min="18" page="10" val="18"/>
</file>

<file path=xl/ctrlProps/ctrlProp903.xml><?xml version="1.0" encoding="utf-8"?>
<formControlPr xmlns="http://schemas.microsoft.com/office/spreadsheetml/2009/9/main" objectType="Spin" dx="26" fmlaLink="$L17" max="55" min="18" page="10" val="18"/>
</file>

<file path=xl/ctrlProps/ctrlProp904.xml><?xml version="1.0" encoding="utf-8"?>
<formControlPr xmlns="http://schemas.microsoft.com/office/spreadsheetml/2009/9/main" objectType="Spin" dx="26" fmlaLink="$L$17" max="55" min="18" page="10" val="18"/>
</file>

<file path=xl/ctrlProps/ctrlProp905.xml><?xml version="1.0" encoding="utf-8"?>
<formControlPr xmlns="http://schemas.microsoft.com/office/spreadsheetml/2009/9/main" objectType="Spin" dx="26" fmlaLink="$L$17" max="55" min="18" page="10" val="18"/>
</file>

<file path=xl/ctrlProps/ctrlProp906.xml><?xml version="1.0" encoding="utf-8"?>
<formControlPr xmlns="http://schemas.microsoft.com/office/spreadsheetml/2009/9/main" objectType="Spin" dx="26" fmlaLink="$L20" max="55" min="18" page="10" val="18"/>
</file>

<file path=xl/ctrlProps/ctrlProp907.xml><?xml version="1.0" encoding="utf-8"?>
<formControlPr xmlns="http://schemas.microsoft.com/office/spreadsheetml/2009/9/main" objectType="Spin" dx="26" fmlaLink="$L17" max="55" min="18" page="10" val="18"/>
</file>

<file path=xl/ctrlProps/ctrlProp908.xml><?xml version="1.0" encoding="utf-8"?>
<formControlPr xmlns="http://schemas.microsoft.com/office/spreadsheetml/2009/9/main" objectType="Spin" dx="26" fmlaLink="$L$17" max="55" min="18" page="10" val="18"/>
</file>

<file path=xl/ctrlProps/ctrlProp909.xml><?xml version="1.0" encoding="utf-8"?>
<formControlPr xmlns="http://schemas.microsoft.com/office/spreadsheetml/2009/9/main" objectType="Spin" dx="26" fmlaLink="$L$17" max="55" min="18" page="10" val="18"/>
</file>

<file path=xl/ctrlProps/ctrlProp910.xml><?xml version="1.0" encoding="utf-8"?>
<formControlPr xmlns="http://schemas.microsoft.com/office/spreadsheetml/2009/9/main" objectType="Spin" dx="26" fmlaLink="$L20" max="55" min="18" page="10" val="18"/>
</file>

<file path=xl/ctrlProps/ctrlProp911.xml><?xml version="1.0" encoding="utf-8"?>
<formControlPr xmlns="http://schemas.microsoft.com/office/spreadsheetml/2009/9/main" objectType="Spin" dx="26" fmlaLink="$L17" max="55" min="18" page="10" val="18"/>
</file>

<file path=xl/ctrlProps/ctrlProp912.xml><?xml version="1.0" encoding="utf-8"?>
<formControlPr xmlns="http://schemas.microsoft.com/office/spreadsheetml/2009/9/main" objectType="Spin" dx="26" fmlaLink="$L$17" max="55" min="18" page="10" val="18"/>
</file>

<file path=xl/ctrlProps/ctrlProp913.xml><?xml version="1.0" encoding="utf-8"?>
<formControlPr xmlns="http://schemas.microsoft.com/office/spreadsheetml/2009/9/main" objectType="Spin" dx="26" fmlaLink="$L$17" max="55" min="18" page="10" val="18"/>
</file>

<file path=xl/ctrlProps/ctrlProp914.xml><?xml version="1.0" encoding="utf-8"?>
<formControlPr xmlns="http://schemas.microsoft.com/office/spreadsheetml/2009/9/main" objectType="Spin" dx="26" fmlaLink="$L20" max="55" min="18" page="10" val="18"/>
</file>

<file path=xl/ctrlProps/ctrlProp915.xml><?xml version="1.0" encoding="utf-8"?>
<formControlPr xmlns="http://schemas.microsoft.com/office/spreadsheetml/2009/9/main" objectType="Spin" dx="26" fmlaLink="$L17" max="55" min="18" page="10" val="18"/>
</file>

<file path=xl/ctrlProps/ctrlProp916.xml><?xml version="1.0" encoding="utf-8"?>
<formControlPr xmlns="http://schemas.microsoft.com/office/spreadsheetml/2009/9/main" objectType="Spin" dx="26" fmlaLink="$L$17" max="55" min="18" page="10" val="18"/>
</file>

<file path=xl/ctrlProps/ctrlProp917.xml><?xml version="1.0" encoding="utf-8"?>
<formControlPr xmlns="http://schemas.microsoft.com/office/spreadsheetml/2009/9/main" objectType="Spin" dx="26" fmlaLink="$L$17" max="55" min="18" page="10" val="18"/>
</file>

<file path=xl/ctrlProps/ctrlProp918.xml><?xml version="1.0" encoding="utf-8"?>
<formControlPr xmlns="http://schemas.microsoft.com/office/spreadsheetml/2009/9/main" objectType="Spin" dx="26" fmlaLink="$L20" max="55" min="18" page="10" val="18"/>
</file>

<file path=xl/ctrlProps/ctrlProp919.xml><?xml version="1.0" encoding="utf-8"?>
<formControlPr xmlns="http://schemas.microsoft.com/office/spreadsheetml/2009/9/main" objectType="Spin" dx="26" fmlaLink="$L17" max="55" min="18" page="10" val="18"/>
</file>

<file path=xl/ctrlProps/ctrlProp920.xml><?xml version="1.0" encoding="utf-8"?>
<formControlPr xmlns="http://schemas.microsoft.com/office/spreadsheetml/2009/9/main" objectType="Spin" dx="26" fmlaLink="$L$17" max="55" min="18" page="10" val="18"/>
</file>

<file path=xl/ctrlProps/ctrlProp921.xml><?xml version="1.0" encoding="utf-8"?>
<formControlPr xmlns="http://schemas.microsoft.com/office/spreadsheetml/2009/9/main" objectType="Spin" dx="26" fmlaLink="$L$17" max="55" min="18" page="10" val="18"/>
</file>

<file path=xl/ctrlProps/ctrlProp922.xml><?xml version="1.0" encoding="utf-8"?>
<formControlPr xmlns="http://schemas.microsoft.com/office/spreadsheetml/2009/9/main" objectType="Spin" dx="26" fmlaLink="$L20" max="55" min="18" page="10" val="18"/>
</file>

<file path=xl/ctrlProps/ctrlProp923.xml><?xml version="1.0" encoding="utf-8"?>
<formControlPr xmlns="http://schemas.microsoft.com/office/spreadsheetml/2009/9/main" objectType="Spin" dx="26" fmlaLink="$L17" max="55" min="18" page="10" val="18"/>
</file>

<file path=xl/ctrlProps/ctrlProp924.xml><?xml version="1.0" encoding="utf-8"?>
<formControlPr xmlns="http://schemas.microsoft.com/office/spreadsheetml/2009/9/main" objectType="Spin" dx="26" fmlaLink="$L$17" max="55" min="18" page="10" val="18"/>
</file>

<file path=xl/ctrlProps/ctrlProp925.xml><?xml version="1.0" encoding="utf-8"?>
<formControlPr xmlns="http://schemas.microsoft.com/office/spreadsheetml/2009/9/main" objectType="Spin" dx="26" fmlaLink="$L$17" max="55" min="18" page="10" val="18"/>
</file>

<file path=xl/ctrlProps/ctrlProp926.xml><?xml version="1.0" encoding="utf-8"?>
<formControlPr xmlns="http://schemas.microsoft.com/office/spreadsheetml/2009/9/main" objectType="Spin" dx="26" fmlaLink="$L20" max="55" min="18" page="10" val="18"/>
</file>

<file path=xl/ctrlProps/ctrlProp927.xml><?xml version="1.0" encoding="utf-8"?>
<formControlPr xmlns="http://schemas.microsoft.com/office/spreadsheetml/2009/9/main" objectType="Spin" dx="26" fmlaLink="$L17" max="55" min="18" page="10" val="18"/>
</file>

<file path=xl/ctrlProps/ctrlProp928.xml><?xml version="1.0" encoding="utf-8"?>
<formControlPr xmlns="http://schemas.microsoft.com/office/spreadsheetml/2009/9/main" objectType="Spin" dx="26" fmlaLink="$L$17" max="55" min="18" page="10" val="18"/>
</file>

<file path=xl/ctrlProps/ctrlProp929.xml><?xml version="1.0" encoding="utf-8"?>
<formControlPr xmlns="http://schemas.microsoft.com/office/spreadsheetml/2009/9/main" objectType="Spin" dx="26" fmlaLink="$L$17" max="55" min="18" page="10" val="18"/>
</file>

<file path=xl/ctrlProps/ctrlProp930.xml><?xml version="1.0" encoding="utf-8"?>
<formControlPr xmlns="http://schemas.microsoft.com/office/spreadsheetml/2009/9/main" objectType="Spin" dx="26" fmlaLink="$L20" max="55" min="18" page="10" val="18"/>
</file>

<file path=xl/ctrlProps/ctrlProp931.xml><?xml version="1.0" encoding="utf-8"?>
<formControlPr xmlns="http://schemas.microsoft.com/office/spreadsheetml/2009/9/main" objectType="Spin" dx="26" fmlaLink="$L17" max="55" min="18" page="10" val="18"/>
</file>

<file path=xl/ctrlProps/ctrlProp932.xml><?xml version="1.0" encoding="utf-8"?>
<formControlPr xmlns="http://schemas.microsoft.com/office/spreadsheetml/2009/9/main" objectType="Spin" dx="26" fmlaLink="$L$17" max="55" min="18" page="10" val="18"/>
</file>

<file path=xl/ctrlProps/ctrlProp933.xml><?xml version="1.0" encoding="utf-8"?>
<formControlPr xmlns="http://schemas.microsoft.com/office/spreadsheetml/2009/9/main" objectType="Spin" dx="26" fmlaLink="$L$17" max="55" min="18" page="10" val="18"/>
</file>

<file path=xl/ctrlProps/ctrlProp934.xml><?xml version="1.0" encoding="utf-8"?>
<formControlPr xmlns="http://schemas.microsoft.com/office/spreadsheetml/2009/9/main" objectType="Spin" dx="26" fmlaLink="$L20" max="55" min="18" page="10" val="18"/>
</file>

<file path=xl/ctrlProps/ctrlProp935.xml><?xml version="1.0" encoding="utf-8"?>
<formControlPr xmlns="http://schemas.microsoft.com/office/spreadsheetml/2009/9/main" objectType="Spin" dx="26" fmlaLink="$L17" max="55" min="18" page="10" val="18"/>
</file>

<file path=xl/ctrlProps/ctrlProp936.xml><?xml version="1.0" encoding="utf-8"?>
<formControlPr xmlns="http://schemas.microsoft.com/office/spreadsheetml/2009/9/main" objectType="Spin" dx="26" fmlaLink="$L$17" max="55" min="18" page="10" val="18"/>
</file>

<file path=xl/ctrlProps/ctrlProp937.xml><?xml version="1.0" encoding="utf-8"?>
<formControlPr xmlns="http://schemas.microsoft.com/office/spreadsheetml/2009/9/main" objectType="Spin" dx="26" fmlaLink="$L$17" max="55" min="18" page="10" val="18"/>
</file>

<file path=xl/ctrlProps/ctrlProp938.xml><?xml version="1.0" encoding="utf-8"?>
<formControlPr xmlns="http://schemas.microsoft.com/office/spreadsheetml/2009/9/main" objectType="Spin" dx="26" fmlaLink="$L20" max="55" min="18" page="10" val="18"/>
</file>

<file path=xl/ctrlProps/ctrlProp939.xml><?xml version="1.0" encoding="utf-8"?>
<formControlPr xmlns="http://schemas.microsoft.com/office/spreadsheetml/2009/9/main" objectType="Spin" dx="26" fmlaLink="$L17" max="55" min="18" page="10" val="18"/>
</file>

<file path=xl/ctrlProps/ctrlProp940.xml><?xml version="1.0" encoding="utf-8"?>
<formControlPr xmlns="http://schemas.microsoft.com/office/spreadsheetml/2009/9/main" objectType="Spin" dx="26" fmlaLink="$L$17" max="55" min="18" page="10" val="18"/>
</file>

<file path=xl/ctrlProps/ctrlProp941.xml><?xml version="1.0" encoding="utf-8"?>
<formControlPr xmlns="http://schemas.microsoft.com/office/spreadsheetml/2009/9/main" objectType="Spin" dx="26" fmlaLink="$L$17" max="55" min="18" page="10" val="18"/>
</file>

<file path=xl/ctrlProps/ctrlProp942.xml><?xml version="1.0" encoding="utf-8"?>
<formControlPr xmlns="http://schemas.microsoft.com/office/spreadsheetml/2009/9/main" objectType="Spin" dx="26" fmlaLink="$L20" max="55" min="18" page="10" val="18"/>
</file>

<file path=xl/ctrlProps/ctrlProp943.xml><?xml version="1.0" encoding="utf-8"?>
<formControlPr xmlns="http://schemas.microsoft.com/office/spreadsheetml/2009/9/main" objectType="Spin" dx="26" fmlaLink="$L17" max="55" min="18" page="10" val="18"/>
</file>

<file path=xl/ctrlProps/ctrlProp944.xml><?xml version="1.0" encoding="utf-8"?>
<formControlPr xmlns="http://schemas.microsoft.com/office/spreadsheetml/2009/9/main" objectType="Spin" dx="26" fmlaLink="$L$17" max="55" min="18" page="10" val="18"/>
</file>

<file path=xl/ctrlProps/ctrlProp945.xml><?xml version="1.0" encoding="utf-8"?>
<formControlPr xmlns="http://schemas.microsoft.com/office/spreadsheetml/2009/9/main" objectType="Spin" dx="26" fmlaLink="$L$17" max="55" min="18" page="10" val="18"/>
</file>

<file path=xl/ctrlProps/ctrlProp946.xml><?xml version="1.0" encoding="utf-8"?>
<formControlPr xmlns="http://schemas.microsoft.com/office/spreadsheetml/2009/9/main" objectType="Spin" dx="26" fmlaLink="$L20" max="55" min="18" page="10" val="18"/>
</file>

<file path=xl/ctrlProps/ctrlProp947.xml><?xml version="1.0" encoding="utf-8"?>
<formControlPr xmlns="http://schemas.microsoft.com/office/spreadsheetml/2009/9/main" objectType="Spin" dx="26" fmlaLink="$L17" max="55" min="18" page="10" val="18"/>
</file>

<file path=xl/ctrlProps/ctrlProp948.xml><?xml version="1.0" encoding="utf-8"?>
<formControlPr xmlns="http://schemas.microsoft.com/office/spreadsheetml/2009/9/main" objectType="Spin" dx="26" fmlaLink="$L$17" max="55" min="18" page="10" val="18"/>
</file>

<file path=xl/ctrlProps/ctrlProp949.xml><?xml version="1.0" encoding="utf-8"?>
<formControlPr xmlns="http://schemas.microsoft.com/office/spreadsheetml/2009/9/main" objectType="Spin" dx="26" fmlaLink="$L$17" max="55" min="18" page="10" val="18"/>
</file>

<file path=xl/ctrlProps/ctrlProp950.xml><?xml version="1.0" encoding="utf-8"?>
<formControlPr xmlns="http://schemas.microsoft.com/office/spreadsheetml/2009/9/main" objectType="Spin" dx="26" fmlaLink="$L20" max="55" min="18" page="10" val="18"/>
</file>

<file path=xl/ctrlProps/ctrlProp951.xml><?xml version="1.0" encoding="utf-8"?>
<formControlPr xmlns="http://schemas.microsoft.com/office/spreadsheetml/2009/9/main" objectType="Spin" dx="26" fmlaLink="$L17" max="55" min="18" page="10" val="18"/>
</file>

<file path=xl/ctrlProps/ctrlProp952.xml><?xml version="1.0" encoding="utf-8"?>
<formControlPr xmlns="http://schemas.microsoft.com/office/spreadsheetml/2009/9/main" objectType="Spin" dx="26" fmlaLink="$L$17" max="55" min="18" page="10" val="18"/>
</file>

<file path=xl/ctrlProps/ctrlProp953.xml><?xml version="1.0" encoding="utf-8"?>
<formControlPr xmlns="http://schemas.microsoft.com/office/spreadsheetml/2009/9/main" objectType="Spin" dx="26" fmlaLink="$L$17" max="55" min="18" page="10" val="18"/>
</file>

<file path=xl/ctrlProps/ctrlProp954.xml><?xml version="1.0" encoding="utf-8"?>
<formControlPr xmlns="http://schemas.microsoft.com/office/spreadsheetml/2009/9/main" objectType="Spin" dx="26" fmlaLink="$L20" max="55" min="18" page="10" val="18"/>
</file>

<file path=xl/ctrlProps/ctrlProp955.xml><?xml version="1.0" encoding="utf-8"?>
<formControlPr xmlns="http://schemas.microsoft.com/office/spreadsheetml/2009/9/main" objectType="Spin" dx="26" fmlaLink="$L17" max="55" min="18" page="10" val="18"/>
</file>

<file path=xl/ctrlProps/ctrlProp956.xml><?xml version="1.0" encoding="utf-8"?>
<formControlPr xmlns="http://schemas.microsoft.com/office/spreadsheetml/2009/9/main" objectType="Spin" dx="26" fmlaLink="$L$17" max="55" min="18" page="10" val="18"/>
</file>

<file path=xl/ctrlProps/ctrlProp957.xml><?xml version="1.0" encoding="utf-8"?>
<formControlPr xmlns="http://schemas.microsoft.com/office/spreadsheetml/2009/9/main" objectType="Spin" dx="26" fmlaLink="$L$17" max="55" min="18" page="10" val="18"/>
</file>

<file path=xl/ctrlProps/ctrlProp958.xml><?xml version="1.0" encoding="utf-8"?>
<formControlPr xmlns="http://schemas.microsoft.com/office/spreadsheetml/2009/9/main" objectType="Spin" dx="26" fmlaLink="$L20" max="55" min="18" page="10" val="18"/>
</file>

<file path=xl/ctrlProps/ctrlProp959.xml><?xml version="1.0" encoding="utf-8"?>
<formControlPr xmlns="http://schemas.microsoft.com/office/spreadsheetml/2009/9/main" objectType="Spin" dx="26" fmlaLink="$L17" max="55" min="18" page="10" val="18"/>
</file>

<file path=xl/ctrlProps/ctrlProp960.xml><?xml version="1.0" encoding="utf-8"?>
<formControlPr xmlns="http://schemas.microsoft.com/office/spreadsheetml/2009/9/main" objectType="Spin" dx="26" fmlaLink="$L$17" max="55" min="18" page="10" val="18"/>
</file>

<file path=xl/ctrlProps/ctrlProp961.xml><?xml version="1.0" encoding="utf-8"?>
<formControlPr xmlns="http://schemas.microsoft.com/office/spreadsheetml/2009/9/main" objectType="Spin" dx="26" fmlaLink="$L$17" max="55" min="18" page="10" val="18"/>
</file>

<file path=xl/ctrlProps/ctrlProp962.xml><?xml version="1.0" encoding="utf-8"?>
<formControlPr xmlns="http://schemas.microsoft.com/office/spreadsheetml/2009/9/main" objectType="Spin" dx="26" fmlaLink="$L20" max="55" min="18" page="10" val="18"/>
</file>

<file path=xl/ctrlProps/ctrlProp963.xml><?xml version="1.0" encoding="utf-8"?>
<formControlPr xmlns="http://schemas.microsoft.com/office/spreadsheetml/2009/9/main" objectType="Spin" dx="26" fmlaLink="$L17" max="55" min="18" page="10" val="18"/>
</file>

<file path=xl/ctrlProps/ctrlProp964.xml><?xml version="1.0" encoding="utf-8"?>
<formControlPr xmlns="http://schemas.microsoft.com/office/spreadsheetml/2009/9/main" objectType="Spin" dx="26" fmlaLink="$L$17" max="55" min="18" page="10" val="18"/>
</file>

<file path=xl/ctrlProps/ctrlProp965.xml><?xml version="1.0" encoding="utf-8"?>
<formControlPr xmlns="http://schemas.microsoft.com/office/spreadsheetml/2009/9/main" objectType="Spin" dx="26" fmlaLink="$L$17" max="55" min="18" page="10" val="18"/>
</file>

<file path=xl/ctrlProps/ctrlProp966.xml><?xml version="1.0" encoding="utf-8"?>
<formControlPr xmlns="http://schemas.microsoft.com/office/spreadsheetml/2009/9/main" objectType="Spin" dx="26" fmlaLink="$L20" max="55" min="18" page="10" val="18"/>
</file>

<file path=xl/ctrlProps/ctrlProp967.xml><?xml version="1.0" encoding="utf-8"?>
<formControlPr xmlns="http://schemas.microsoft.com/office/spreadsheetml/2009/9/main" objectType="Spin" dx="26" fmlaLink="$L17" max="55" min="18" page="10" val="18"/>
</file>

<file path=xl/ctrlProps/ctrlProp968.xml><?xml version="1.0" encoding="utf-8"?>
<formControlPr xmlns="http://schemas.microsoft.com/office/spreadsheetml/2009/9/main" objectType="Spin" dx="26" fmlaLink="$L$17" max="55" min="18" page="10" val="18"/>
</file>

<file path=xl/ctrlProps/ctrlProp969.xml><?xml version="1.0" encoding="utf-8"?>
<formControlPr xmlns="http://schemas.microsoft.com/office/spreadsheetml/2009/9/main" objectType="Spin" dx="26" fmlaLink="$L$17" max="55" min="18" page="10" val="18"/>
</file>

<file path=xl/ctrlProps/ctrlProp970.xml><?xml version="1.0" encoding="utf-8"?>
<formControlPr xmlns="http://schemas.microsoft.com/office/spreadsheetml/2009/9/main" objectType="Spin" dx="26" fmlaLink="$L20" max="55" min="18" page="10" val="18"/>
</file>

<file path=xl/ctrlProps/ctrlProp971.xml><?xml version="1.0" encoding="utf-8"?>
<formControlPr xmlns="http://schemas.microsoft.com/office/spreadsheetml/2009/9/main" objectType="Spin" dx="26" fmlaLink="$L17" max="55" min="18" page="10" val="18"/>
</file>

<file path=xl/ctrlProps/ctrlProp972.xml><?xml version="1.0" encoding="utf-8"?>
<formControlPr xmlns="http://schemas.microsoft.com/office/spreadsheetml/2009/9/main" objectType="Spin" dx="26" fmlaLink="$L$17" max="55" min="18" page="10" val="18"/>
</file>

<file path=xl/ctrlProps/ctrlProp973.xml><?xml version="1.0" encoding="utf-8"?>
<formControlPr xmlns="http://schemas.microsoft.com/office/spreadsheetml/2009/9/main" objectType="Spin" dx="26" fmlaLink="$L$17" max="55" min="18" page="10" val="18"/>
</file>

<file path=xl/ctrlProps/ctrlProp974.xml><?xml version="1.0" encoding="utf-8"?>
<formControlPr xmlns="http://schemas.microsoft.com/office/spreadsheetml/2009/9/main" objectType="Spin" dx="26" fmlaLink="$L20" max="55" min="18" page="10" val="18"/>
</file>

<file path=xl/ctrlProps/ctrlProp975.xml><?xml version="1.0" encoding="utf-8"?>
<formControlPr xmlns="http://schemas.microsoft.com/office/spreadsheetml/2009/9/main" objectType="Spin" dx="26" fmlaLink="K20" inc="5" max="30" page="10" val="0"/>
</file>

<file path=xl/ctrlProps/ctrlProp976.xml><?xml version="1.0" encoding="utf-8"?>
<formControlPr xmlns="http://schemas.microsoft.com/office/spreadsheetml/2009/9/main" objectType="Spin" dx="26" fmlaLink="K17" inc="5" max="30" page="10" val="0"/>
</file>

<file path=xl/ctrlProps/ctrlProp977.xml><?xml version="1.0" encoding="utf-8"?>
<formControlPr xmlns="http://schemas.microsoft.com/office/spreadsheetml/2009/9/main" objectType="Spin" dx="26" fmlaLink="K20" inc="5" max="30" page="10" val="0"/>
</file>

<file path=xl/ctrlProps/ctrlProp978.xml><?xml version="1.0" encoding="utf-8"?>
<formControlPr xmlns="http://schemas.microsoft.com/office/spreadsheetml/2009/9/main" objectType="Spin" dx="26" fmlaLink="$L17" max="55" min="18" page="10" val="18"/>
</file>

<file path=xl/ctrlProps/ctrlProp979.xml><?xml version="1.0" encoding="utf-8"?>
<formControlPr xmlns="http://schemas.microsoft.com/office/spreadsheetml/2009/9/main" objectType="Spin" dx="26" fmlaLink="K17" inc="5" max="30" page="10" val="0"/>
</file>

<file path=xl/ctrlProps/ctrlProp980.xml><?xml version="1.0" encoding="utf-8"?>
<formControlPr xmlns="http://schemas.microsoft.com/office/spreadsheetml/2009/9/main" objectType="Spin" dx="26" fmlaLink="K17" inc="5" max="30" page="10" val="0"/>
</file>

<file path=xl/ctrlProps/ctrlProp981.xml><?xml version="1.0" encoding="utf-8"?>
<formControlPr xmlns="http://schemas.microsoft.com/office/spreadsheetml/2009/9/main" objectType="Spin" dx="26" fmlaLink="$L$17" max="55" min="18" page="10" val="18"/>
</file>

<file path=xl/ctrlProps/ctrlProp982.xml><?xml version="1.0" encoding="utf-8"?>
<formControlPr xmlns="http://schemas.microsoft.com/office/spreadsheetml/2009/9/main" objectType="Spin" dx="26" fmlaLink="$L$17" max="55" min="18" page="10" val="18"/>
</file>

<file path=xl/ctrlProps/ctrlProp983.xml><?xml version="1.0" encoding="utf-8"?>
<formControlPr xmlns="http://schemas.microsoft.com/office/spreadsheetml/2009/9/main" objectType="Spin" dx="26" fmlaLink="$L20" max="55" min="18" page="10" val="18"/>
</file>

<file path=xl/ctrlProps/ctrlProp984.xml><?xml version="1.0" encoding="utf-8"?>
<formControlPr xmlns="http://schemas.microsoft.com/office/spreadsheetml/2009/9/main" objectType="Spin" dx="26" fmlaLink="$L17" max="55" min="18" page="10" val="18"/>
</file>

<file path=xl/ctrlProps/ctrlProp985.xml><?xml version="1.0" encoding="utf-8"?>
<formControlPr xmlns="http://schemas.microsoft.com/office/spreadsheetml/2009/9/main" objectType="Spin" dx="26" fmlaLink="$L$17" max="55" min="18" page="10" val="18"/>
</file>

<file path=xl/ctrlProps/ctrlProp986.xml><?xml version="1.0" encoding="utf-8"?>
<formControlPr xmlns="http://schemas.microsoft.com/office/spreadsheetml/2009/9/main" objectType="Spin" dx="26" fmlaLink="$L$17" max="55" min="18" page="10" val="18"/>
</file>

<file path=xl/ctrlProps/ctrlProp987.xml><?xml version="1.0" encoding="utf-8"?>
<formControlPr xmlns="http://schemas.microsoft.com/office/spreadsheetml/2009/9/main" objectType="Spin" dx="26" fmlaLink="$L20" max="55" min="18" page="10" val="18"/>
</file>

<file path=xl/ctrlProps/ctrlProp988.xml><?xml version="1.0" encoding="utf-8"?>
<formControlPr xmlns="http://schemas.microsoft.com/office/spreadsheetml/2009/9/main" objectType="Spin" dx="26" fmlaLink="$L17" max="55" min="18" page="10" val="18"/>
</file>

<file path=xl/ctrlProps/ctrlProp989.xml><?xml version="1.0" encoding="utf-8"?>
<formControlPr xmlns="http://schemas.microsoft.com/office/spreadsheetml/2009/9/main" objectType="Spin" dx="26" fmlaLink="$L$17" max="55" min="18" page="10" val="18"/>
</file>

<file path=xl/ctrlProps/ctrlProp990.xml><?xml version="1.0" encoding="utf-8"?>
<formControlPr xmlns="http://schemas.microsoft.com/office/spreadsheetml/2009/9/main" objectType="Spin" dx="26" fmlaLink="$L$17" max="55" min="18" page="10" val="18"/>
</file>

<file path=xl/ctrlProps/ctrlProp991.xml><?xml version="1.0" encoding="utf-8"?>
<formControlPr xmlns="http://schemas.microsoft.com/office/spreadsheetml/2009/9/main" objectType="Spin" dx="26" fmlaLink="$L20" max="55" min="18" page="10" val="18"/>
</file>

<file path=xl/ctrlProps/ctrlProp992.xml><?xml version="1.0" encoding="utf-8"?>
<formControlPr xmlns="http://schemas.microsoft.com/office/spreadsheetml/2009/9/main" objectType="Spin" dx="26" fmlaLink="$L17" max="55" min="18" page="10" val="18"/>
</file>

<file path=xl/ctrlProps/ctrlProp993.xml><?xml version="1.0" encoding="utf-8"?>
<formControlPr xmlns="http://schemas.microsoft.com/office/spreadsheetml/2009/9/main" objectType="Spin" dx="26" fmlaLink="$L$17" max="55" min="18" page="10" val="18"/>
</file>

<file path=xl/ctrlProps/ctrlProp994.xml><?xml version="1.0" encoding="utf-8"?>
<formControlPr xmlns="http://schemas.microsoft.com/office/spreadsheetml/2009/9/main" objectType="Spin" dx="26" fmlaLink="$L$17" max="55" min="18" page="10" val="18"/>
</file>

<file path=xl/ctrlProps/ctrlProp995.xml><?xml version="1.0" encoding="utf-8"?>
<formControlPr xmlns="http://schemas.microsoft.com/office/spreadsheetml/2009/9/main" objectType="Spin" dx="26" fmlaLink="$L20" max="55" min="18" page="10" val="18"/>
</file>

<file path=xl/ctrlProps/ctrlProp996.xml><?xml version="1.0" encoding="utf-8"?>
<formControlPr xmlns="http://schemas.microsoft.com/office/spreadsheetml/2009/9/main" objectType="Spin" dx="26" fmlaLink="$L17" max="55" min="18" page="10" val="18"/>
</file>

<file path=xl/ctrlProps/ctrlProp997.xml><?xml version="1.0" encoding="utf-8"?>
<formControlPr xmlns="http://schemas.microsoft.com/office/spreadsheetml/2009/9/main" objectType="Spin" dx="26" fmlaLink="$L$17" max="55" min="18" page="10" val="18"/>
</file>

<file path=xl/ctrlProps/ctrlProp998.xml><?xml version="1.0" encoding="utf-8"?>
<formControlPr xmlns="http://schemas.microsoft.com/office/spreadsheetml/2009/9/main" objectType="Spin" dx="26" fmlaLink="$L$17" max="55" min="18" page="10" val="18"/>
</file>

<file path=xl/ctrlProps/ctrlProp999.xml><?xml version="1.0" encoding="utf-8"?>
<formControlPr xmlns="http://schemas.microsoft.com/office/spreadsheetml/2009/9/main" objectType="Spin" dx="26" fmlaLink="$L20" max="55" min="18" page="10" val="18"/>
</file>

<file path=xl/ctrlProps/ctrlProp1000.xml><?xml version="1.0" encoding="utf-8"?>
<formControlPr xmlns="http://schemas.microsoft.com/office/spreadsheetml/2009/9/main" objectType="Spin" dx="26" fmlaLink="$L17" max="55" min="18" page="10" val="18"/>
</file>

<file path=xl/ctrlProps/ctrlProp1001.xml><?xml version="1.0" encoding="utf-8"?>
<formControlPr xmlns="http://schemas.microsoft.com/office/spreadsheetml/2009/9/main" objectType="Spin" dx="26" fmlaLink="$L$17" max="55" min="18" page="10" val="18"/>
</file>

<file path=xl/ctrlProps/ctrlProp1002.xml><?xml version="1.0" encoding="utf-8"?>
<formControlPr xmlns="http://schemas.microsoft.com/office/spreadsheetml/2009/9/main" objectType="Spin" dx="26" fmlaLink="$L$17" max="55" min="18" page="10" val="18"/>
</file>

<file path=xl/ctrlProps/ctrlProp1003.xml><?xml version="1.0" encoding="utf-8"?>
<formControlPr xmlns="http://schemas.microsoft.com/office/spreadsheetml/2009/9/main" objectType="Spin" dx="26" fmlaLink="$L20" max="55" min="18" page="10" val="18"/>
</file>

<file path=xl/ctrlProps/ctrlProp1004.xml><?xml version="1.0" encoding="utf-8"?>
<formControlPr xmlns="http://schemas.microsoft.com/office/spreadsheetml/2009/9/main" objectType="Spin" dx="26" fmlaLink="$L17" max="55" min="18" page="10" val="18"/>
</file>

<file path=xl/ctrlProps/ctrlProp1005.xml><?xml version="1.0" encoding="utf-8"?>
<formControlPr xmlns="http://schemas.microsoft.com/office/spreadsheetml/2009/9/main" objectType="Spin" dx="26" fmlaLink="$L$17" max="55" min="18" page="10" val="18"/>
</file>

<file path=xl/ctrlProps/ctrlProp1006.xml><?xml version="1.0" encoding="utf-8"?>
<formControlPr xmlns="http://schemas.microsoft.com/office/spreadsheetml/2009/9/main" objectType="Spin" dx="26" fmlaLink="$L$17" max="55" min="18" page="10" val="18"/>
</file>

<file path=xl/ctrlProps/ctrlProp1007.xml><?xml version="1.0" encoding="utf-8"?>
<formControlPr xmlns="http://schemas.microsoft.com/office/spreadsheetml/2009/9/main" objectType="Spin" dx="26" fmlaLink="$L20" max="55" min="18" page="10" val="18"/>
</file>

<file path=xl/ctrlProps/ctrlProp1008.xml><?xml version="1.0" encoding="utf-8"?>
<formControlPr xmlns="http://schemas.microsoft.com/office/spreadsheetml/2009/9/main" objectType="Spin" dx="26" fmlaLink="$L17" max="55" min="18" page="10" val="18"/>
</file>

<file path=xl/ctrlProps/ctrlProp1009.xml><?xml version="1.0" encoding="utf-8"?>
<formControlPr xmlns="http://schemas.microsoft.com/office/spreadsheetml/2009/9/main" objectType="Spin" dx="26" fmlaLink="$L$17" max="55" min="18" page="10" val="18"/>
</file>

<file path=xl/ctrlProps/ctrlProp1010.xml><?xml version="1.0" encoding="utf-8"?>
<formControlPr xmlns="http://schemas.microsoft.com/office/spreadsheetml/2009/9/main" objectType="Spin" dx="26" fmlaLink="$L$17" max="55" min="18" page="10" val="18"/>
</file>

<file path=xl/ctrlProps/ctrlProp1011.xml><?xml version="1.0" encoding="utf-8"?>
<formControlPr xmlns="http://schemas.microsoft.com/office/spreadsheetml/2009/9/main" objectType="Spin" dx="26" fmlaLink="$L20" max="55" min="18" page="10" val="18"/>
</file>

<file path=xl/ctrlProps/ctrlProp1012.xml><?xml version="1.0" encoding="utf-8"?>
<formControlPr xmlns="http://schemas.microsoft.com/office/spreadsheetml/2009/9/main" objectType="Spin" dx="26" fmlaLink="$L17" max="55" min="18" page="10" val="18"/>
</file>

<file path=xl/ctrlProps/ctrlProp1013.xml><?xml version="1.0" encoding="utf-8"?>
<formControlPr xmlns="http://schemas.microsoft.com/office/spreadsheetml/2009/9/main" objectType="Spin" dx="26" fmlaLink="$L$17" max="55" min="18" page="10" val="18"/>
</file>

<file path=xl/ctrlProps/ctrlProp1014.xml><?xml version="1.0" encoding="utf-8"?>
<formControlPr xmlns="http://schemas.microsoft.com/office/spreadsheetml/2009/9/main" objectType="Spin" dx="26" fmlaLink="$L$17" max="55" min="18" page="10" val="18"/>
</file>

<file path=xl/ctrlProps/ctrlProp1015.xml><?xml version="1.0" encoding="utf-8"?>
<formControlPr xmlns="http://schemas.microsoft.com/office/spreadsheetml/2009/9/main" objectType="Spin" dx="26" fmlaLink="$L20" max="55" min="18" page="10" val="18"/>
</file>

<file path=xl/ctrlProps/ctrlProp1016.xml><?xml version="1.0" encoding="utf-8"?>
<formControlPr xmlns="http://schemas.microsoft.com/office/spreadsheetml/2009/9/main" objectType="Spin" dx="26" fmlaLink="$L17" max="55" min="18" page="10" val="18"/>
</file>

<file path=xl/ctrlProps/ctrlProp1017.xml><?xml version="1.0" encoding="utf-8"?>
<formControlPr xmlns="http://schemas.microsoft.com/office/spreadsheetml/2009/9/main" objectType="Spin" dx="26" fmlaLink="$L$17" max="55" min="18" page="10" val="18"/>
</file>

<file path=xl/ctrlProps/ctrlProp1018.xml><?xml version="1.0" encoding="utf-8"?>
<formControlPr xmlns="http://schemas.microsoft.com/office/spreadsheetml/2009/9/main" objectType="Spin" dx="26" fmlaLink="$L$17" max="55" min="18" page="10" val="18"/>
</file>

<file path=xl/ctrlProps/ctrlProp1019.xml><?xml version="1.0" encoding="utf-8"?>
<formControlPr xmlns="http://schemas.microsoft.com/office/spreadsheetml/2009/9/main" objectType="Spin" dx="26" fmlaLink="$L20" max="55" min="18" page="10" val="18"/>
</file>

<file path=xl/ctrlProps/ctrlProp1020.xml><?xml version="1.0" encoding="utf-8"?>
<formControlPr xmlns="http://schemas.microsoft.com/office/spreadsheetml/2009/9/main" objectType="Spin" dx="26" fmlaLink="$L17" max="55" min="18" page="10" val="18"/>
</file>

<file path=xl/ctrlProps/ctrlProp1021.xml><?xml version="1.0" encoding="utf-8"?>
<formControlPr xmlns="http://schemas.microsoft.com/office/spreadsheetml/2009/9/main" objectType="Spin" dx="26" fmlaLink="$L$17" max="55" min="18" page="10" val="18"/>
</file>

<file path=xl/ctrlProps/ctrlProp1022.xml><?xml version="1.0" encoding="utf-8"?>
<formControlPr xmlns="http://schemas.microsoft.com/office/spreadsheetml/2009/9/main" objectType="Spin" dx="26" fmlaLink="$L$17" max="55" min="18" page="10" val="18"/>
</file>

<file path=xl/ctrlProps/ctrlProp1023.xml><?xml version="1.0" encoding="utf-8"?>
<formControlPr xmlns="http://schemas.microsoft.com/office/spreadsheetml/2009/9/main" objectType="Spin" dx="26" fmlaLink="$L20" max="55" min="18" page="10" val="18"/>
</file>

<file path=xl/ctrlProps/ctrlProp1024.xml><?xml version="1.0" encoding="utf-8"?>
<formControlPr xmlns="http://schemas.microsoft.com/office/spreadsheetml/2009/9/main" objectType="Spin" dx="26" fmlaLink="$L17" max="55" min="18" page="10" val="18"/>
</file>

<file path=xl/ctrlProps/ctrlProp1025.xml><?xml version="1.0" encoding="utf-8"?>
<formControlPr xmlns="http://schemas.microsoft.com/office/spreadsheetml/2009/9/main" objectType="Spin" dx="26" fmlaLink="$L$17" max="55" min="18" page="10" val="18"/>
</file>

<file path=xl/ctrlProps/ctrlProp1026.xml><?xml version="1.0" encoding="utf-8"?>
<formControlPr xmlns="http://schemas.microsoft.com/office/spreadsheetml/2009/9/main" objectType="Spin" dx="26" fmlaLink="$L$17" max="55" min="18" page="10" val="18"/>
</file>

<file path=xl/ctrlProps/ctrlProp1027.xml><?xml version="1.0" encoding="utf-8"?>
<formControlPr xmlns="http://schemas.microsoft.com/office/spreadsheetml/2009/9/main" objectType="Spin" dx="26" fmlaLink="$L20" max="55" min="18" page="10" val="18"/>
</file>

<file path=xl/ctrlProps/ctrlProp1028.xml><?xml version="1.0" encoding="utf-8"?>
<formControlPr xmlns="http://schemas.microsoft.com/office/spreadsheetml/2009/9/main" objectType="Spin" dx="26" fmlaLink="$L17" max="55" min="18" page="10" val="18"/>
</file>

<file path=xl/ctrlProps/ctrlProp1029.xml><?xml version="1.0" encoding="utf-8"?>
<formControlPr xmlns="http://schemas.microsoft.com/office/spreadsheetml/2009/9/main" objectType="Spin" dx="26" fmlaLink="$L$17" max="55" min="18" page="10" val="18"/>
</file>

<file path=xl/ctrlProps/ctrlProp1030.xml><?xml version="1.0" encoding="utf-8"?>
<formControlPr xmlns="http://schemas.microsoft.com/office/spreadsheetml/2009/9/main" objectType="Spin" dx="26" fmlaLink="$L$17" max="55" min="18" page="10" val="18"/>
</file>

<file path=xl/ctrlProps/ctrlProp1031.xml><?xml version="1.0" encoding="utf-8"?>
<formControlPr xmlns="http://schemas.microsoft.com/office/spreadsheetml/2009/9/main" objectType="Spin" dx="26" fmlaLink="$L20" max="55" min="18" page="10" val="18"/>
</file>

<file path=xl/ctrlProps/ctrlProp1032.xml><?xml version="1.0" encoding="utf-8"?>
<formControlPr xmlns="http://schemas.microsoft.com/office/spreadsheetml/2009/9/main" objectType="Spin" dx="26" fmlaLink="$L17" max="55" min="18" page="10" val="18"/>
</file>

<file path=xl/ctrlProps/ctrlProp1033.xml><?xml version="1.0" encoding="utf-8"?>
<formControlPr xmlns="http://schemas.microsoft.com/office/spreadsheetml/2009/9/main" objectType="Spin" dx="26" fmlaLink="$L$17" max="55" min="18" page="10" val="18"/>
</file>

<file path=xl/ctrlProps/ctrlProp1034.xml><?xml version="1.0" encoding="utf-8"?>
<formControlPr xmlns="http://schemas.microsoft.com/office/spreadsheetml/2009/9/main" objectType="Spin" dx="26" fmlaLink="$L$17" max="55" min="18" page="10" val="18"/>
</file>

<file path=xl/ctrlProps/ctrlProp1035.xml><?xml version="1.0" encoding="utf-8"?>
<formControlPr xmlns="http://schemas.microsoft.com/office/spreadsheetml/2009/9/main" objectType="Spin" dx="26" fmlaLink="$L20" max="55" min="18" page="10" val="18"/>
</file>

<file path=xl/ctrlProps/ctrlProp1036.xml><?xml version="1.0" encoding="utf-8"?>
<formControlPr xmlns="http://schemas.microsoft.com/office/spreadsheetml/2009/9/main" objectType="Spin" dx="26" fmlaLink="$L17" max="55" min="18" page="10" val="18"/>
</file>

<file path=xl/ctrlProps/ctrlProp1037.xml><?xml version="1.0" encoding="utf-8"?>
<formControlPr xmlns="http://schemas.microsoft.com/office/spreadsheetml/2009/9/main" objectType="Spin" dx="26" fmlaLink="$L$17" max="55" min="18" page="10" val="18"/>
</file>

<file path=xl/ctrlProps/ctrlProp1038.xml><?xml version="1.0" encoding="utf-8"?>
<formControlPr xmlns="http://schemas.microsoft.com/office/spreadsheetml/2009/9/main" objectType="Spin" dx="26" fmlaLink="$L$17" max="55" min="18" page="10" val="18"/>
</file>

<file path=xl/ctrlProps/ctrlProp1039.xml><?xml version="1.0" encoding="utf-8"?>
<formControlPr xmlns="http://schemas.microsoft.com/office/spreadsheetml/2009/9/main" objectType="Spin" dx="26" fmlaLink="$L20" max="55" min="18" page="10" val="18"/>
</file>

<file path=xl/ctrlProps/ctrlProp1040.xml><?xml version="1.0" encoding="utf-8"?>
<formControlPr xmlns="http://schemas.microsoft.com/office/spreadsheetml/2009/9/main" objectType="Spin" dx="26" fmlaLink="$L17" max="55" min="18" page="10" val="18"/>
</file>

<file path=xl/ctrlProps/ctrlProp1041.xml><?xml version="1.0" encoding="utf-8"?>
<formControlPr xmlns="http://schemas.microsoft.com/office/spreadsheetml/2009/9/main" objectType="Spin" dx="26" fmlaLink="$L$17" max="55" min="18" page="10" val="18"/>
</file>

<file path=xl/ctrlProps/ctrlProp1042.xml><?xml version="1.0" encoding="utf-8"?>
<formControlPr xmlns="http://schemas.microsoft.com/office/spreadsheetml/2009/9/main" objectType="Spin" dx="26" fmlaLink="$L$17" max="55" min="18" page="10" val="18"/>
</file>

<file path=xl/ctrlProps/ctrlProp1043.xml><?xml version="1.0" encoding="utf-8"?>
<formControlPr xmlns="http://schemas.microsoft.com/office/spreadsheetml/2009/9/main" objectType="Spin" dx="26" fmlaLink="$L20" max="55" min="18" page="10" val="18"/>
</file>

<file path=xl/ctrlProps/ctrlProp1044.xml><?xml version="1.0" encoding="utf-8"?>
<formControlPr xmlns="http://schemas.microsoft.com/office/spreadsheetml/2009/9/main" objectType="Spin" dx="26" fmlaLink="$L17" max="55" min="18" page="10" val="18"/>
</file>

<file path=xl/ctrlProps/ctrlProp1045.xml><?xml version="1.0" encoding="utf-8"?>
<formControlPr xmlns="http://schemas.microsoft.com/office/spreadsheetml/2009/9/main" objectType="Spin" dx="26" fmlaLink="$L$17" max="55" min="18" page="10" val="18"/>
</file>

<file path=xl/ctrlProps/ctrlProp1046.xml><?xml version="1.0" encoding="utf-8"?>
<formControlPr xmlns="http://schemas.microsoft.com/office/spreadsheetml/2009/9/main" objectType="Spin" dx="26" fmlaLink="$L$17" max="55" min="18" page="10" val="18"/>
</file>

<file path=xl/ctrlProps/ctrlProp1047.xml><?xml version="1.0" encoding="utf-8"?>
<formControlPr xmlns="http://schemas.microsoft.com/office/spreadsheetml/2009/9/main" objectType="Spin" dx="26" fmlaLink="$L20" max="55" min="18" page="10" val="18"/>
</file>

<file path=xl/ctrlProps/ctrlProp1048.xml><?xml version="1.0" encoding="utf-8"?>
<formControlPr xmlns="http://schemas.microsoft.com/office/spreadsheetml/2009/9/main" objectType="Spin" dx="26" fmlaLink="$L17" max="55" min="18" page="10" val="18"/>
</file>

<file path=xl/ctrlProps/ctrlProp1049.xml><?xml version="1.0" encoding="utf-8"?>
<formControlPr xmlns="http://schemas.microsoft.com/office/spreadsheetml/2009/9/main" objectType="Button" lockText="1"/>
</file>

<file path=xl/ctrlProps/ctrlProp1050.xml><?xml version="1.0" encoding="utf-8"?>
<formControlPr xmlns="http://schemas.microsoft.com/office/spreadsheetml/2009/9/main" objectType="Button" lockText="1"/>
</file>

<file path=xl/ctrlProps/ctrlProp1051.xml><?xml version="1.0" encoding="utf-8"?>
<formControlPr xmlns="http://schemas.microsoft.com/office/spreadsheetml/2009/9/main" objectType="Button" lockText="1"/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emf"/><Relationship Id="rId2" Type="http://schemas.openxmlformats.org/officeDocument/2006/relationships/image" Target="../media/image4.emf"/><Relationship Id="rId1" Type="http://schemas.openxmlformats.org/officeDocument/2006/relationships/image" Target="../media/image3.emf"/><Relationship Id="rId4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167640</xdr:colOff>
          <xdr:row>0</xdr:row>
          <xdr:rowOff>45720</xdr:rowOff>
        </xdr:from>
        <xdr:to>
          <xdr:col>2</xdr:col>
          <xdr:colOff>1135380</xdr:colOff>
          <xdr:row>29</xdr:row>
          <xdr:rowOff>129540</xdr:rowOff>
        </xdr:to>
        <xdr:sp macro="" textlink="">
          <xdr:nvSpPr>
            <xdr:cNvPr id="227340" name="Button 12" hidden="1">
              <a:extLst>
                <a:ext uri="{63B3BB69-23CF-44E3-9099-C40C66FF867C}">
                  <a14:compatExt spid="_x0000_s227340"/>
                </a:ext>
                <a:ext uri="{FF2B5EF4-FFF2-40B4-BE49-F238E27FC236}">
                  <a16:creationId xmlns:a16="http://schemas.microsoft.com/office/drawing/2014/main" id="{00000000-0008-0000-0000-00000C7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GRAVAR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129887</xdr:colOff>
      <xdr:row>1</xdr:row>
      <xdr:rowOff>51952</xdr:rowOff>
    </xdr:from>
    <xdr:to>
      <xdr:col>1</xdr:col>
      <xdr:colOff>491664</xdr:colOff>
      <xdr:row>4</xdr:row>
      <xdr:rowOff>170684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887" y="311032"/>
          <a:ext cx="1041862" cy="694042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16</xdr:row>
          <xdr:rowOff>22860</xdr:rowOff>
        </xdr:from>
        <xdr:to>
          <xdr:col>11</xdr:col>
          <xdr:colOff>784860</xdr:colOff>
          <xdr:row>16</xdr:row>
          <xdr:rowOff>251460</xdr:rowOff>
        </xdr:to>
        <xdr:sp macro="" textlink="">
          <xdr:nvSpPr>
            <xdr:cNvPr id="198657" name="Spinner 1" hidden="1">
              <a:extLst>
                <a:ext uri="{63B3BB69-23CF-44E3-9099-C40C66FF867C}">
                  <a14:compatExt spid="_x0000_s198657"/>
                </a:ext>
                <a:ext uri="{FF2B5EF4-FFF2-40B4-BE49-F238E27FC236}">
                  <a16:creationId xmlns:a16="http://schemas.microsoft.com/office/drawing/2014/main" id="{00000000-0008-0000-0100-000001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17</xdr:row>
          <xdr:rowOff>22860</xdr:rowOff>
        </xdr:from>
        <xdr:to>
          <xdr:col>11</xdr:col>
          <xdr:colOff>784860</xdr:colOff>
          <xdr:row>17</xdr:row>
          <xdr:rowOff>251460</xdr:rowOff>
        </xdr:to>
        <xdr:sp macro="" textlink="">
          <xdr:nvSpPr>
            <xdr:cNvPr id="198658" name="Spinner 2" hidden="1">
              <a:extLst>
                <a:ext uri="{63B3BB69-23CF-44E3-9099-C40C66FF867C}">
                  <a14:compatExt spid="_x0000_s198658"/>
                </a:ext>
                <a:ext uri="{FF2B5EF4-FFF2-40B4-BE49-F238E27FC236}">
                  <a16:creationId xmlns:a16="http://schemas.microsoft.com/office/drawing/2014/main" id="{00000000-0008-0000-0100-000002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18</xdr:row>
          <xdr:rowOff>22860</xdr:rowOff>
        </xdr:from>
        <xdr:to>
          <xdr:col>11</xdr:col>
          <xdr:colOff>784860</xdr:colOff>
          <xdr:row>18</xdr:row>
          <xdr:rowOff>251460</xdr:rowOff>
        </xdr:to>
        <xdr:sp macro="" textlink="">
          <xdr:nvSpPr>
            <xdr:cNvPr id="198659" name="Spinner 3" hidden="1">
              <a:extLst>
                <a:ext uri="{63B3BB69-23CF-44E3-9099-C40C66FF867C}">
                  <a14:compatExt spid="_x0000_s198659"/>
                </a:ext>
                <a:ext uri="{FF2B5EF4-FFF2-40B4-BE49-F238E27FC236}">
                  <a16:creationId xmlns:a16="http://schemas.microsoft.com/office/drawing/2014/main" id="{00000000-0008-0000-0100-000003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19</xdr:row>
          <xdr:rowOff>22860</xdr:rowOff>
        </xdr:from>
        <xdr:to>
          <xdr:col>11</xdr:col>
          <xdr:colOff>784860</xdr:colOff>
          <xdr:row>19</xdr:row>
          <xdr:rowOff>251460</xdr:rowOff>
        </xdr:to>
        <xdr:sp macro="" textlink="">
          <xdr:nvSpPr>
            <xdr:cNvPr id="198660" name="Spinner 4" hidden="1">
              <a:extLst>
                <a:ext uri="{63B3BB69-23CF-44E3-9099-C40C66FF867C}">
                  <a14:compatExt spid="_x0000_s198660"/>
                </a:ext>
                <a:ext uri="{FF2B5EF4-FFF2-40B4-BE49-F238E27FC236}">
                  <a16:creationId xmlns:a16="http://schemas.microsoft.com/office/drawing/2014/main" id="{00000000-0008-0000-0100-000004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48</xdr:row>
          <xdr:rowOff>0</xdr:rowOff>
        </xdr:from>
        <xdr:to>
          <xdr:col>11</xdr:col>
          <xdr:colOff>784860</xdr:colOff>
          <xdr:row>48</xdr:row>
          <xdr:rowOff>0</xdr:rowOff>
        </xdr:to>
        <xdr:sp macro="" textlink="">
          <xdr:nvSpPr>
            <xdr:cNvPr id="198661" name="Spinner 5" hidden="1">
              <a:extLst>
                <a:ext uri="{63B3BB69-23CF-44E3-9099-C40C66FF867C}">
                  <a14:compatExt spid="_x0000_s198661"/>
                </a:ext>
                <a:ext uri="{FF2B5EF4-FFF2-40B4-BE49-F238E27FC236}">
                  <a16:creationId xmlns:a16="http://schemas.microsoft.com/office/drawing/2014/main" id="{00000000-0008-0000-0100-000005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17</xdr:row>
          <xdr:rowOff>22860</xdr:rowOff>
        </xdr:from>
        <xdr:to>
          <xdr:col>11</xdr:col>
          <xdr:colOff>784860</xdr:colOff>
          <xdr:row>17</xdr:row>
          <xdr:rowOff>251460</xdr:rowOff>
        </xdr:to>
        <xdr:sp macro="" textlink="">
          <xdr:nvSpPr>
            <xdr:cNvPr id="198662" name="Spinner 6" hidden="1">
              <a:extLst>
                <a:ext uri="{63B3BB69-23CF-44E3-9099-C40C66FF867C}">
                  <a14:compatExt spid="_x0000_s198662"/>
                </a:ext>
                <a:ext uri="{FF2B5EF4-FFF2-40B4-BE49-F238E27FC236}">
                  <a16:creationId xmlns:a16="http://schemas.microsoft.com/office/drawing/2014/main" id="{00000000-0008-0000-0100-000006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18</xdr:row>
          <xdr:rowOff>22860</xdr:rowOff>
        </xdr:from>
        <xdr:to>
          <xdr:col>11</xdr:col>
          <xdr:colOff>784860</xdr:colOff>
          <xdr:row>18</xdr:row>
          <xdr:rowOff>251460</xdr:rowOff>
        </xdr:to>
        <xdr:sp macro="" textlink="">
          <xdr:nvSpPr>
            <xdr:cNvPr id="198663" name="Spinner 7" hidden="1">
              <a:extLst>
                <a:ext uri="{63B3BB69-23CF-44E3-9099-C40C66FF867C}">
                  <a14:compatExt spid="_x0000_s198663"/>
                </a:ext>
                <a:ext uri="{FF2B5EF4-FFF2-40B4-BE49-F238E27FC236}">
                  <a16:creationId xmlns:a16="http://schemas.microsoft.com/office/drawing/2014/main" id="{00000000-0008-0000-0100-000007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19</xdr:row>
          <xdr:rowOff>22860</xdr:rowOff>
        </xdr:from>
        <xdr:to>
          <xdr:col>11</xdr:col>
          <xdr:colOff>784860</xdr:colOff>
          <xdr:row>19</xdr:row>
          <xdr:rowOff>251460</xdr:rowOff>
        </xdr:to>
        <xdr:sp macro="" textlink="">
          <xdr:nvSpPr>
            <xdr:cNvPr id="198664" name="Spinner 8" hidden="1">
              <a:extLst>
                <a:ext uri="{63B3BB69-23CF-44E3-9099-C40C66FF867C}">
                  <a14:compatExt spid="_x0000_s198664"/>
                </a:ext>
                <a:ext uri="{FF2B5EF4-FFF2-40B4-BE49-F238E27FC236}">
                  <a16:creationId xmlns:a16="http://schemas.microsoft.com/office/drawing/2014/main" id="{00000000-0008-0000-0100-000008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48</xdr:row>
          <xdr:rowOff>0</xdr:rowOff>
        </xdr:from>
        <xdr:to>
          <xdr:col>11</xdr:col>
          <xdr:colOff>784860</xdr:colOff>
          <xdr:row>48</xdr:row>
          <xdr:rowOff>0</xdr:rowOff>
        </xdr:to>
        <xdr:sp macro="" textlink="">
          <xdr:nvSpPr>
            <xdr:cNvPr id="198665" name="Spinner 9" hidden="1">
              <a:extLst>
                <a:ext uri="{63B3BB69-23CF-44E3-9099-C40C66FF867C}">
                  <a14:compatExt spid="_x0000_s198665"/>
                </a:ext>
                <a:ext uri="{FF2B5EF4-FFF2-40B4-BE49-F238E27FC236}">
                  <a16:creationId xmlns:a16="http://schemas.microsoft.com/office/drawing/2014/main" id="{00000000-0008-0000-0100-000009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17</xdr:row>
          <xdr:rowOff>22860</xdr:rowOff>
        </xdr:from>
        <xdr:to>
          <xdr:col>11</xdr:col>
          <xdr:colOff>784860</xdr:colOff>
          <xdr:row>17</xdr:row>
          <xdr:rowOff>251460</xdr:rowOff>
        </xdr:to>
        <xdr:sp macro="" textlink="">
          <xdr:nvSpPr>
            <xdr:cNvPr id="198666" name="Spinner 10" hidden="1">
              <a:extLst>
                <a:ext uri="{63B3BB69-23CF-44E3-9099-C40C66FF867C}">
                  <a14:compatExt spid="_x0000_s198666"/>
                </a:ext>
                <a:ext uri="{FF2B5EF4-FFF2-40B4-BE49-F238E27FC236}">
                  <a16:creationId xmlns:a16="http://schemas.microsoft.com/office/drawing/2014/main" id="{00000000-0008-0000-0100-00000A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18</xdr:row>
          <xdr:rowOff>22860</xdr:rowOff>
        </xdr:from>
        <xdr:to>
          <xdr:col>11</xdr:col>
          <xdr:colOff>784860</xdr:colOff>
          <xdr:row>18</xdr:row>
          <xdr:rowOff>251460</xdr:rowOff>
        </xdr:to>
        <xdr:sp macro="" textlink="">
          <xdr:nvSpPr>
            <xdr:cNvPr id="198667" name="Spinner 11" hidden="1">
              <a:extLst>
                <a:ext uri="{63B3BB69-23CF-44E3-9099-C40C66FF867C}">
                  <a14:compatExt spid="_x0000_s198667"/>
                </a:ext>
                <a:ext uri="{FF2B5EF4-FFF2-40B4-BE49-F238E27FC236}">
                  <a16:creationId xmlns:a16="http://schemas.microsoft.com/office/drawing/2014/main" id="{00000000-0008-0000-0100-00000B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17</xdr:row>
          <xdr:rowOff>22860</xdr:rowOff>
        </xdr:from>
        <xdr:to>
          <xdr:col>11</xdr:col>
          <xdr:colOff>784860</xdr:colOff>
          <xdr:row>17</xdr:row>
          <xdr:rowOff>251460</xdr:rowOff>
        </xdr:to>
        <xdr:sp macro="" textlink="">
          <xdr:nvSpPr>
            <xdr:cNvPr id="198668" name="Spinner 12" hidden="1">
              <a:extLst>
                <a:ext uri="{63B3BB69-23CF-44E3-9099-C40C66FF867C}">
                  <a14:compatExt spid="_x0000_s198668"/>
                </a:ext>
                <a:ext uri="{FF2B5EF4-FFF2-40B4-BE49-F238E27FC236}">
                  <a16:creationId xmlns:a16="http://schemas.microsoft.com/office/drawing/2014/main" id="{00000000-0008-0000-0100-00000C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18</xdr:row>
          <xdr:rowOff>22860</xdr:rowOff>
        </xdr:from>
        <xdr:to>
          <xdr:col>11</xdr:col>
          <xdr:colOff>784860</xdr:colOff>
          <xdr:row>18</xdr:row>
          <xdr:rowOff>251460</xdr:rowOff>
        </xdr:to>
        <xdr:sp macro="" textlink="">
          <xdr:nvSpPr>
            <xdr:cNvPr id="198669" name="Spinner 13" hidden="1">
              <a:extLst>
                <a:ext uri="{63B3BB69-23CF-44E3-9099-C40C66FF867C}">
                  <a14:compatExt spid="_x0000_s198669"/>
                </a:ext>
                <a:ext uri="{FF2B5EF4-FFF2-40B4-BE49-F238E27FC236}">
                  <a16:creationId xmlns:a16="http://schemas.microsoft.com/office/drawing/2014/main" id="{00000000-0008-0000-0100-00000D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19</xdr:row>
          <xdr:rowOff>22860</xdr:rowOff>
        </xdr:from>
        <xdr:to>
          <xdr:col>11</xdr:col>
          <xdr:colOff>784860</xdr:colOff>
          <xdr:row>19</xdr:row>
          <xdr:rowOff>251460</xdr:rowOff>
        </xdr:to>
        <xdr:sp macro="" textlink="">
          <xdr:nvSpPr>
            <xdr:cNvPr id="198670" name="Spinner 14" hidden="1">
              <a:extLst>
                <a:ext uri="{63B3BB69-23CF-44E3-9099-C40C66FF867C}">
                  <a14:compatExt spid="_x0000_s198670"/>
                </a:ext>
                <a:ext uri="{FF2B5EF4-FFF2-40B4-BE49-F238E27FC236}">
                  <a16:creationId xmlns:a16="http://schemas.microsoft.com/office/drawing/2014/main" id="{00000000-0008-0000-0100-00000E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48</xdr:row>
          <xdr:rowOff>0</xdr:rowOff>
        </xdr:from>
        <xdr:to>
          <xdr:col>11</xdr:col>
          <xdr:colOff>784860</xdr:colOff>
          <xdr:row>48</xdr:row>
          <xdr:rowOff>0</xdr:rowOff>
        </xdr:to>
        <xdr:sp macro="" textlink="">
          <xdr:nvSpPr>
            <xdr:cNvPr id="198671" name="Spinner 15" hidden="1">
              <a:extLst>
                <a:ext uri="{63B3BB69-23CF-44E3-9099-C40C66FF867C}">
                  <a14:compatExt spid="_x0000_s198671"/>
                </a:ext>
                <a:ext uri="{FF2B5EF4-FFF2-40B4-BE49-F238E27FC236}">
                  <a16:creationId xmlns:a16="http://schemas.microsoft.com/office/drawing/2014/main" id="{00000000-0008-0000-0100-00000F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16</xdr:row>
          <xdr:rowOff>7620</xdr:rowOff>
        </xdr:from>
        <xdr:to>
          <xdr:col>10</xdr:col>
          <xdr:colOff>1295400</xdr:colOff>
          <xdr:row>16</xdr:row>
          <xdr:rowOff>236220</xdr:rowOff>
        </xdr:to>
        <xdr:sp macro="" textlink="">
          <xdr:nvSpPr>
            <xdr:cNvPr id="198672" name="Spinner 16" hidden="1">
              <a:extLst>
                <a:ext uri="{63B3BB69-23CF-44E3-9099-C40C66FF867C}">
                  <a14:compatExt spid="_x0000_s198672"/>
                </a:ext>
                <a:ext uri="{FF2B5EF4-FFF2-40B4-BE49-F238E27FC236}">
                  <a16:creationId xmlns:a16="http://schemas.microsoft.com/office/drawing/2014/main" id="{00000000-0008-0000-0100-000010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17</xdr:row>
          <xdr:rowOff>7620</xdr:rowOff>
        </xdr:from>
        <xdr:to>
          <xdr:col>10</xdr:col>
          <xdr:colOff>1295400</xdr:colOff>
          <xdr:row>17</xdr:row>
          <xdr:rowOff>236220</xdr:rowOff>
        </xdr:to>
        <xdr:sp macro="" textlink="">
          <xdr:nvSpPr>
            <xdr:cNvPr id="198673" name="Spinner 17" hidden="1">
              <a:extLst>
                <a:ext uri="{63B3BB69-23CF-44E3-9099-C40C66FF867C}">
                  <a14:compatExt spid="_x0000_s198673"/>
                </a:ext>
                <a:ext uri="{FF2B5EF4-FFF2-40B4-BE49-F238E27FC236}">
                  <a16:creationId xmlns:a16="http://schemas.microsoft.com/office/drawing/2014/main" id="{00000000-0008-0000-0100-000011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18</xdr:row>
          <xdr:rowOff>7620</xdr:rowOff>
        </xdr:from>
        <xdr:to>
          <xdr:col>10</xdr:col>
          <xdr:colOff>1295400</xdr:colOff>
          <xdr:row>18</xdr:row>
          <xdr:rowOff>236220</xdr:rowOff>
        </xdr:to>
        <xdr:sp macro="" textlink="">
          <xdr:nvSpPr>
            <xdr:cNvPr id="198674" name="Spinner 18" hidden="1">
              <a:extLst>
                <a:ext uri="{63B3BB69-23CF-44E3-9099-C40C66FF867C}">
                  <a14:compatExt spid="_x0000_s198674"/>
                </a:ext>
                <a:ext uri="{FF2B5EF4-FFF2-40B4-BE49-F238E27FC236}">
                  <a16:creationId xmlns:a16="http://schemas.microsoft.com/office/drawing/2014/main" id="{00000000-0008-0000-0100-000012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19</xdr:row>
          <xdr:rowOff>7620</xdr:rowOff>
        </xdr:from>
        <xdr:to>
          <xdr:col>10</xdr:col>
          <xdr:colOff>1295400</xdr:colOff>
          <xdr:row>19</xdr:row>
          <xdr:rowOff>236220</xdr:rowOff>
        </xdr:to>
        <xdr:sp macro="" textlink="">
          <xdr:nvSpPr>
            <xdr:cNvPr id="198675" name="Spinner 19" hidden="1">
              <a:extLst>
                <a:ext uri="{63B3BB69-23CF-44E3-9099-C40C66FF867C}">
                  <a14:compatExt spid="_x0000_s198675"/>
                </a:ext>
                <a:ext uri="{FF2B5EF4-FFF2-40B4-BE49-F238E27FC236}">
                  <a16:creationId xmlns:a16="http://schemas.microsoft.com/office/drawing/2014/main" id="{00000000-0008-0000-0100-000013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137160</xdr:colOff>
          <xdr:row>53</xdr:row>
          <xdr:rowOff>175260</xdr:rowOff>
        </xdr:from>
        <xdr:to>
          <xdr:col>2</xdr:col>
          <xdr:colOff>350520</xdr:colOff>
          <xdr:row>55</xdr:row>
          <xdr:rowOff>22860</xdr:rowOff>
        </xdr:to>
        <xdr:sp macro="" textlink="">
          <xdr:nvSpPr>
            <xdr:cNvPr id="198677" name="Option Button 21" hidden="1">
              <a:extLst>
                <a:ext uri="{63B3BB69-23CF-44E3-9099-C40C66FF867C}">
                  <a14:compatExt spid="_x0000_s198677"/>
                </a:ext>
                <a:ext uri="{FF2B5EF4-FFF2-40B4-BE49-F238E27FC236}">
                  <a16:creationId xmlns:a16="http://schemas.microsoft.com/office/drawing/2014/main" id="{00000000-0008-0000-0100-000015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FM200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137160</xdr:colOff>
          <xdr:row>54</xdr:row>
          <xdr:rowOff>175260</xdr:rowOff>
        </xdr:from>
        <xdr:to>
          <xdr:col>1</xdr:col>
          <xdr:colOff>289560</xdr:colOff>
          <xdr:row>56</xdr:row>
          <xdr:rowOff>22860</xdr:rowOff>
        </xdr:to>
        <xdr:sp macro="" textlink="">
          <xdr:nvSpPr>
            <xdr:cNvPr id="198678" name="Option Button 22" hidden="1">
              <a:extLst>
                <a:ext uri="{63B3BB69-23CF-44E3-9099-C40C66FF867C}">
                  <a14:compatExt spid="_x0000_s198678"/>
                </a:ext>
                <a:ext uri="{FF2B5EF4-FFF2-40B4-BE49-F238E27FC236}">
                  <a16:creationId xmlns:a16="http://schemas.microsoft.com/office/drawing/2014/main" id="{00000000-0008-0000-0100-000016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Novec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144780</xdr:colOff>
          <xdr:row>56</xdr:row>
          <xdr:rowOff>0</xdr:rowOff>
        </xdr:from>
        <xdr:to>
          <xdr:col>1</xdr:col>
          <xdr:colOff>99060</xdr:colOff>
          <xdr:row>57</xdr:row>
          <xdr:rowOff>30480</xdr:rowOff>
        </xdr:to>
        <xdr:sp macro="" textlink="">
          <xdr:nvSpPr>
            <xdr:cNvPr id="198679" name="Option Button 23" hidden="1">
              <a:extLst>
                <a:ext uri="{63B3BB69-23CF-44E3-9099-C40C66FF867C}">
                  <a14:compatExt spid="_x0000_s198679"/>
                </a:ext>
                <a:ext uri="{FF2B5EF4-FFF2-40B4-BE49-F238E27FC236}">
                  <a16:creationId xmlns:a16="http://schemas.microsoft.com/office/drawing/2014/main" id="{00000000-0008-0000-0100-000017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FirePro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144780</xdr:colOff>
          <xdr:row>56</xdr:row>
          <xdr:rowOff>198120</xdr:rowOff>
        </xdr:from>
        <xdr:to>
          <xdr:col>2</xdr:col>
          <xdr:colOff>312420</xdr:colOff>
          <xdr:row>58</xdr:row>
          <xdr:rowOff>22860</xdr:rowOff>
        </xdr:to>
        <xdr:sp macro="" textlink="">
          <xdr:nvSpPr>
            <xdr:cNvPr id="198680" name="Option Button 24" hidden="1">
              <a:extLst>
                <a:ext uri="{63B3BB69-23CF-44E3-9099-C40C66FF867C}">
                  <a14:compatExt spid="_x0000_s198680"/>
                </a:ext>
                <a:ext uri="{FF2B5EF4-FFF2-40B4-BE49-F238E27FC236}">
                  <a16:creationId xmlns:a16="http://schemas.microsoft.com/office/drawing/2014/main" id="{00000000-0008-0000-0100-000018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Manual/Somente Detecção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22860</xdr:colOff>
          <xdr:row>53</xdr:row>
          <xdr:rowOff>22860</xdr:rowOff>
        </xdr:from>
        <xdr:to>
          <xdr:col>2</xdr:col>
          <xdr:colOff>769620</xdr:colOff>
          <xdr:row>59</xdr:row>
          <xdr:rowOff>152400</xdr:rowOff>
        </xdr:to>
        <xdr:sp macro="" textlink="">
          <xdr:nvSpPr>
            <xdr:cNvPr id="198681" name="Group Box 25" hidden="1">
              <a:extLst>
                <a:ext uri="{63B3BB69-23CF-44E3-9099-C40C66FF867C}">
                  <a14:compatExt spid="_x0000_s198681"/>
                </a:ext>
                <a:ext uri="{FF2B5EF4-FFF2-40B4-BE49-F238E27FC236}">
                  <a16:creationId xmlns:a16="http://schemas.microsoft.com/office/drawing/2014/main" id="{00000000-0008-0000-0100-000019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27432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Combate a Incêndio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144780</xdr:colOff>
          <xdr:row>57</xdr:row>
          <xdr:rowOff>213360</xdr:rowOff>
        </xdr:from>
        <xdr:to>
          <xdr:col>1</xdr:col>
          <xdr:colOff>106680</xdr:colOff>
          <xdr:row>59</xdr:row>
          <xdr:rowOff>7620</xdr:rowOff>
        </xdr:to>
        <xdr:sp macro="" textlink="">
          <xdr:nvSpPr>
            <xdr:cNvPr id="198682" name="Option Button 26" hidden="1">
              <a:extLst>
                <a:ext uri="{63B3BB69-23CF-44E3-9099-C40C66FF867C}">
                  <a14:compatExt spid="_x0000_s198682"/>
                </a:ext>
                <a:ext uri="{FF2B5EF4-FFF2-40B4-BE49-F238E27FC236}">
                  <a16:creationId xmlns:a16="http://schemas.microsoft.com/office/drawing/2014/main" id="{00000000-0008-0000-0100-00001A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Outro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60960</xdr:colOff>
          <xdr:row>53</xdr:row>
          <xdr:rowOff>160020</xdr:rowOff>
        </xdr:from>
        <xdr:to>
          <xdr:col>6</xdr:col>
          <xdr:colOff>327660</xdr:colOff>
          <xdr:row>55</xdr:row>
          <xdr:rowOff>22860</xdr:rowOff>
        </xdr:to>
        <xdr:sp macro="" textlink="">
          <xdr:nvSpPr>
            <xdr:cNvPr id="198683" name="Check Box 27" hidden="1">
              <a:extLst>
                <a:ext uri="{63B3BB69-23CF-44E3-9099-C40C66FF867C}">
                  <a14:compatExt spid="_x0000_s198683"/>
                </a:ext>
                <a:ext uri="{FF2B5EF4-FFF2-40B4-BE49-F238E27FC236}">
                  <a16:creationId xmlns:a16="http://schemas.microsoft.com/office/drawing/2014/main" id="{00000000-0008-0000-0100-00001B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Ambiente com poeira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60960</xdr:colOff>
          <xdr:row>54</xdr:row>
          <xdr:rowOff>175260</xdr:rowOff>
        </xdr:from>
        <xdr:to>
          <xdr:col>6</xdr:col>
          <xdr:colOff>213360</xdr:colOff>
          <xdr:row>56</xdr:row>
          <xdr:rowOff>30480</xdr:rowOff>
        </xdr:to>
        <xdr:sp macro="" textlink="">
          <xdr:nvSpPr>
            <xdr:cNvPr id="198684" name="Check Box 28" hidden="1">
              <a:extLst>
                <a:ext uri="{63B3BB69-23CF-44E3-9099-C40C66FF867C}">
                  <a14:compatExt spid="_x0000_s198684"/>
                </a:ext>
                <a:ext uri="{FF2B5EF4-FFF2-40B4-BE49-F238E27FC236}">
                  <a16:creationId xmlns:a16="http://schemas.microsoft.com/office/drawing/2014/main" id="{00000000-0008-0000-0100-00001C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Ambiente salino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60960</xdr:colOff>
          <xdr:row>55</xdr:row>
          <xdr:rowOff>175260</xdr:rowOff>
        </xdr:from>
        <xdr:to>
          <xdr:col>6</xdr:col>
          <xdr:colOff>213360</xdr:colOff>
          <xdr:row>57</xdr:row>
          <xdr:rowOff>30480</xdr:rowOff>
        </xdr:to>
        <xdr:sp macro="" textlink="">
          <xdr:nvSpPr>
            <xdr:cNvPr id="198685" name="Check Box 29" hidden="1">
              <a:extLst>
                <a:ext uri="{63B3BB69-23CF-44E3-9099-C40C66FF867C}">
                  <a14:compatExt spid="_x0000_s198685"/>
                </a:ext>
                <a:ext uri="{FF2B5EF4-FFF2-40B4-BE49-F238E27FC236}">
                  <a16:creationId xmlns:a16="http://schemas.microsoft.com/office/drawing/2014/main" id="{00000000-0008-0000-0100-00001D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Gases corrosivos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60960</xdr:colOff>
          <xdr:row>56</xdr:row>
          <xdr:rowOff>175260</xdr:rowOff>
        </xdr:from>
        <xdr:to>
          <xdr:col>6</xdr:col>
          <xdr:colOff>441960</xdr:colOff>
          <xdr:row>58</xdr:row>
          <xdr:rowOff>22860</xdr:rowOff>
        </xdr:to>
        <xdr:sp macro="" textlink="">
          <xdr:nvSpPr>
            <xdr:cNvPr id="198686" name="Check Box 30" hidden="1">
              <a:extLst>
                <a:ext uri="{63B3BB69-23CF-44E3-9099-C40C66FF867C}">
                  <a14:compatExt spid="_x0000_s198686"/>
                </a:ext>
                <a:ext uri="{FF2B5EF4-FFF2-40B4-BE49-F238E27FC236}">
                  <a16:creationId xmlns:a16="http://schemas.microsoft.com/office/drawing/2014/main" id="{00000000-0008-0000-0100-00001E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Gases hidrocarbonetos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53</xdr:row>
          <xdr:rowOff>30480</xdr:rowOff>
        </xdr:from>
        <xdr:to>
          <xdr:col>7</xdr:col>
          <xdr:colOff>0</xdr:colOff>
          <xdr:row>59</xdr:row>
          <xdr:rowOff>160020</xdr:rowOff>
        </xdr:to>
        <xdr:sp macro="" textlink="">
          <xdr:nvSpPr>
            <xdr:cNvPr id="198687" name="Group Box 31" hidden="1">
              <a:extLst>
                <a:ext uri="{63B3BB69-23CF-44E3-9099-C40C66FF867C}">
                  <a14:compatExt spid="_x0000_s198687"/>
                </a:ext>
                <a:ext uri="{FF2B5EF4-FFF2-40B4-BE49-F238E27FC236}">
                  <a16:creationId xmlns:a16="http://schemas.microsoft.com/office/drawing/2014/main" id="{00000000-0008-0000-0100-00001F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27432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Características do Ambiente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22860</xdr:colOff>
          <xdr:row>53</xdr:row>
          <xdr:rowOff>30480</xdr:rowOff>
        </xdr:from>
        <xdr:to>
          <xdr:col>5</xdr:col>
          <xdr:colOff>0</xdr:colOff>
          <xdr:row>59</xdr:row>
          <xdr:rowOff>160020</xdr:rowOff>
        </xdr:to>
        <xdr:sp macro="" textlink="">
          <xdr:nvSpPr>
            <xdr:cNvPr id="198688" name="Group Box 32" hidden="1">
              <a:extLst>
                <a:ext uri="{63B3BB69-23CF-44E3-9099-C40C66FF867C}">
                  <a14:compatExt spid="_x0000_s198688"/>
                </a:ext>
                <a:ext uri="{FF2B5EF4-FFF2-40B4-BE49-F238E27FC236}">
                  <a16:creationId xmlns:a16="http://schemas.microsoft.com/office/drawing/2014/main" id="{00000000-0008-0000-0100-000020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27432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Dampers Corta Fogo?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99060</xdr:colOff>
          <xdr:row>53</xdr:row>
          <xdr:rowOff>152400</xdr:rowOff>
        </xdr:from>
        <xdr:to>
          <xdr:col>4</xdr:col>
          <xdr:colOff>76200</xdr:colOff>
          <xdr:row>55</xdr:row>
          <xdr:rowOff>38100</xdr:rowOff>
        </xdr:to>
        <xdr:sp macro="" textlink="">
          <xdr:nvSpPr>
            <xdr:cNvPr id="198689" name="Option Button 33" hidden="1">
              <a:extLst>
                <a:ext uri="{63B3BB69-23CF-44E3-9099-C40C66FF867C}">
                  <a14:compatExt spid="_x0000_s198689"/>
                </a:ext>
                <a:ext uri="{FF2B5EF4-FFF2-40B4-BE49-F238E27FC236}">
                  <a16:creationId xmlns:a16="http://schemas.microsoft.com/office/drawing/2014/main" id="{00000000-0008-0000-0100-000021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90 min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114300</xdr:colOff>
          <xdr:row>54</xdr:row>
          <xdr:rowOff>160020</xdr:rowOff>
        </xdr:from>
        <xdr:to>
          <xdr:col>4</xdr:col>
          <xdr:colOff>99060</xdr:colOff>
          <xdr:row>56</xdr:row>
          <xdr:rowOff>45720</xdr:rowOff>
        </xdr:to>
        <xdr:sp macro="" textlink="">
          <xdr:nvSpPr>
            <xdr:cNvPr id="198690" name="Option Button 34" hidden="1">
              <a:extLst>
                <a:ext uri="{63B3BB69-23CF-44E3-9099-C40C66FF867C}">
                  <a14:compatExt spid="_x0000_s198690"/>
                </a:ext>
                <a:ext uri="{FF2B5EF4-FFF2-40B4-BE49-F238E27FC236}">
                  <a16:creationId xmlns:a16="http://schemas.microsoft.com/office/drawing/2014/main" id="{00000000-0008-0000-0100-000022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120 min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106680</xdr:colOff>
          <xdr:row>55</xdr:row>
          <xdr:rowOff>160020</xdr:rowOff>
        </xdr:from>
        <xdr:to>
          <xdr:col>4</xdr:col>
          <xdr:colOff>83820</xdr:colOff>
          <xdr:row>57</xdr:row>
          <xdr:rowOff>45720</xdr:rowOff>
        </xdr:to>
        <xdr:sp macro="" textlink="">
          <xdr:nvSpPr>
            <xdr:cNvPr id="198691" name="Option Button 35" hidden="1">
              <a:extLst>
                <a:ext uri="{63B3BB69-23CF-44E3-9099-C40C66FF867C}">
                  <a14:compatExt spid="_x0000_s198691"/>
                </a:ext>
                <a:ext uri="{FF2B5EF4-FFF2-40B4-BE49-F238E27FC236}">
                  <a16:creationId xmlns:a16="http://schemas.microsoft.com/office/drawing/2014/main" id="{00000000-0008-0000-0100-000023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N/A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45720</xdr:colOff>
          <xdr:row>53</xdr:row>
          <xdr:rowOff>175260</xdr:rowOff>
        </xdr:from>
        <xdr:to>
          <xdr:col>8</xdr:col>
          <xdr:colOff>160020</xdr:colOff>
          <xdr:row>55</xdr:row>
          <xdr:rowOff>22860</xdr:rowOff>
        </xdr:to>
        <xdr:sp macro="" textlink="">
          <xdr:nvSpPr>
            <xdr:cNvPr id="198692" name="Check Box 36" hidden="1">
              <a:extLst>
                <a:ext uri="{63B3BB69-23CF-44E3-9099-C40C66FF867C}">
                  <a14:compatExt spid="_x0000_s198692"/>
                </a:ext>
                <a:ext uri="{FF2B5EF4-FFF2-40B4-BE49-F238E27FC236}">
                  <a16:creationId xmlns:a16="http://schemas.microsoft.com/office/drawing/2014/main" id="{00000000-0008-0000-0100-000024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Wall Mounted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45720</xdr:colOff>
          <xdr:row>54</xdr:row>
          <xdr:rowOff>160020</xdr:rowOff>
        </xdr:from>
        <xdr:to>
          <xdr:col>8</xdr:col>
          <xdr:colOff>594360</xdr:colOff>
          <xdr:row>56</xdr:row>
          <xdr:rowOff>22860</xdr:rowOff>
        </xdr:to>
        <xdr:sp macro="" textlink="">
          <xdr:nvSpPr>
            <xdr:cNvPr id="198693" name="Check Box 37" hidden="1">
              <a:extLst>
                <a:ext uri="{63B3BB69-23CF-44E3-9099-C40C66FF867C}">
                  <a14:compatExt spid="_x0000_s198693"/>
                </a:ext>
                <a:ext uri="{FF2B5EF4-FFF2-40B4-BE49-F238E27FC236}">
                  <a16:creationId xmlns:a16="http://schemas.microsoft.com/office/drawing/2014/main" id="{00000000-0008-0000-0100-000025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Self Contained Remoto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45720</xdr:colOff>
          <xdr:row>55</xdr:row>
          <xdr:rowOff>175260</xdr:rowOff>
        </xdr:from>
        <xdr:to>
          <xdr:col>7</xdr:col>
          <xdr:colOff>762000</xdr:colOff>
          <xdr:row>57</xdr:row>
          <xdr:rowOff>30480</xdr:rowOff>
        </xdr:to>
        <xdr:sp macro="" textlink="">
          <xdr:nvSpPr>
            <xdr:cNvPr id="198694" name="Check Box 38" hidden="1">
              <a:extLst>
                <a:ext uri="{63B3BB69-23CF-44E3-9099-C40C66FF867C}">
                  <a14:compatExt spid="_x0000_s198694"/>
                </a:ext>
                <a:ext uri="{FF2B5EF4-FFF2-40B4-BE49-F238E27FC236}">
                  <a16:creationId xmlns:a16="http://schemas.microsoft.com/office/drawing/2014/main" id="{00000000-0008-0000-0100-000026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Rooftop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45720</xdr:colOff>
          <xdr:row>56</xdr:row>
          <xdr:rowOff>175260</xdr:rowOff>
        </xdr:from>
        <xdr:to>
          <xdr:col>8</xdr:col>
          <xdr:colOff>30480</xdr:colOff>
          <xdr:row>58</xdr:row>
          <xdr:rowOff>22860</xdr:rowOff>
        </xdr:to>
        <xdr:sp macro="" textlink="">
          <xdr:nvSpPr>
            <xdr:cNvPr id="198695" name="Check Box 39" hidden="1">
              <a:extLst>
                <a:ext uri="{63B3BB69-23CF-44E3-9099-C40C66FF867C}">
                  <a14:compatExt spid="_x0000_s198695"/>
                </a:ext>
                <a:ext uri="{FF2B5EF4-FFF2-40B4-BE49-F238E27FC236}">
                  <a16:creationId xmlns:a16="http://schemas.microsoft.com/office/drawing/2014/main" id="{00000000-0008-0000-0100-000027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Split Padrão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22860</xdr:colOff>
          <xdr:row>53</xdr:row>
          <xdr:rowOff>38100</xdr:rowOff>
        </xdr:from>
        <xdr:to>
          <xdr:col>9</xdr:col>
          <xdr:colOff>0</xdr:colOff>
          <xdr:row>59</xdr:row>
          <xdr:rowOff>175260</xdr:rowOff>
        </xdr:to>
        <xdr:sp macro="" textlink="">
          <xdr:nvSpPr>
            <xdr:cNvPr id="198696" name="Group Box 40" hidden="1">
              <a:extLst>
                <a:ext uri="{63B3BB69-23CF-44E3-9099-C40C66FF867C}">
                  <a14:compatExt spid="_x0000_s198696"/>
                </a:ext>
                <a:ext uri="{FF2B5EF4-FFF2-40B4-BE49-F238E27FC236}">
                  <a16:creationId xmlns:a16="http://schemas.microsoft.com/office/drawing/2014/main" id="{00000000-0008-0000-0100-000028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27432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Sistemas Permitidos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22860</xdr:colOff>
          <xdr:row>53</xdr:row>
          <xdr:rowOff>38100</xdr:rowOff>
        </xdr:from>
        <xdr:to>
          <xdr:col>12</xdr:col>
          <xdr:colOff>0</xdr:colOff>
          <xdr:row>59</xdr:row>
          <xdr:rowOff>175260</xdr:rowOff>
        </xdr:to>
        <xdr:sp macro="" textlink="">
          <xdr:nvSpPr>
            <xdr:cNvPr id="198697" name="Group Box 41" hidden="1">
              <a:extLst>
                <a:ext uri="{63B3BB69-23CF-44E3-9099-C40C66FF867C}">
                  <a14:compatExt spid="_x0000_s198697"/>
                </a:ext>
                <a:ext uri="{FF2B5EF4-FFF2-40B4-BE49-F238E27FC236}">
                  <a16:creationId xmlns:a16="http://schemas.microsoft.com/office/drawing/2014/main" id="{00000000-0008-0000-0100-000029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27432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Sinais e Alarmes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45720</xdr:colOff>
          <xdr:row>53</xdr:row>
          <xdr:rowOff>175260</xdr:rowOff>
        </xdr:from>
        <xdr:to>
          <xdr:col>11</xdr:col>
          <xdr:colOff>76200</xdr:colOff>
          <xdr:row>55</xdr:row>
          <xdr:rowOff>22860</xdr:rowOff>
        </xdr:to>
        <xdr:sp macro="" textlink="">
          <xdr:nvSpPr>
            <xdr:cNvPr id="198698" name="Check Box 42" hidden="1">
              <a:extLst>
                <a:ext uri="{63B3BB69-23CF-44E3-9099-C40C66FF867C}">
                  <a14:compatExt spid="_x0000_s198698"/>
                </a:ext>
                <a:ext uri="{FF2B5EF4-FFF2-40B4-BE49-F238E27FC236}">
                  <a16:creationId xmlns:a16="http://schemas.microsoft.com/office/drawing/2014/main" id="{00000000-0008-0000-0100-00002A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Alarme de temperatura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45720</xdr:colOff>
          <xdr:row>54</xdr:row>
          <xdr:rowOff>160020</xdr:rowOff>
        </xdr:from>
        <xdr:to>
          <xdr:col>11</xdr:col>
          <xdr:colOff>137160</xdr:colOff>
          <xdr:row>56</xdr:row>
          <xdr:rowOff>22860</xdr:rowOff>
        </xdr:to>
        <xdr:sp macro="" textlink="">
          <xdr:nvSpPr>
            <xdr:cNvPr id="198699" name="Check Box 43" hidden="1">
              <a:extLst>
                <a:ext uri="{63B3BB69-23CF-44E3-9099-C40C66FF867C}">
                  <a14:compatExt spid="_x0000_s198699"/>
                </a:ext>
                <a:ext uri="{FF2B5EF4-FFF2-40B4-BE49-F238E27FC236}">
                  <a16:creationId xmlns:a16="http://schemas.microsoft.com/office/drawing/2014/main" id="{00000000-0008-0000-0100-00002B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Sinal defeito/funcionando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45720</xdr:colOff>
          <xdr:row>55</xdr:row>
          <xdr:rowOff>175260</xdr:rowOff>
        </xdr:from>
        <xdr:to>
          <xdr:col>11</xdr:col>
          <xdr:colOff>297180</xdr:colOff>
          <xdr:row>57</xdr:row>
          <xdr:rowOff>30480</xdr:rowOff>
        </xdr:to>
        <xdr:sp macro="" textlink="">
          <xdr:nvSpPr>
            <xdr:cNvPr id="198700" name="Check Box 44" hidden="1">
              <a:extLst>
                <a:ext uri="{63B3BB69-23CF-44E3-9099-C40C66FF867C}">
                  <a14:compatExt spid="_x0000_s198700"/>
                </a:ext>
                <a:ext uri="{FF2B5EF4-FFF2-40B4-BE49-F238E27FC236}">
                  <a16:creationId xmlns:a16="http://schemas.microsoft.com/office/drawing/2014/main" id="{00000000-0008-0000-0100-00002C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Alarme de queda de pressão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45720</xdr:colOff>
          <xdr:row>56</xdr:row>
          <xdr:rowOff>175260</xdr:rowOff>
        </xdr:from>
        <xdr:to>
          <xdr:col>10</xdr:col>
          <xdr:colOff>1257300</xdr:colOff>
          <xdr:row>58</xdr:row>
          <xdr:rowOff>22860</xdr:rowOff>
        </xdr:to>
        <xdr:sp macro="" textlink="">
          <xdr:nvSpPr>
            <xdr:cNvPr id="198701" name="Check Box 45" hidden="1">
              <a:extLst>
                <a:ext uri="{63B3BB69-23CF-44E3-9099-C40C66FF867C}">
                  <a14:compatExt spid="_x0000_s198701"/>
                </a:ext>
                <a:ext uri="{FF2B5EF4-FFF2-40B4-BE49-F238E27FC236}">
                  <a16:creationId xmlns:a16="http://schemas.microsoft.com/office/drawing/2014/main" id="{00000000-0008-0000-0100-00002D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Alarme de filtro sujo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137160</xdr:colOff>
          <xdr:row>61</xdr:row>
          <xdr:rowOff>175260</xdr:rowOff>
        </xdr:from>
        <xdr:to>
          <xdr:col>2</xdr:col>
          <xdr:colOff>617220</xdr:colOff>
          <xdr:row>63</xdr:row>
          <xdr:rowOff>22860</xdr:rowOff>
        </xdr:to>
        <xdr:sp macro="" textlink="">
          <xdr:nvSpPr>
            <xdr:cNvPr id="198702" name="Option Button 46" hidden="1">
              <a:extLst>
                <a:ext uri="{63B3BB69-23CF-44E3-9099-C40C66FF867C}">
                  <a14:compatExt spid="_x0000_s198702"/>
                </a:ext>
                <a:ext uri="{FF2B5EF4-FFF2-40B4-BE49-F238E27FC236}">
                  <a16:creationId xmlns:a16="http://schemas.microsoft.com/office/drawing/2014/main" id="{00000000-0008-0000-0100-00002E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Definido pela empresa contratada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137160</xdr:colOff>
          <xdr:row>62</xdr:row>
          <xdr:rowOff>175260</xdr:rowOff>
        </xdr:from>
        <xdr:to>
          <xdr:col>1</xdr:col>
          <xdr:colOff>289560</xdr:colOff>
          <xdr:row>64</xdr:row>
          <xdr:rowOff>22860</xdr:rowOff>
        </xdr:to>
        <xdr:sp macro="" textlink="">
          <xdr:nvSpPr>
            <xdr:cNvPr id="198703" name="Option Button 47" hidden="1">
              <a:extLst>
                <a:ext uri="{63B3BB69-23CF-44E3-9099-C40C66FF867C}">
                  <a14:compatExt spid="_x0000_s198703"/>
                </a:ext>
                <a:ext uri="{FF2B5EF4-FFF2-40B4-BE49-F238E27FC236}">
                  <a16:creationId xmlns:a16="http://schemas.microsoft.com/office/drawing/2014/main" id="{00000000-0008-0000-0100-00002F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Sistema Padrão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144780</xdr:colOff>
          <xdr:row>64</xdr:row>
          <xdr:rowOff>0</xdr:rowOff>
        </xdr:from>
        <xdr:to>
          <xdr:col>2</xdr:col>
          <xdr:colOff>678180</xdr:colOff>
          <xdr:row>65</xdr:row>
          <xdr:rowOff>30480</xdr:rowOff>
        </xdr:to>
        <xdr:sp macro="" textlink="">
          <xdr:nvSpPr>
            <xdr:cNvPr id="198704" name="Option Button 48" hidden="1">
              <a:extLst>
                <a:ext uri="{63B3BB69-23CF-44E3-9099-C40C66FF867C}">
                  <a14:compatExt spid="_x0000_s198704"/>
                </a:ext>
                <a:ext uri="{FF2B5EF4-FFF2-40B4-BE49-F238E27FC236}">
                  <a16:creationId xmlns:a16="http://schemas.microsoft.com/office/drawing/2014/main" id="{00000000-0008-0000-0100-000030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Com limpeza automática do filtro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22860</xdr:colOff>
          <xdr:row>61</xdr:row>
          <xdr:rowOff>22860</xdr:rowOff>
        </xdr:from>
        <xdr:to>
          <xdr:col>2</xdr:col>
          <xdr:colOff>769620</xdr:colOff>
          <xdr:row>67</xdr:row>
          <xdr:rowOff>76200</xdr:rowOff>
        </xdr:to>
        <xdr:sp macro="" textlink="">
          <xdr:nvSpPr>
            <xdr:cNvPr id="198705" name="Group Box 49" hidden="1">
              <a:extLst>
                <a:ext uri="{63B3BB69-23CF-44E3-9099-C40C66FF867C}">
                  <a14:compatExt spid="_x0000_s198705"/>
                </a:ext>
                <a:ext uri="{FF2B5EF4-FFF2-40B4-BE49-F238E27FC236}">
                  <a16:creationId xmlns:a16="http://schemas.microsoft.com/office/drawing/2014/main" id="{00000000-0008-0000-0100-000031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27432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Sistema de Pressurização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61</xdr:row>
          <xdr:rowOff>30480</xdr:rowOff>
        </xdr:from>
        <xdr:to>
          <xdr:col>7</xdr:col>
          <xdr:colOff>0</xdr:colOff>
          <xdr:row>67</xdr:row>
          <xdr:rowOff>91440</xdr:rowOff>
        </xdr:to>
        <xdr:sp macro="" textlink="">
          <xdr:nvSpPr>
            <xdr:cNvPr id="198706" name="Group Box 50" hidden="1">
              <a:extLst>
                <a:ext uri="{63B3BB69-23CF-44E3-9099-C40C66FF867C}">
                  <a14:compatExt spid="_x0000_s198706"/>
                </a:ext>
                <a:ext uri="{FF2B5EF4-FFF2-40B4-BE49-F238E27FC236}">
                  <a16:creationId xmlns:a16="http://schemas.microsoft.com/office/drawing/2014/main" id="{00000000-0008-0000-0100-000032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27432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Em caso de painel embarcado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22860</xdr:colOff>
          <xdr:row>61</xdr:row>
          <xdr:rowOff>30480</xdr:rowOff>
        </xdr:from>
        <xdr:to>
          <xdr:col>5</xdr:col>
          <xdr:colOff>0</xdr:colOff>
          <xdr:row>67</xdr:row>
          <xdr:rowOff>91440</xdr:rowOff>
        </xdr:to>
        <xdr:sp macro="" textlink="">
          <xdr:nvSpPr>
            <xdr:cNvPr id="198707" name="Group Box 51" hidden="1">
              <a:extLst>
                <a:ext uri="{63B3BB69-23CF-44E3-9099-C40C66FF867C}">
                  <a14:compatExt spid="_x0000_s198707"/>
                </a:ext>
                <a:ext uri="{FF2B5EF4-FFF2-40B4-BE49-F238E27FC236}">
                  <a16:creationId xmlns:a16="http://schemas.microsoft.com/office/drawing/2014/main" id="{00000000-0008-0000-0100-000033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27432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Automação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99060</xdr:colOff>
          <xdr:row>61</xdr:row>
          <xdr:rowOff>152400</xdr:rowOff>
        </xdr:from>
        <xdr:to>
          <xdr:col>4</xdr:col>
          <xdr:colOff>746760</xdr:colOff>
          <xdr:row>63</xdr:row>
          <xdr:rowOff>15240</xdr:rowOff>
        </xdr:to>
        <xdr:sp macro="" textlink="">
          <xdr:nvSpPr>
            <xdr:cNvPr id="198708" name="Option Button 52" hidden="1">
              <a:extLst>
                <a:ext uri="{63B3BB69-23CF-44E3-9099-C40C66FF867C}">
                  <a14:compatExt spid="_x0000_s198708"/>
                </a:ext>
                <a:ext uri="{FF2B5EF4-FFF2-40B4-BE49-F238E27FC236}">
                  <a16:creationId xmlns:a16="http://schemas.microsoft.com/office/drawing/2014/main" id="{00000000-0008-0000-0100-000034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Somente Contato Seco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114300</xdr:colOff>
          <xdr:row>62</xdr:row>
          <xdr:rowOff>160020</xdr:rowOff>
        </xdr:from>
        <xdr:to>
          <xdr:col>4</xdr:col>
          <xdr:colOff>99060</xdr:colOff>
          <xdr:row>64</xdr:row>
          <xdr:rowOff>45720</xdr:rowOff>
        </xdr:to>
        <xdr:sp macro="" textlink="">
          <xdr:nvSpPr>
            <xdr:cNvPr id="198709" name="Option Button 53" hidden="1">
              <a:extLst>
                <a:ext uri="{63B3BB69-23CF-44E3-9099-C40C66FF867C}">
                  <a14:compatExt spid="_x0000_s198709"/>
                </a:ext>
                <a:ext uri="{FF2B5EF4-FFF2-40B4-BE49-F238E27FC236}">
                  <a16:creationId xmlns:a16="http://schemas.microsoft.com/office/drawing/2014/main" id="{00000000-0008-0000-0100-000035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Modbus TCP/IP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106680</xdr:colOff>
          <xdr:row>63</xdr:row>
          <xdr:rowOff>160020</xdr:rowOff>
        </xdr:from>
        <xdr:to>
          <xdr:col>4</xdr:col>
          <xdr:colOff>83820</xdr:colOff>
          <xdr:row>65</xdr:row>
          <xdr:rowOff>45720</xdr:rowOff>
        </xdr:to>
        <xdr:sp macro="" textlink="">
          <xdr:nvSpPr>
            <xdr:cNvPr id="198710" name="Option Button 54" hidden="1">
              <a:extLst>
                <a:ext uri="{63B3BB69-23CF-44E3-9099-C40C66FF867C}">
                  <a14:compatExt spid="_x0000_s198710"/>
                </a:ext>
                <a:ext uri="{FF2B5EF4-FFF2-40B4-BE49-F238E27FC236}">
                  <a16:creationId xmlns:a16="http://schemas.microsoft.com/office/drawing/2014/main" id="{00000000-0008-0000-0100-000036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N/A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45720</xdr:colOff>
          <xdr:row>61</xdr:row>
          <xdr:rowOff>175260</xdr:rowOff>
        </xdr:from>
        <xdr:to>
          <xdr:col>8</xdr:col>
          <xdr:colOff>160020</xdr:colOff>
          <xdr:row>63</xdr:row>
          <xdr:rowOff>22860</xdr:rowOff>
        </xdr:to>
        <xdr:sp macro="" textlink="">
          <xdr:nvSpPr>
            <xdr:cNvPr id="198711" name="Check Box 55" hidden="1">
              <a:extLst>
                <a:ext uri="{63B3BB69-23CF-44E3-9099-C40C66FF867C}">
                  <a14:compatExt spid="_x0000_s198711"/>
                </a:ext>
                <a:ext uri="{FF2B5EF4-FFF2-40B4-BE49-F238E27FC236}">
                  <a16:creationId xmlns:a16="http://schemas.microsoft.com/office/drawing/2014/main" id="{00000000-0008-0000-0100-000037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Wall Mounted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45720</xdr:colOff>
          <xdr:row>62</xdr:row>
          <xdr:rowOff>160020</xdr:rowOff>
        </xdr:from>
        <xdr:to>
          <xdr:col>8</xdr:col>
          <xdr:colOff>594360</xdr:colOff>
          <xdr:row>64</xdr:row>
          <xdr:rowOff>22860</xdr:rowOff>
        </xdr:to>
        <xdr:sp macro="" textlink="">
          <xdr:nvSpPr>
            <xdr:cNvPr id="198712" name="Check Box 56" hidden="1">
              <a:extLst>
                <a:ext uri="{63B3BB69-23CF-44E3-9099-C40C66FF867C}">
                  <a14:compatExt spid="_x0000_s198712"/>
                </a:ext>
                <a:ext uri="{FF2B5EF4-FFF2-40B4-BE49-F238E27FC236}">
                  <a16:creationId xmlns:a16="http://schemas.microsoft.com/office/drawing/2014/main" id="{00000000-0008-0000-0100-000038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Self Contained Remoto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45720</xdr:colOff>
          <xdr:row>63</xdr:row>
          <xdr:rowOff>175260</xdr:rowOff>
        </xdr:from>
        <xdr:to>
          <xdr:col>7</xdr:col>
          <xdr:colOff>762000</xdr:colOff>
          <xdr:row>65</xdr:row>
          <xdr:rowOff>30480</xdr:rowOff>
        </xdr:to>
        <xdr:sp macro="" textlink="">
          <xdr:nvSpPr>
            <xdr:cNvPr id="198713" name="Check Box 57" hidden="1">
              <a:extLst>
                <a:ext uri="{63B3BB69-23CF-44E3-9099-C40C66FF867C}">
                  <a14:compatExt spid="_x0000_s198713"/>
                </a:ext>
                <a:ext uri="{FF2B5EF4-FFF2-40B4-BE49-F238E27FC236}">
                  <a16:creationId xmlns:a16="http://schemas.microsoft.com/office/drawing/2014/main" id="{00000000-0008-0000-0100-000039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Rooftop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45720</xdr:colOff>
          <xdr:row>64</xdr:row>
          <xdr:rowOff>175260</xdr:rowOff>
        </xdr:from>
        <xdr:to>
          <xdr:col>8</xdr:col>
          <xdr:colOff>30480</xdr:colOff>
          <xdr:row>66</xdr:row>
          <xdr:rowOff>22860</xdr:rowOff>
        </xdr:to>
        <xdr:sp macro="" textlink="">
          <xdr:nvSpPr>
            <xdr:cNvPr id="198714" name="Check Box 58" hidden="1">
              <a:extLst>
                <a:ext uri="{63B3BB69-23CF-44E3-9099-C40C66FF867C}">
                  <a14:compatExt spid="_x0000_s198714"/>
                </a:ext>
                <a:ext uri="{FF2B5EF4-FFF2-40B4-BE49-F238E27FC236}">
                  <a16:creationId xmlns:a16="http://schemas.microsoft.com/office/drawing/2014/main" id="{00000000-0008-0000-0100-00003A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Split Padrão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22860</xdr:colOff>
          <xdr:row>61</xdr:row>
          <xdr:rowOff>38100</xdr:rowOff>
        </xdr:from>
        <xdr:to>
          <xdr:col>9</xdr:col>
          <xdr:colOff>0</xdr:colOff>
          <xdr:row>67</xdr:row>
          <xdr:rowOff>99060</xdr:rowOff>
        </xdr:to>
        <xdr:sp macro="" textlink="">
          <xdr:nvSpPr>
            <xdr:cNvPr id="198715" name="Group Box 59" hidden="1">
              <a:extLst>
                <a:ext uri="{63B3BB69-23CF-44E3-9099-C40C66FF867C}">
                  <a14:compatExt spid="_x0000_s198715"/>
                </a:ext>
                <a:ext uri="{FF2B5EF4-FFF2-40B4-BE49-F238E27FC236}">
                  <a16:creationId xmlns:a16="http://schemas.microsoft.com/office/drawing/2014/main" id="{00000000-0008-0000-0100-00003B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27432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Sistemas Permitidos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22860</xdr:colOff>
          <xdr:row>61</xdr:row>
          <xdr:rowOff>38100</xdr:rowOff>
        </xdr:from>
        <xdr:to>
          <xdr:col>12</xdr:col>
          <xdr:colOff>0</xdr:colOff>
          <xdr:row>67</xdr:row>
          <xdr:rowOff>91440</xdr:rowOff>
        </xdr:to>
        <xdr:sp macro="" textlink="">
          <xdr:nvSpPr>
            <xdr:cNvPr id="198716" name="Group Box 60" hidden="1">
              <a:extLst>
                <a:ext uri="{63B3BB69-23CF-44E3-9099-C40C66FF867C}">
                  <a14:compatExt spid="_x0000_s198716"/>
                </a:ext>
                <a:ext uri="{FF2B5EF4-FFF2-40B4-BE49-F238E27FC236}">
                  <a16:creationId xmlns:a16="http://schemas.microsoft.com/office/drawing/2014/main" id="{00000000-0008-0000-0100-00003C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27432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Sinais e Alarmes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45720</xdr:colOff>
          <xdr:row>61</xdr:row>
          <xdr:rowOff>175260</xdr:rowOff>
        </xdr:from>
        <xdr:to>
          <xdr:col>11</xdr:col>
          <xdr:colOff>76200</xdr:colOff>
          <xdr:row>63</xdr:row>
          <xdr:rowOff>22860</xdr:rowOff>
        </xdr:to>
        <xdr:sp macro="" textlink="">
          <xdr:nvSpPr>
            <xdr:cNvPr id="198717" name="Check Box 61" hidden="1">
              <a:extLst>
                <a:ext uri="{63B3BB69-23CF-44E3-9099-C40C66FF867C}">
                  <a14:compatExt spid="_x0000_s198717"/>
                </a:ext>
                <a:ext uri="{FF2B5EF4-FFF2-40B4-BE49-F238E27FC236}">
                  <a16:creationId xmlns:a16="http://schemas.microsoft.com/office/drawing/2014/main" id="{00000000-0008-0000-0100-00003D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Alarme de temperatura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45720</xdr:colOff>
          <xdr:row>62</xdr:row>
          <xdr:rowOff>160020</xdr:rowOff>
        </xdr:from>
        <xdr:to>
          <xdr:col>11</xdr:col>
          <xdr:colOff>137160</xdr:colOff>
          <xdr:row>64</xdr:row>
          <xdr:rowOff>22860</xdr:rowOff>
        </xdr:to>
        <xdr:sp macro="" textlink="">
          <xdr:nvSpPr>
            <xdr:cNvPr id="198718" name="Check Box 62" hidden="1">
              <a:extLst>
                <a:ext uri="{63B3BB69-23CF-44E3-9099-C40C66FF867C}">
                  <a14:compatExt spid="_x0000_s198718"/>
                </a:ext>
                <a:ext uri="{FF2B5EF4-FFF2-40B4-BE49-F238E27FC236}">
                  <a16:creationId xmlns:a16="http://schemas.microsoft.com/office/drawing/2014/main" id="{00000000-0008-0000-0100-00003E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Sinal defeito/funcionando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45720</xdr:colOff>
          <xdr:row>63</xdr:row>
          <xdr:rowOff>175260</xdr:rowOff>
        </xdr:from>
        <xdr:to>
          <xdr:col>11</xdr:col>
          <xdr:colOff>297180</xdr:colOff>
          <xdr:row>65</xdr:row>
          <xdr:rowOff>30480</xdr:rowOff>
        </xdr:to>
        <xdr:sp macro="" textlink="">
          <xdr:nvSpPr>
            <xdr:cNvPr id="198719" name="Check Box 63" hidden="1">
              <a:extLst>
                <a:ext uri="{63B3BB69-23CF-44E3-9099-C40C66FF867C}">
                  <a14:compatExt spid="_x0000_s198719"/>
                </a:ext>
                <a:ext uri="{FF2B5EF4-FFF2-40B4-BE49-F238E27FC236}">
                  <a16:creationId xmlns:a16="http://schemas.microsoft.com/office/drawing/2014/main" id="{00000000-0008-0000-0100-00003F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Alarme de queda de pressão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45720</xdr:colOff>
          <xdr:row>64</xdr:row>
          <xdr:rowOff>175260</xdr:rowOff>
        </xdr:from>
        <xdr:to>
          <xdr:col>10</xdr:col>
          <xdr:colOff>1257300</xdr:colOff>
          <xdr:row>66</xdr:row>
          <xdr:rowOff>22860</xdr:rowOff>
        </xdr:to>
        <xdr:sp macro="" textlink="">
          <xdr:nvSpPr>
            <xdr:cNvPr id="198720" name="Check Box 64" hidden="1">
              <a:extLst>
                <a:ext uri="{63B3BB69-23CF-44E3-9099-C40C66FF867C}">
                  <a14:compatExt spid="_x0000_s198720"/>
                </a:ext>
                <a:ext uri="{FF2B5EF4-FFF2-40B4-BE49-F238E27FC236}">
                  <a16:creationId xmlns:a16="http://schemas.microsoft.com/office/drawing/2014/main" id="{00000000-0008-0000-0100-000040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Alarme de filtro sujo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175260</xdr:colOff>
          <xdr:row>64</xdr:row>
          <xdr:rowOff>160020</xdr:rowOff>
        </xdr:from>
        <xdr:to>
          <xdr:col>2</xdr:col>
          <xdr:colOff>769620</xdr:colOff>
          <xdr:row>66</xdr:row>
          <xdr:rowOff>22860</xdr:rowOff>
        </xdr:to>
        <xdr:sp macro="" textlink="">
          <xdr:nvSpPr>
            <xdr:cNvPr id="198721" name="Check Box 65" hidden="1">
              <a:extLst>
                <a:ext uri="{63B3BB69-23CF-44E3-9099-C40C66FF867C}">
                  <a14:compatExt spid="_x0000_s198721"/>
                </a:ext>
                <a:ext uri="{FF2B5EF4-FFF2-40B4-BE49-F238E27FC236}">
                  <a16:creationId xmlns:a16="http://schemas.microsoft.com/office/drawing/2014/main" id="{00000000-0008-0000-0100-000041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Sensor diferencial de pressão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160020</xdr:colOff>
          <xdr:row>65</xdr:row>
          <xdr:rowOff>160020</xdr:rowOff>
        </xdr:from>
        <xdr:to>
          <xdr:col>2</xdr:col>
          <xdr:colOff>541020</xdr:colOff>
          <xdr:row>67</xdr:row>
          <xdr:rowOff>22860</xdr:rowOff>
        </xdr:to>
        <xdr:sp macro="" textlink="">
          <xdr:nvSpPr>
            <xdr:cNvPr id="198722" name="Check Box 66" hidden="1">
              <a:extLst>
                <a:ext uri="{63B3BB69-23CF-44E3-9099-C40C66FF867C}">
                  <a14:compatExt spid="_x0000_s198722"/>
                </a:ext>
                <a:ext uri="{FF2B5EF4-FFF2-40B4-BE49-F238E27FC236}">
                  <a16:creationId xmlns:a16="http://schemas.microsoft.com/office/drawing/2014/main" id="{00000000-0008-0000-0100-000042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Sinal de falha do pressurizador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99060</xdr:colOff>
          <xdr:row>61</xdr:row>
          <xdr:rowOff>152400</xdr:rowOff>
        </xdr:from>
        <xdr:to>
          <xdr:col>6</xdr:col>
          <xdr:colOff>632460</xdr:colOff>
          <xdr:row>63</xdr:row>
          <xdr:rowOff>15240</xdr:rowOff>
        </xdr:to>
        <xdr:sp macro="" textlink="">
          <xdr:nvSpPr>
            <xdr:cNvPr id="198723" name="Option Button 67" hidden="1">
              <a:extLst>
                <a:ext uri="{63B3BB69-23CF-44E3-9099-C40C66FF867C}">
                  <a14:compatExt spid="_x0000_s198723"/>
                </a:ext>
                <a:ext uri="{FF2B5EF4-FFF2-40B4-BE49-F238E27FC236}">
                  <a16:creationId xmlns:a16="http://schemas.microsoft.com/office/drawing/2014/main" id="{00000000-0008-0000-0100-000043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Painel com acesso interno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114300</xdr:colOff>
          <xdr:row>62</xdr:row>
          <xdr:rowOff>160020</xdr:rowOff>
        </xdr:from>
        <xdr:to>
          <xdr:col>5</xdr:col>
          <xdr:colOff>899160</xdr:colOff>
          <xdr:row>64</xdr:row>
          <xdr:rowOff>45720</xdr:rowOff>
        </xdr:to>
        <xdr:sp macro="" textlink="">
          <xdr:nvSpPr>
            <xdr:cNvPr id="198724" name="Option Button 68" hidden="1">
              <a:extLst>
                <a:ext uri="{63B3BB69-23CF-44E3-9099-C40C66FF867C}">
                  <a14:compatExt spid="_x0000_s198724"/>
                </a:ext>
                <a:ext uri="{FF2B5EF4-FFF2-40B4-BE49-F238E27FC236}">
                  <a16:creationId xmlns:a16="http://schemas.microsoft.com/office/drawing/2014/main" id="{00000000-0008-0000-0100-000044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Painel externo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106680</xdr:colOff>
          <xdr:row>63</xdr:row>
          <xdr:rowOff>160020</xdr:rowOff>
        </xdr:from>
        <xdr:to>
          <xdr:col>5</xdr:col>
          <xdr:colOff>899160</xdr:colOff>
          <xdr:row>65</xdr:row>
          <xdr:rowOff>45720</xdr:rowOff>
        </xdr:to>
        <xdr:sp macro="" textlink="">
          <xdr:nvSpPr>
            <xdr:cNvPr id="198725" name="Option Button 69" hidden="1">
              <a:extLst>
                <a:ext uri="{63B3BB69-23CF-44E3-9099-C40C66FF867C}">
                  <a14:compatExt spid="_x0000_s198725"/>
                </a:ext>
                <a:ext uri="{FF2B5EF4-FFF2-40B4-BE49-F238E27FC236}">
                  <a16:creationId xmlns:a16="http://schemas.microsoft.com/office/drawing/2014/main" id="{00000000-0008-0000-0100-000045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N/A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76200</xdr:colOff>
          <xdr:row>12</xdr:row>
          <xdr:rowOff>30480</xdr:rowOff>
        </xdr:from>
        <xdr:to>
          <xdr:col>1</xdr:col>
          <xdr:colOff>213360</xdr:colOff>
          <xdr:row>12</xdr:row>
          <xdr:rowOff>160020</xdr:rowOff>
        </xdr:to>
        <xdr:sp macro="" textlink="">
          <xdr:nvSpPr>
            <xdr:cNvPr id="198726" name="Option Button 70" hidden="1">
              <a:extLst>
                <a:ext uri="{63B3BB69-23CF-44E3-9099-C40C66FF867C}">
                  <a14:compatExt spid="_x0000_s198726"/>
                </a:ext>
                <a:ext uri="{FF2B5EF4-FFF2-40B4-BE49-F238E27FC236}">
                  <a16:creationId xmlns:a16="http://schemas.microsoft.com/office/drawing/2014/main" id="{00000000-0008-0000-0100-000046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Eletrocentro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76200</xdr:colOff>
          <xdr:row>12</xdr:row>
          <xdr:rowOff>182880</xdr:rowOff>
        </xdr:from>
        <xdr:to>
          <xdr:col>1</xdr:col>
          <xdr:colOff>228600</xdr:colOff>
          <xdr:row>14</xdr:row>
          <xdr:rowOff>22860</xdr:rowOff>
        </xdr:to>
        <xdr:sp macro="" textlink="">
          <xdr:nvSpPr>
            <xdr:cNvPr id="198728" name="Option Button 72" hidden="1">
              <a:extLst>
                <a:ext uri="{63B3BB69-23CF-44E3-9099-C40C66FF867C}">
                  <a14:compatExt spid="_x0000_s198728"/>
                </a:ext>
                <a:ext uri="{FF2B5EF4-FFF2-40B4-BE49-F238E27FC236}">
                  <a16:creationId xmlns:a16="http://schemas.microsoft.com/office/drawing/2014/main" id="{00000000-0008-0000-0100-000048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Alvenaria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48</xdr:row>
          <xdr:rowOff>22860</xdr:rowOff>
        </xdr:from>
        <xdr:to>
          <xdr:col>11</xdr:col>
          <xdr:colOff>784860</xdr:colOff>
          <xdr:row>48</xdr:row>
          <xdr:rowOff>251460</xdr:rowOff>
        </xdr:to>
        <xdr:sp macro="" textlink="">
          <xdr:nvSpPr>
            <xdr:cNvPr id="198732" name="Spinner 76" hidden="1">
              <a:extLst>
                <a:ext uri="{63B3BB69-23CF-44E3-9099-C40C66FF867C}">
                  <a14:compatExt spid="_x0000_s198732"/>
                </a:ext>
                <a:ext uri="{FF2B5EF4-FFF2-40B4-BE49-F238E27FC236}">
                  <a16:creationId xmlns:a16="http://schemas.microsoft.com/office/drawing/2014/main" id="{00000000-0008-0000-0100-00004C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48</xdr:row>
          <xdr:rowOff>22860</xdr:rowOff>
        </xdr:from>
        <xdr:to>
          <xdr:col>11</xdr:col>
          <xdr:colOff>784860</xdr:colOff>
          <xdr:row>48</xdr:row>
          <xdr:rowOff>251460</xdr:rowOff>
        </xdr:to>
        <xdr:sp macro="" textlink="">
          <xdr:nvSpPr>
            <xdr:cNvPr id="198733" name="Spinner 77" hidden="1">
              <a:extLst>
                <a:ext uri="{63B3BB69-23CF-44E3-9099-C40C66FF867C}">
                  <a14:compatExt spid="_x0000_s198733"/>
                </a:ext>
                <a:ext uri="{FF2B5EF4-FFF2-40B4-BE49-F238E27FC236}">
                  <a16:creationId xmlns:a16="http://schemas.microsoft.com/office/drawing/2014/main" id="{00000000-0008-0000-0100-00004D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48</xdr:row>
          <xdr:rowOff>22860</xdr:rowOff>
        </xdr:from>
        <xdr:to>
          <xdr:col>11</xdr:col>
          <xdr:colOff>784860</xdr:colOff>
          <xdr:row>48</xdr:row>
          <xdr:rowOff>251460</xdr:rowOff>
        </xdr:to>
        <xdr:sp macro="" textlink="">
          <xdr:nvSpPr>
            <xdr:cNvPr id="198734" name="Spinner 78" hidden="1">
              <a:extLst>
                <a:ext uri="{63B3BB69-23CF-44E3-9099-C40C66FF867C}">
                  <a14:compatExt spid="_x0000_s198734"/>
                </a:ext>
                <a:ext uri="{FF2B5EF4-FFF2-40B4-BE49-F238E27FC236}">
                  <a16:creationId xmlns:a16="http://schemas.microsoft.com/office/drawing/2014/main" id="{00000000-0008-0000-0100-00004E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48</xdr:row>
          <xdr:rowOff>7620</xdr:rowOff>
        </xdr:from>
        <xdr:to>
          <xdr:col>10</xdr:col>
          <xdr:colOff>1295400</xdr:colOff>
          <xdr:row>48</xdr:row>
          <xdr:rowOff>236220</xdr:rowOff>
        </xdr:to>
        <xdr:sp macro="" textlink="">
          <xdr:nvSpPr>
            <xdr:cNvPr id="198735" name="Spinner 79" hidden="1">
              <a:extLst>
                <a:ext uri="{63B3BB69-23CF-44E3-9099-C40C66FF867C}">
                  <a14:compatExt spid="_x0000_s198735"/>
                </a:ext>
                <a:ext uri="{FF2B5EF4-FFF2-40B4-BE49-F238E27FC236}">
                  <a16:creationId xmlns:a16="http://schemas.microsoft.com/office/drawing/2014/main" id="{00000000-0008-0000-0100-00004F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49</xdr:row>
          <xdr:rowOff>22860</xdr:rowOff>
        </xdr:from>
        <xdr:to>
          <xdr:col>11</xdr:col>
          <xdr:colOff>784860</xdr:colOff>
          <xdr:row>49</xdr:row>
          <xdr:rowOff>251460</xdr:rowOff>
        </xdr:to>
        <xdr:sp macro="" textlink="">
          <xdr:nvSpPr>
            <xdr:cNvPr id="198736" name="Spinner 80" hidden="1">
              <a:extLst>
                <a:ext uri="{63B3BB69-23CF-44E3-9099-C40C66FF867C}">
                  <a14:compatExt spid="_x0000_s198736"/>
                </a:ext>
                <a:ext uri="{FF2B5EF4-FFF2-40B4-BE49-F238E27FC236}">
                  <a16:creationId xmlns:a16="http://schemas.microsoft.com/office/drawing/2014/main" id="{00000000-0008-0000-0100-000050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49</xdr:row>
          <xdr:rowOff>22860</xdr:rowOff>
        </xdr:from>
        <xdr:to>
          <xdr:col>11</xdr:col>
          <xdr:colOff>784860</xdr:colOff>
          <xdr:row>49</xdr:row>
          <xdr:rowOff>251460</xdr:rowOff>
        </xdr:to>
        <xdr:sp macro="" textlink="">
          <xdr:nvSpPr>
            <xdr:cNvPr id="198737" name="Spinner 81" hidden="1">
              <a:extLst>
                <a:ext uri="{63B3BB69-23CF-44E3-9099-C40C66FF867C}">
                  <a14:compatExt spid="_x0000_s198737"/>
                </a:ext>
                <a:ext uri="{FF2B5EF4-FFF2-40B4-BE49-F238E27FC236}">
                  <a16:creationId xmlns:a16="http://schemas.microsoft.com/office/drawing/2014/main" id="{00000000-0008-0000-0100-000051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49</xdr:row>
          <xdr:rowOff>22860</xdr:rowOff>
        </xdr:from>
        <xdr:to>
          <xdr:col>11</xdr:col>
          <xdr:colOff>784860</xdr:colOff>
          <xdr:row>49</xdr:row>
          <xdr:rowOff>251460</xdr:rowOff>
        </xdr:to>
        <xdr:sp macro="" textlink="">
          <xdr:nvSpPr>
            <xdr:cNvPr id="198738" name="Spinner 82" hidden="1">
              <a:extLst>
                <a:ext uri="{63B3BB69-23CF-44E3-9099-C40C66FF867C}">
                  <a14:compatExt spid="_x0000_s198738"/>
                </a:ext>
                <a:ext uri="{FF2B5EF4-FFF2-40B4-BE49-F238E27FC236}">
                  <a16:creationId xmlns:a16="http://schemas.microsoft.com/office/drawing/2014/main" id="{00000000-0008-0000-0100-000052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49</xdr:row>
          <xdr:rowOff>7620</xdr:rowOff>
        </xdr:from>
        <xdr:to>
          <xdr:col>10</xdr:col>
          <xdr:colOff>1295400</xdr:colOff>
          <xdr:row>49</xdr:row>
          <xdr:rowOff>236220</xdr:rowOff>
        </xdr:to>
        <xdr:sp macro="" textlink="">
          <xdr:nvSpPr>
            <xdr:cNvPr id="198739" name="Spinner 83" hidden="1">
              <a:extLst>
                <a:ext uri="{63B3BB69-23CF-44E3-9099-C40C66FF867C}">
                  <a14:compatExt spid="_x0000_s198739"/>
                </a:ext>
                <a:ext uri="{FF2B5EF4-FFF2-40B4-BE49-F238E27FC236}">
                  <a16:creationId xmlns:a16="http://schemas.microsoft.com/office/drawing/2014/main" id="{00000000-0008-0000-0100-000053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17</xdr:row>
          <xdr:rowOff>7620</xdr:rowOff>
        </xdr:from>
        <xdr:to>
          <xdr:col>10</xdr:col>
          <xdr:colOff>1295400</xdr:colOff>
          <xdr:row>17</xdr:row>
          <xdr:rowOff>236220</xdr:rowOff>
        </xdr:to>
        <xdr:sp macro="" textlink="">
          <xdr:nvSpPr>
            <xdr:cNvPr id="198745" name="Spinner 89" hidden="1">
              <a:extLst>
                <a:ext uri="{63B3BB69-23CF-44E3-9099-C40C66FF867C}">
                  <a14:compatExt spid="_x0000_s198745"/>
                </a:ext>
                <a:ext uri="{FF2B5EF4-FFF2-40B4-BE49-F238E27FC236}">
                  <a16:creationId xmlns:a16="http://schemas.microsoft.com/office/drawing/2014/main" id="{00000000-0008-0000-0100-000059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18</xdr:row>
          <xdr:rowOff>7620</xdr:rowOff>
        </xdr:from>
        <xdr:to>
          <xdr:col>10</xdr:col>
          <xdr:colOff>1295400</xdr:colOff>
          <xdr:row>18</xdr:row>
          <xdr:rowOff>236220</xdr:rowOff>
        </xdr:to>
        <xdr:sp macro="" textlink="">
          <xdr:nvSpPr>
            <xdr:cNvPr id="198746" name="Spinner 90" hidden="1">
              <a:extLst>
                <a:ext uri="{63B3BB69-23CF-44E3-9099-C40C66FF867C}">
                  <a14:compatExt spid="_x0000_s198746"/>
                </a:ext>
                <a:ext uri="{FF2B5EF4-FFF2-40B4-BE49-F238E27FC236}">
                  <a16:creationId xmlns:a16="http://schemas.microsoft.com/office/drawing/2014/main" id="{00000000-0008-0000-0100-00005A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19</xdr:row>
          <xdr:rowOff>7620</xdr:rowOff>
        </xdr:from>
        <xdr:to>
          <xdr:col>10</xdr:col>
          <xdr:colOff>1295400</xdr:colOff>
          <xdr:row>19</xdr:row>
          <xdr:rowOff>236220</xdr:rowOff>
        </xdr:to>
        <xdr:sp macro="" textlink="">
          <xdr:nvSpPr>
            <xdr:cNvPr id="198747" name="Spinner 91" hidden="1">
              <a:extLst>
                <a:ext uri="{63B3BB69-23CF-44E3-9099-C40C66FF867C}">
                  <a14:compatExt spid="_x0000_s198747"/>
                </a:ext>
                <a:ext uri="{FF2B5EF4-FFF2-40B4-BE49-F238E27FC236}">
                  <a16:creationId xmlns:a16="http://schemas.microsoft.com/office/drawing/2014/main" id="{00000000-0008-0000-0100-00005B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48</xdr:row>
          <xdr:rowOff>7620</xdr:rowOff>
        </xdr:from>
        <xdr:to>
          <xdr:col>10</xdr:col>
          <xdr:colOff>1295400</xdr:colOff>
          <xdr:row>48</xdr:row>
          <xdr:rowOff>236220</xdr:rowOff>
        </xdr:to>
        <xdr:sp macro="" textlink="">
          <xdr:nvSpPr>
            <xdr:cNvPr id="198749" name="Spinner 93" hidden="1">
              <a:extLst>
                <a:ext uri="{63B3BB69-23CF-44E3-9099-C40C66FF867C}">
                  <a14:compatExt spid="_x0000_s198749"/>
                </a:ext>
                <a:ext uri="{FF2B5EF4-FFF2-40B4-BE49-F238E27FC236}">
                  <a16:creationId xmlns:a16="http://schemas.microsoft.com/office/drawing/2014/main" id="{00000000-0008-0000-0100-00005D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49</xdr:row>
          <xdr:rowOff>7620</xdr:rowOff>
        </xdr:from>
        <xdr:to>
          <xdr:col>10</xdr:col>
          <xdr:colOff>1295400</xdr:colOff>
          <xdr:row>49</xdr:row>
          <xdr:rowOff>236220</xdr:rowOff>
        </xdr:to>
        <xdr:sp macro="" textlink="">
          <xdr:nvSpPr>
            <xdr:cNvPr id="198750" name="Spinner 94" hidden="1">
              <a:extLst>
                <a:ext uri="{63B3BB69-23CF-44E3-9099-C40C66FF867C}">
                  <a14:compatExt spid="_x0000_s198750"/>
                </a:ext>
                <a:ext uri="{FF2B5EF4-FFF2-40B4-BE49-F238E27FC236}">
                  <a16:creationId xmlns:a16="http://schemas.microsoft.com/office/drawing/2014/main" id="{00000000-0008-0000-0100-00005E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17</xdr:row>
          <xdr:rowOff>7620</xdr:rowOff>
        </xdr:from>
        <xdr:to>
          <xdr:col>10</xdr:col>
          <xdr:colOff>1295400</xdr:colOff>
          <xdr:row>17</xdr:row>
          <xdr:rowOff>236220</xdr:rowOff>
        </xdr:to>
        <xdr:sp macro="" textlink="">
          <xdr:nvSpPr>
            <xdr:cNvPr id="198751" name="Spinner 95" hidden="1">
              <a:extLst>
                <a:ext uri="{63B3BB69-23CF-44E3-9099-C40C66FF867C}">
                  <a14:compatExt spid="_x0000_s198751"/>
                </a:ext>
                <a:ext uri="{FF2B5EF4-FFF2-40B4-BE49-F238E27FC236}">
                  <a16:creationId xmlns:a16="http://schemas.microsoft.com/office/drawing/2014/main" id="{00000000-0008-0000-0100-00005F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18</xdr:row>
          <xdr:rowOff>7620</xdr:rowOff>
        </xdr:from>
        <xdr:to>
          <xdr:col>10</xdr:col>
          <xdr:colOff>1295400</xdr:colOff>
          <xdr:row>18</xdr:row>
          <xdr:rowOff>236220</xdr:rowOff>
        </xdr:to>
        <xdr:sp macro="" textlink="">
          <xdr:nvSpPr>
            <xdr:cNvPr id="198752" name="Spinner 96" hidden="1">
              <a:extLst>
                <a:ext uri="{63B3BB69-23CF-44E3-9099-C40C66FF867C}">
                  <a14:compatExt spid="_x0000_s198752"/>
                </a:ext>
                <a:ext uri="{FF2B5EF4-FFF2-40B4-BE49-F238E27FC236}">
                  <a16:creationId xmlns:a16="http://schemas.microsoft.com/office/drawing/2014/main" id="{00000000-0008-0000-0100-000060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19</xdr:row>
          <xdr:rowOff>7620</xdr:rowOff>
        </xdr:from>
        <xdr:to>
          <xdr:col>10</xdr:col>
          <xdr:colOff>1295400</xdr:colOff>
          <xdr:row>19</xdr:row>
          <xdr:rowOff>236220</xdr:rowOff>
        </xdr:to>
        <xdr:sp macro="" textlink="">
          <xdr:nvSpPr>
            <xdr:cNvPr id="198753" name="Spinner 97" hidden="1">
              <a:extLst>
                <a:ext uri="{63B3BB69-23CF-44E3-9099-C40C66FF867C}">
                  <a14:compatExt spid="_x0000_s198753"/>
                </a:ext>
                <a:ext uri="{FF2B5EF4-FFF2-40B4-BE49-F238E27FC236}">
                  <a16:creationId xmlns:a16="http://schemas.microsoft.com/office/drawing/2014/main" id="{00000000-0008-0000-0100-000061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48</xdr:row>
          <xdr:rowOff>7620</xdr:rowOff>
        </xdr:from>
        <xdr:to>
          <xdr:col>10</xdr:col>
          <xdr:colOff>1295400</xdr:colOff>
          <xdr:row>48</xdr:row>
          <xdr:rowOff>236220</xdr:rowOff>
        </xdr:to>
        <xdr:sp macro="" textlink="">
          <xdr:nvSpPr>
            <xdr:cNvPr id="198755" name="Spinner 99" hidden="1">
              <a:extLst>
                <a:ext uri="{63B3BB69-23CF-44E3-9099-C40C66FF867C}">
                  <a14:compatExt spid="_x0000_s198755"/>
                </a:ext>
                <a:ext uri="{FF2B5EF4-FFF2-40B4-BE49-F238E27FC236}">
                  <a16:creationId xmlns:a16="http://schemas.microsoft.com/office/drawing/2014/main" id="{00000000-0008-0000-0100-000063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49</xdr:row>
          <xdr:rowOff>7620</xdr:rowOff>
        </xdr:from>
        <xdr:to>
          <xdr:col>10</xdr:col>
          <xdr:colOff>1295400</xdr:colOff>
          <xdr:row>49</xdr:row>
          <xdr:rowOff>236220</xdr:rowOff>
        </xdr:to>
        <xdr:sp macro="" textlink="">
          <xdr:nvSpPr>
            <xdr:cNvPr id="198756" name="Spinner 100" hidden="1">
              <a:extLst>
                <a:ext uri="{63B3BB69-23CF-44E3-9099-C40C66FF867C}">
                  <a14:compatExt spid="_x0000_s198756"/>
                </a:ext>
                <a:ext uri="{FF2B5EF4-FFF2-40B4-BE49-F238E27FC236}">
                  <a16:creationId xmlns:a16="http://schemas.microsoft.com/office/drawing/2014/main" id="{00000000-0008-0000-0100-000064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17</xdr:row>
          <xdr:rowOff>22860</xdr:rowOff>
        </xdr:from>
        <xdr:to>
          <xdr:col>11</xdr:col>
          <xdr:colOff>784860</xdr:colOff>
          <xdr:row>17</xdr:row>
          <xdr:rowOff>251460</xdr:rowOff>
        </xdr:to>
        <xdr:sp macro="" textlink="">
          <xdr:nvSpPr>
            <xdr:cNvPr id="198757" name="Spinner 101" hidden="1">
              <a:extLst>
                <a:ext uri="{63B3BB69-23CF-44E3-9099-C40C66FF867C}">
                  <a14:compatExt spid="_x0000_s198757"/>
                </a:ext>
                <a:ext uri="{FF2B5EF4-FFF2-40B4-BE49-F238E27FC236}">
                  <a16:creationId xmlns:a16="http://schemas.microsoft.com/office/drawing/2014/main" id="{00000000-0008-0000-0100-000065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18</xdr:row>
          <xdr:rowOff>22860</xdr:rowOff>
        </xdr:from>
        <xdr:to>
          <xdr:col>11</xdr:col>
          <xdr:colOff>784860</xdr:colOff>
          <xdr:row>18</xdr:row>
          <xdr:rowOff>251460</xdr:rowOff>
        </xdr:to>
        <xdr:sp macro="" textlink="">
          <xdr:nvSpPr>
            <xdr:cNvPr id="198758" name="Spinner 102" hidden="1">
              <a:extLst>
                <a:ext uri="{63B3BB69-23CF-44E3-9099-C40C66FF867C}">
                  <a14:compatExt spid="_x0000_s198758"/>
                </a:ext>
                <a:ext uri="{FF2B5EF4-FFF2-40B4-BE49-F238E27FC236}">
                  <a16:creationId xmlns:a16="http://schemas.microsoft.com/office/drawing/2014/main" id="{00000000-0008-0000-0100-000066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19</xdr:row>
          <xdr:rowOff>22860</xdr:rowOff>
        </xdr:from>
        <xdr:to>
          <xdr:col>11</xdr:col>
          <xdr:colOff>784860</xdr:colOff>
          <xdr:row>19</xdr:row>
          <xdr:rowOff>251460</xdr:rowOff>
        </xdr:to>
        <xdr:sp macro="" textlink="">
          <xdr:nvSpPr>
            <xdr:cNvPr id="198759" name="Spinner 103" hidden="1">
              <a:extLst>
                <a:ext uri="{63B3BB69-23CF-44E3-9099-C40C66FF867C}">
                  <a14:compatExt spid="_x0000_s198759"/>
                </a:ext>
                <a:ext uri="{FF2B5EF4-FFF2-40B4-BE49-F238E27FC236}">
                  <a16:creationId xmlns:a16="http://schemas.microsoft.com/office/drawing/2014/main" id="{00000000-0008-0000-0100-000067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48</xdr:row>
          <xdr:rowOff>0</xdr:rowOff>
        </xdr:from>
        <xdr:to>
          <xdr:col>11</xdr:col>
          <xdr:colOff>784860</xdr:colOff>
          <xdr:row>48</xdr:row>
          <xdr:rowOff>0</xdr:rowOff>
        </xdr:to>
        <xdr:sp macro="" textlink="">
          <xdr:nvSpPr>
            <xdr:cNvPr id="198760" name="Spinner 104" hidden="1">
              <a:extLst>
                <a:ext uri="{63B3BB69-23CF-44E3-9099-C40C66FF867C}">
                  <a14:compatExt spid="_x0000_s198760"/>
                </a:ext>
                <a:ext uri="{FF2B5EF4-FFF2-40B4-BE49-F238E27FC236}">
                  <a16:creationId xmlns:a16="http://schemas.microsoft.com/office/drawing/2014/main" id="{00000000-0008-0000-0100-000068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48</xdr:row>
          <xdr:rowOff>22860</xdr:rowOff>
        </xdr:from>
        <xdr:to>
          <xdr:col>11</xdr:col>
          <xdr:colOff>784860</xdr:colOff>
          <xdr:row>48</xdr:row>
          <xdr:rowOff>251460</xdr:rowOff>
        </xdr:to>
        <xdr:sp macro="" textlink="">
          <xdr:nvSpPr>
            <xdr:cNvPr id="198761" name="Spinner 105" hidden="1">
              <a:extLst>
                <a:ext uri="{63B3BB69-23CF-44E3-9099-C40C66FF867C}">
                  <a14:compatExt spid="_x0000_s198761"/>
                </a:ext>
                <a:ext uri="{FF2B5EF4-FFF2-40B4-BE49-F238E27FC236}">
                  <a16:creationId xmlns:a16="http://schemas.microsoft.com/office/drawing/2014/main" id="{00000000-0008-0000-0100-000069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49</xdr:row>
          <xdr:rowOff>22860</xdr:rowOff>
        </xdr:from>
        <xdr:to>
          <xdr:col>11</xdr:col>
          <xdr:colOff>784860</xdr:colOff>
          <xdr:row>49</xdr:row>
          <xdr:rowOff>251460</xdr:rowOff>
        </xdr:to>
        <xdr:sp macro="" textlink="">
          <xdr:nvSpPr>
            <xdr:cNvPr id="198762" name="Spinner 106" hidden="1">
              <a:extLst>
                <a:ext uri="{63B3BB69-23CF-44E3-9099-C40C66FF867C}">
                  <a14:compatExt spid="_x0000_s198762"/>
                </a:ext>
                <a:ext uri="{FF2B5EF4-FFF2-40B4-BE49-F238E27FC236}">
                  <a16:creationId xmlns:a16="http://schemas.microsoft.com/office/drawing/2014/main" id="{00000000-0008-0000-0100-00006A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17</xdr:row>
          <xdr:rowOff>7620</xdr:rowOff>
        </xdr:from>
        <xdr:to>
          <xdr:col>10</xdr:col>
          <xdr:colOff>1295400</xdr:colOff>
          <xdr:row>17</xdr:row>
          <xdr:rowOff>236220</xdr:rowOff>
        </xdr:to>
        <xdr:sp macro="" textlink="">
          <xdr:nvSpPr>
            <xdr:cNvPr id="198763" name="Spinner 107" hidden="1">
              <a:extLst>
                <a:ext uri="{63B3BB69-23CF-44E3-9099-C40C66FF867C}">
                  <a14:compatExt spid="_x0000_s198763"/>
                </a:ext>
                <a:ext uri="{FF2B5EF4-FFF2-40B4-BE49-F238E27FC236}">
                  <a16:creationId xmlns:a16="http://schemas.microsoft.com/office/drawing/2014/main" id="{00000000-0008-0000-0100-00006B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18</xdr:row>
          <xdr:rowOff>7620</xdr:rowOff>
        </xdr:from>
        <xdr:to>
          <xdr:col>10</xdr:col>
          <xdr:colOff>1295400</xdr:colOff>
          <xdr:row>18</xdr:row>
          <xdr:rowOff>236220</xdr:rowOff>
        </xdr:to>
        <xdr:sp macro="" textlink="">
          <xdr:nvSpPr>
            <xdr:cNvPr id="198764" name="Spinner 108" hidden="1">
              <a:extLst>
                <a:ext uri="{63B3BB69-23CF-44E3-9099-C40C66FF867C}">
                  <a14:compatExt spid="_x0000_s198764"/>
                </a:ext>
                <a:ext uri="{FF2B5EF4-FFF2-40B4-BE49-F238E27FC236}">
                  <a16:creationId xmlns:a16="http://schemas.microsoft.com/office/drawing/2014/main" id="{00000000-0008-0000-0100-00006C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19</xdr:row>
          <xdr:rowOff>7620</xdr:rowOff>
        </xdr:from>
        <xdr:to>
          <xdr:col>10</xdr:col>
          <xdr:colOff>1295400</xdr:colOff>
          <xdr:row>19</xdr:row>
          <xdr:rowOff>236220</xdr:rowOff>
        </xdr:to>
        <xdr:sp macro="" textlink="">
          <xdr:nvSpPr>
            <xdr:cNvPr id="198765" name="Spinner 109" hidden="1">
              <a:extLst>
                <a:ext uri="{63B3BB69-23CF-44E3-9099-C40C66FF867C}">
                  <a14:compatExt spid="_x0000_s198765"/>
                </a:ext>
                <a:ext uri="{FF2B5EF4-FFF2-40B4-BE49-F238E27FC236}">
                  <a16:creationId xmlns:a16="http://schemas.microsoft.com/office/drawing/2014/main" id="{00000000-0008-0000-0100-00006D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48</xdr:row>
          <xdr:rowOff>7620</xdr:rowOff>
        </xdr:from>
        <xdr:to>
          <xdr:col>10</xdr:col>
          <xdr:colOff>1295400</xdr:colOff>
          <xdr:row>48</xdr:row>
          <xdr:rowOff>236220</xdr:rowOff>
        </xdr:to>
        <xdr:sp macro="" textlink="">
          <xdr:nvSpPr>
            <xdr:cNvPr id="198767" name="Spinner 111" hidden="1">
              <a:extLst>
                <a:ext uri="{63B3BB69-23CF-44E3-9099-C40C66FF867C}">
                  <a14:compatExt spid="_x0000_s198767"/>
                </a:ext>
                <a:ext uri="{FF2B5EF4-FFF2-40B4-BE49-F238E27FC236}">
                  <a16:creationId xmlns:a16="http://schemas.microsoft.com/office/drawing/2014/main" id="{00000000-0008-0000-0100-00006F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49</xdr:row>
          <xdr:rowOff>7620</xdr:rowOff>
        </xdr:from>
        <xdr:to>
          <xdr:col>10</xdr:col>
          <xdr:colOff>1295400</xdr:colOff>
          <xdr:row>49</xdr:row>
          <xdr:rowOff>236220</xdr:rowOff>
        </xdr:to>
        <xdr:sp macro="" textlink="">
          <xdr:nvSpPr>
            <xdr:cNvPr id="198768" name="Spinner 112" hidden="1">
              <a:extLst>
                <a:ext uri="{63B3BB69-23CF-44E3-9099-C40C66FF867C}">
                  <a14:compatExt spid="_x0000_s198768"/>
                </a:ext>
                <a:ext uri="{FF2B5EF4-FFF2-40B4-BE49-F238E27FC236}">
                  <a16:creationId xmlns:a16="http://schemas.microsoft.com/office/drawing/2014/main" id="{00000000-0008-0000-0100-000070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17</xdr:row>
          <xdr:rowOff>7620</xdr:rowOff>
        </xdr:from>
        <xdr:to>
          <xdr:col>10</xdr:col>
          <xdr:colOff>1295400</xdr:colOff>
          <xdr:row>17</xdr:row>
          <xdr:rowOff>236220</xdr:rowOff>
        </xdr:to>
        <xdr:sp macro="" textlink="">
          <xdr:nvSpPr>
            <xdr:cNvPr id="198769" name="Spinner 113" hidden="1">
              <a:extLst>
                <a:ext uri="{63B3BB69-23CF-44E3-9099-C40C66FF867C}">
                  <a14:compatExt spid="_x0000_s198769"/>
                </a:ext>
                <a:ext uri="{FF2B5EF4-FFF2-40B4-BE49-F238E27FC236}">
                  <a16:creationId xmlns:a16="http://schemas.microsoft.com/office/drawing/2014/main" id="{00000000-0008-0000-0100-000071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18</xdr:row>
          <xdr:rowOff>7620</xdr:rowOff>
        </xdr:from>
        <xdr:to>
          <xdr:col>10</xdr:col>
          <xdr:colOff>1295400</xdr:colOff>
          <xdr:row>18</xdr:row>
          <xdr:rowOff>236220</xdr:rowOff>
        </xdr:to>
        <xdr:sp macro="" textlink="">
          <xdr:nvSpPr>
            <xdr:cNvPr id="198770" name="Spinner 114" hidden="1">
              <a:extLst>
                <a:ext uri="{63B3BB69-23CF-44E3-9099-C40C66FF867C}">
                  <a14:compatExt spid="_x0000_s198770"/>
                </a:ext>
                <a:ext uri="{FF2B5EF4-FFF2-40B4-BE49-F238E27FC236}">
                  <a16:creationId xmlns:a16="http://schemas.microsoft.com/office/drawing/2014/main" id="{00000000-0008-0000-0100-000072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19</xdr:row>
          <xdr:rowOff>7620</xdr:rowOff>
        </xdr:from>
        <xdr:to>
          <xdr:col>10</xdr:col>
          <xdr:colOff>1295400</xdr:colOff>
          <xdr:row>19</xdr:row>
          <xdr:rowOff>236220</xdr:rowOff>
        </xdr:to>
        <xdr:sp macro="" textlink="">
          <xdr:nvSpPr>
            <xdr:cNvPr id="198771" name="Spinner 115" hidden="1">
              <a:extLst>
                <a:ext uri="{63B3BB69-23CF-44E3-9099-C40C66FF867C}">
                  <a14:compatExt spid="_x0000_s198771"/>
                </a:ext>
                <a:ext uri="{FF2B5EF4-FFF2-40B4-BE49-F238E27FC236}">
                  <a16:creationId xmlns:a16="http://schemas.microsoft.com/office/drawing/2014/main" id="{00000000-0008-0000-0100-000073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48</xdr:row>
          <xdr:rowOff>7620</xdr:rowOff>
        </xdr:from>
        <xdr:to>
          <xdr:col>10</xdr:col>
          <xdr:colOff>1295400</xdr:colOff>
          <xdr:row>48</xdr:row>
          <xdr:rowOff>236220</xdr:rowOff>
        </xdr:to>
        <xdr:sp macro="" textlink="">
          <xdr:nvSpPr>
            <xdr:cNvPr id="198773" name="Spinner 117" hidden="1">
              <a:extLst>
                <a:ext uri="{63B3BB69-23CF-44E3-9099-C40C66FF867C}">
                  <a14:compatExt spid="_x0000_s198773"/>
                </a:ext>
                <a:ext uri="{FF2B5EF4-FFF2-40B4-BE49-F238E27FC236}">
                  <a16:creationId xmlns:a16="http://schemas.microsoft.com/office/drawing/2014/main" id="{00000000-0008-0000-0100-000075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49</xdr:row>
          <xdr:rowOff>7620</xdr:rowOff>
        </xdr:from>
        <xdr:to>
          <xdr:col>10</xdr:col>
          <xdr:colOff>1295400</xdr:colOff>
          <xdr:row>49</xdr:row>
          <xdr:rowOff>236220</xdr:rowOff>
        </xdr:to>
        <xdr:sp macro="" textlink="">
          <xdr:nvSpPr>
            <xdr:cNvPr id="198774" name="Spinner 118" hidden="1">
              <a:extLst>
                <a:ext uri="{63B3BB69-23CF-44E3-9099-C40C66FF867C}">
                  <a14:compatExt spid="_x0000_s198774"/>
                </a:ext>
                <a:ext uri="{FF2B5EF4-FFF2-40B4-BE49-F238E27FC236}">
                  <a16:creationId xmlns:a16="http://schemas.microsoft.com/office/drawing/2014/main" id="{00000000-0008-0000-0100-000076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20</xdr:row>
          <xdr:rowOff>22860</xdr:rowOff>
        </xdr:from>
        <xdr:to>
          <xdr:col>11</xdr:col>
          <xdr:colOff>784860</xdr:colOff>
          <xdr:row>20</xdr:row>
          <xdr:rowOff>251460</xdr:rowOff>
        </xdr:to>
        <xdr:sp macro="" textlink="">
          <xdr:nvSpPr>
            <xdr:cNvPr id="198777" name="Spinner 121" hidden="1">
              <a:extLst>
                <a:ext uri="{63B3BB69-23CF-44E3-9099-C40C66FF867C}">
                  <a14:compatExt spid="_x0000_s198777"/>
                </a:ext>
                <a:ext uri="{FF2B5EF4-FFF2-40B4-BE49-F238E27FC236}">
                  <a16:creationId xmlns:a16="http://schemas.microsoft.com/office/drawing/2014/main" id="{00000000-0008-0000-0100-000079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20</xdr:row>
          <xdr:rowOff>22860</xdr:rowOff>
        </xdr:from>
        <xdr:to>
          <xdr:col>11</xdr:col>
          <xdr:colOff>784860</xdr:colOff>
          <xdr:row>20</xdr:row>
          <xdr:rowOff>251460</xdr:rowOff>
        </xdr:to>
        <xdr:sp macro="" textlink="">
          <xdr:nvSpPr>
            <xdr:cNvPr id="198778" name="Spinner 122" hidden="1">
              <a:extLst>
                <a:ext uri="{63B3BB69-23CF-44E3-9099-C40C66FF867C}">
                  <a14:compatExt spid="_x0000_s198778"/>
                </a:ext>
                <a:ext uri="{FF2B5EF4-FFF2-40B4-BE49-F238E27FC236}">
                  <a16:creationId xmlns:a16="http://schemas.microsoft.com/office/drawing/2014/main" id="{00000000-0008-0000-0100-00007A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20</xdr:row>
          <xdr:rowOff>22860</xdr:rowOff>
        </xdr:from>
        <xdr:to>
          <xdr:col>11</xdr:col>
          <xdr:colOff>784860</xdr:colOff>
          <xdr:row>20</xdr:row>
          <xdr:rowOff>251460</xdr:rowOff>
        </xdr:to>
        <xdr:sp macro="" textlink="">
          <xdr:nvSpPr>
            <xdr:cNvPr id="198779" name="Spinner 123" hidden="1">
              <a:extLst>
                <a:ext uri="{63B3BB69-23CF-44E3-9099-C40C66FF867C}">
                  <a14:compatExt spid="_x0000_s198779"/>
                </a:ext>
                <a:ext uri="{FF2B5EF4-FFF2-40B4-BE49-F238E27FC236}">
                  <a16:creationId xmlns:a16="http://schemas.microsoft.com/office/drawing/2014/main" id="{00000000-0008-0000-0100-00007B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20</xdr:row>
          <xdr:rowOff>7620</xdr:rowOff>
        </xdr:from>
        <xdr:to>
          <xdr:col>10</xdr:col>
          <xdr:colOff>1295400</xdr:colOff>
          <xdr:row>20</xdr:row>
          <xdr:rowOff>236220</xdr:rowOff>
        </xdr:to>
        <xdr:sp macro="" textlink="">
          <xdr:nvSpPr>
            <xdr:cNvPr id="198780" name="Spinner 124" hidden="1">
              <a:extLst>
                <a:ext uri="{63B3BB69-23CF-44E3-9099-C40C66FF867C}">
                  <a14:compatExt spid="_x0000_s198780"/>
                </a:ext>
                <a:ext uri="{FF2B5EF4-FFF2-40B4-BE49-F238E27FC236}">
                  <a16:creationId xmlns:a16="http://schemas.microsoft.com/office/drawing/2014/main" id="{00000000-0008-0000-0100-00007C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20</xdr:row>
          <xdr:rowOff>7620</xdr:rowOff>
        </xdr:from>
        <xdr:to>
          <xdr:col>10</xdr:col>
          <xdr:colOff>1295400</xdr:colOff>
          <xdr:row>20</xdr:row>
          <xdr:rowOff>236220</xdr:rowOff>
        </xdr:to>
        <xdr:sp macro="" textlink="">
          <xdr:nvSpPr>
            <xdr:cNvPr id="198781" name="Spinner 125" hidden="1">
              <a:extLst>
                <a:ext uri="{63B3BB69-23CF-44E3-9099-C40C66FF867C}">
                  <a14:compatExt spid="_x0000_s198781"/>
                </a:ext>
                <a:ext uri="{FF2B5EF4-FFF2-40B4-BE49-F238E27FC236}">
                  <a16:creationId xmlns:a16="http://schemas.microsoft.com/office/drawing/2014/main" id="{00000000-0008-0000-0100-00007D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20</xdr:row>
          <xdr:rowOff>7620</xdr:rowOff>
        </xdr:from>
        <xdr:to>
          <xdr:col>10</xdr:col>
          <xdr:colOff>1295400</xdr:colOff>
          <xdr:row>20</xdr:row>
          <xdr:rowOff>236220</xdr:rowOff>
        </xdr:to>
        <xdr:sp macro="" textlink="">
          <xdr:nvSpPr>
            <xdr:cNvPr id="198782" name="Spinner 126" hidden="1">
              <a:extLst>
                <a:ext uri="{63B3BB69-23CF-44E3-9099-C40C66FF867C}">
                  <a14:compatExt spid="_x0000_s198782"/>
                </a:ext>
                <a:ext uri="{FF2B5EF4-FFF2-40B4-BE49-F238E27FC236}">
                  <a16:creationId xmlns:a16="http://schemas.microsoft.com/office/drawing/2014/main" id="{00000000-0008-0000-0100-00007E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20</xdr:row>
          <xdr:rowOff>22860</xdr:rowOff>
        </xdr:from>
        <xdr:to>
          <xdr:col>11</xdr:col>
          <xdr:colOff>784860</xdr:colOff>
          <xdr:row>20</xdr:row>
          <xdr:rowOff>251460</xdr:rowOff>
        </xdr:to>
        <xdr:sp macro="" textlink="">
          <xdr:nvSpPr>
            <xdr:cNvPr id="198783" name="Spinner 127" hidden="1">
              <a:extLst>
                <a:ext uri="{63B3BB69-23CF-44E3-9099-C40C66FF867C}">
                  <a14:compatExt spid="_x0000_s198783"/>
                </a:ext>
                <a:ext uri="{FF2B5EF4-FFF2-40B4-BE49-F238E27FC236}">
                  <a16:creationId xmlns:a16="http://schemas.microsoft.com/office/drawing/2014/main" id="{00000000-0008-0000-0100-00007F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20</xdr:row>
          <xdr:rowOff>7620</xdr:rowOff>
        </xdr:from>
        <xdr:to>
          <xdr:col>10</xdr:col>
          <xdr:colOff>1295400</xdr:colOff>
          <xdr:row>20</xdr:row>
          <xdr:rowOff>236220</xdr:rowOff>
        </xdr:to>
        <xdr:sp macro="" textlink="">
          <xdr:nvSpPr>
            <xdr:cNvPr id="198784" name="Spinner 128" hidden="1">
              <a:extLst>
                <a:ext uri="{63B3BB69-23CF-44E3-9099-C40C66FF867C}">
                  <a14:compatExt spid="_x0000_s198784"/>
                </a:ext>
                <a:ext uri="{FF2B5EF4-FFF2-40B4-BE49-F238E27FC236}">
                  <a16:creationId xmlns:a16="http://schemas.microsoft.com/office/drawing/2014/main" id="{00000000-0008-0000-0100-000080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20</xdr:row>
          <xdr:rowOff>7620</xdr:rowOff>
        </xdr:from>
        <xdr:to>
          <xdr:col>10</xdr:col>
          <xdr:colOff>1295400</xdr:colOff>
          <xdr:row>20</xdr:row>
          <xdr:rowOff>236220</xdr:rowOff>
        </xdr:to>
        <xdr:sp macro="" textlink="">
          <xdr:nvSpPr>
            <xdr:cNvPr id="198785" name="Spinner 129" hidden="1">
              <a:extLst>
                <a:ext uri="{63B3BB69-23CF-44E3-9099-C40C66FF867C}">
                  <a14:compatExt spid="_x0000_s198785"/>
                </a:ext>
                <a:ext uri="{FF2B5EF4-FFF2-40B4-BE49-F238E27FC236}">
                  <a16:creationId xmlns:a16="http://schemas.microsoft.com/office/drawing/2014/main" id="{00000000-0008-0000-0100-000081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21</xdr:row>
          <xdr:rowOff>22860</xdr:rowOff>
        </xdr:from>
        <xdr:to>
          <xdr:col>11</xdr:col>
          <xdr:colOff>784860</xdr:colOff>
          <xdr:row>21</xdr:row>
          <xdr:rowOff>251460</xdr:rowOff>
        </xdr:to>
        <xdr:sp macro="" textlink="">
          <xdr:nvSpPr>
            <xdr:cNvPr id="198786" name="Spinner 130" hidden="1">
              <a:extLst>
                <a:ext uri="{63B3BB69-23CF-44E3-9099-C40C66FF867C}">
                  <a14:compatExt spid="_x0000_s198786"/>
                </a:ext>
                <a:ext uri="{FF2B5EF4-FFF2-40B4-BE49-F238E27FC236}">
                  <a16:creationId xmlns:a16="http://schemas.microsoft.com/office/drawing/2014/main" id="{00000000-0008-0000-0100-000082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21</xdr:row>
          <xdr:rowOff>22860</xdr:rowOff>
        </xdr:from>
        <xdr:to>
          <xdr:col>11</xdr:col>
          <xdr:colOff>784860</xdr:colOff>
          <xdr:row>21</xdr:row>
          <xdr:rowOff>251460</xdr:rowOff>
        </xdr:to>
        <xdr:sp macro="" textlink="">
          <xdr:nvSpPr>
            <xdr:cNvPr id="198787" name="Spinner 131" hidden="1">
              <a:extLst>
                <a:ext uri="{63B3BB69-23CF-44E3-9099-C40C66FF867C}">
                  <a14:compatExt spid="_x0000_s198787"/>
                </a:ext>
                <a:ext uri="{FF2B5EF4-FFF2-40B4-BE49-F238E27FC236}">
                  <a16:creationId xmlns:a16="http://schemas.microsoft.com/office/drawing/2014/main" id="{00000000-0008-0000-0100-000083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21</xdr:row>
          <xdr:rowOff>22860</xdr:rowOff>
        </xdr:from>
        <xdr:to>
          <xdr:col>11</xdr:col>
          <xdr:colOff>784860</xdr:colOff>
          <xdr:row>21</xdr:row>
          <xdr:rowOff>251460</xdr:rowOff>
        </xdr:to>
        <xdr:sp macro="" textlink="">
          <xdr:nvSpPr>
            <xdr:cNvPr id="198788" name="Spinner 132" hidden="1">
              <a:extLst>
                <a:ext uri="{63B3BB69-23CF-44E3-9099-C40C66FF867C}">
                  <a14:compatExt spid="_x0000_s198788"/>
                </a:ext>
                <a:ext uri="{FF2B5EF4-FFF2-40B4-BE49-F238E27FC236}">
                  <a16:creationId xmlns:a16="http://schemas.microsoft.com/office/drawing/2014/main" id="{00000000-0008-0000-0100-000084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21</xdr:row>
          <xdr:rowOff>7620</xdr:rowOff>
        </xdr:from>
        <xdr:to>
          <xdr:col>10</xdr:col>
          <xdr:colOff>1295400</xdr:colOff>
          <xdr:row>21</xdr:row>
          <xdr:rowOff>236220</xdr:rowOff>
        </xdr:to>
        <xdr:sp macro="" textlink="">
          <xdr:nvSpPr>
            <xdr:cNvPr id="198789" name="Spinner 133" hidden="1">
              <a:extLst>
                <a:ext uri="{63B3BB69-23CF-44E3-9099-C40C66FF867C}">
                  <a14:compatExt spid="_x0000_s198789"/>
                </a:ext>
                <a:ext uri="{FF2B5EF4-FFF2-40B4-BE49-F238E27FC236}">
                  <a16:creationId xmlns:a16="http://schemas.microsoft.com/office/drawing/2014/main" id="{00000000-0008-0000-0100-000085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21</xdr:row>
          <xdr:rowOff>7620</xdr:rowOff>
        </xdr:from>
        <xdr:to>
          <xdr:col>10</xdr:col>
          <xdr:colOff>1295400</xdr:colOff>
          <xdr:row>21</xdr:row>
          <xdr:rowOff>236220</xdr:rowOff>
        </xdr:to>
        <xdr:sp macro="" textlink="">
          <xdr:nvSpPr>
            <xdr:cNvPr id="198790" name="Spinner 134" hidden="1">
              <a:extLst>
                <a:ext uri="{63B3BB69-23CF-44E3-9099-C40C66FF867C}">
                  <a14:compatExt spid="_x0000_s198790"/>
                </a:ext>
                <a:ext uri="{FF2B5EF4-FFF2-40B4-BE49-F238E27FC236}">
                  <a16:creationId xmlns:a16="http://schemas.microsoft.com/office/drawing/2014/main" id="{00000000-0008-0000-0100-000086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21</xdr:row>
          <xdr:rowOff>7620</xdr:rowOff>
        </xdr:from>
        <xdr:to>
          <xdr:col>10</xdr:col>
          <xdr:colOff>1295400</xdr:colOff>
          <xdr:row>21</xdr:row>
          <xdr:rowOff>236220</xdr:rowOff>
        </xdr:to>
        <xdr:sp macro="" textlink="">
          <xdr:nvSpPr>
            <xdr:cNvPr id="198791" name="Spinner 135" hidden="1">
              <a:extLst>
                <a:ext uri="{63B3BB69-23CF-44E3-9099-C40C66FF867C}">
                  <a14:compatExt spid="_x0000_s198791"/>
                </a:ext>
                <a:ext uri="{FF2B5EF4-FFF2-40B4-BE49-F238E27FC236}">
                  <a16:creationId xmlns:a16="http://schemas.microsoft.com/office/drawing/2014/main" id="{00000000-0008-0000-0100-000087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21</xdr:row>
          <xdr:rowOff>22860</xdr:rowOff>
        </xdr:from>
        <xdr:to>
          <xdr:col>11</xdr:col>
          <xdr:colOff>784860</xdr:colOff>
          <xdr:row>21</xdr:row>
          <xdr:rowOff>251460</xdr:rowOff>
        </xdr:to>
        <xdr:sp macro="" textlink="">
          <xdr:nvSpPr>
            <xdr:cNvPr id="198792" name="Spinner 136" hidden="1">
              <a:extLst>
                <a:ext uri="{63B3BB69-23CF-44E3-9099-C40C66FF867C}">
                  <a14:compatExt spid="_x0000_s198792"/>
                </a:ext>
                <a:ext uri="{FF2B5EF4-FFF2-40B4-BE49-F238E27FC236}">
                  <a16:creationId xmlns:a16="http://schemas.microsoft.com/office/drawing/2014/main" id="{00000000-0008-0000-0100-000088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21</xdr:row>
          <xdr:rowOff>7620</xdr:rowOff>
        </xdr:from>
        <xdr:to>
          <xdr:col>10</xdr:col>
          <xdr:colOff>1295400</xdr:colOff>
          <xdr:row>21</xdr:row>
          <xdr:rowOff>236220</xdr:rowOff>
        </xdr:to>
        <xdr:sp macro="" textlink="">
          <xdr:nvSpPr>
            <xdr:cNvPr id="198793" name="Spinner 137" hidden="1">
              <a:extLst>
                <a:ext uri="{63B3BB69-23CF-44E3-9099-C40C66FF867C}">
                  <a14:compatExt spid="_x0000_s198793"/>
                </a:ext>
                <a:ext uri="{FF2B5EF4-FFF2-40B4-BE49-F238E27FC236}">
                  <a16:creationId xmlns:a16="http://schemas.microsoft.com/office/drawing/2014/main" id="{00000000-0008-0000-0100-000089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21</xdr:row>
          <xdr:rowOff>7620</xdr:rowOff>
        </xdr:from>
        <xdr:to>
          <xdr:col>10</xdr:col>
          <xdr:colOff>1295400</xdr:colOff>
          <xdr:row>21</xdr:row>
          <xdr:rowOff>236220</xdr:rowOff>
        </xdr:to>
        <xdr:sp macro="" textlink="">
          <xdr:nvSpPr>
            <xdr:cNvPr id="198794" name="Spinner 138" hidden="1">
              <a:extLst>
                <a:ext uri="{63B3BB69-23CF-44E3-9099-C40C66FF867C}">
                  <a14:compatExt spid="_x0000_s198794"/>
                </a:ext>
                <a:ext uri="{FF2B5EF4-FFF2-40B4-BE49-F238E27FC236}">
                  <a16:creationId xmlns:a16="http://schemas.microsoft.com/office/drawing/2014/main" id="{00000000-0008-0000-0100-00008A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22</xdr:row>
          <xdr:rowOff>22860</xdr:rowOff>
        </xdr:from>
        <xdr:to>
          <xdr:col>11</xdr:col>
          <xdr:colOff>784860</xdr:colOff>
          <xdr:row>22</xdr:row>
          <xdr:rowOff>251460</xdr:rowOff>
        </xdr:to>
        <xdr:sp macro="" textlink="">
          <xdr:nvSpPr>
            <xdr:cNvPr id="198795" name="Spinner 139" hidden="1">
              <a:extLst>
                <a:ext uri="{63B3BB69-23CF-44E3-9099-C40C66FF867C}">
                  <a14:compatExt spid="_x0000_s198795"/>
                </a:ext>
                <a:ext uri="{FF2B5EF4-FFF2-40B4-BE49-F238E27FC236}">
                  <a16:creationId xmlns:a16="http://schemas.microsoft.com/office/drawing/2014/main" id="{00000000-0008-0000-0100-00008B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22</xdr:row>
          <xdr:rowOff>22860</xdr:rowOff>
        </xdr:from>
        <xdr:to>
          <xdr:col>11</xdr:col>
          <xdr:colOff>784860</xdr:colOff>
          <xdr:row>22</xdr:row>
          <xdr:rowOff>251460</xdr:rowOff>
        </xdr:to>
        <xdr:sp macro="" textlink="">
          <xdr:nvSpPr>
            <xdr:cNvPr id="198796" name="Spinner 140" hidden="1">
              <a:extLst>
                <a:ext uri="{63B3BB69-23CF-44E3-9099-C40C66FF867C}">
                  <a14:compatExt spid="_x0000_s198796"/>
                </a:ext>
                <a:ext uri="{FF2B5EF4-FFF2-40B4-BE49-F238E27FC236}">
                  <a16:creationId xmlns:a16="http://schemas.microsoft.com/office/drawing/2014/main" id="{00000000-0008-0000-0100-00008C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22</xdr:row>
          <xdr:rowOff>22860</xdr:rowOff>
        </xdr:from>
        <xdr:to>
          <xdr:col>11</xdr:col>
          <xdr:colOff>784860</xdr:colOff>
          <xdr:row>22</xdr:row>
          <xdr:rowOff>251460</xdr:rowOff>
        </xdr:to>
        <xdr:sp macro="" textlink="">
          <xdr:nvSpPr>
            <xdr:cNvPr id="198797" name="Spinner 141" hidden="1">
              <a:extLst>
                <a:ext uri="{63B3BB69-23CF-44E3-9099-C40C66FF867C}">
                  <a14:compatExt spid="_x0000_s198797"/>
                </a:ext>
                <a:ext uri="{FF2B5EF4-FFF2-40B4-BE49-F238E27FC236}">
                  <a16:creationId xmlns:a16="http://schemas.microsoft.com/office/drawing/2014/main" id="{00000000-0008-0000-0100-00008D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22</xdr:row>
          <xdr:rowOff>7620</xdr:rowOff>
        </xdr:from>
        <xdr:to>
          <xdr:col>10</xdr:col>
          <xdr:colOff>1295400</xdr:colOff>
          <xdr:row>22</xdr:row>
          <xdr:rowOff>236220</xdr:rowOff>
        </xdr:to>
        <xdr:sp macro="" textlink="">
          <xdr:nvSpPr>
            <xdr:cNvPr id="198798" name="Spinner 142" hidden="1">
              <a:extLst>
                <a:ext uri="{63B3BB69-23CF-44E3-9099-C40C66FF867C}">
                  <a14:compatExt spid="_x0000_s198798"/>
                </a:ext>
                <a:ext uri="{FF2B5EF4-FFF2-40B4-BE49-F238E27FC236}">
                  <a16:creationId xmlns:a16="http://schemas.microsoft.com/office/drawing/2014/main" id="{00000000-0008-0000-0100-00008E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22</xdr:row>
          <xdr:rowOff>7620</xdr:rowOff>
        </xdr:from>
        <xdr:to>
          <xdr:col>10</xdr:col>
          <xdr:colOff>1295400</xdr:colOff>
          <xdr:row>22</xdr:row>
          <xdr:rowOff>236220</xdr:rowOff>
        </xdr:to>
        <xdr:sp macro="" textlink="">
          <xdr:nvSpPr>
            <xdr:cNvPr id="198799" name="Spinner 143" hidden="1">
              <a:extLst>
                <a:ext uri="{63B3BB69-23CF-44E3-9099-C40C66FF867C}">
                  <a14:compatExt spid="_x0000_s198799"/>
                </a:ext>
                <a:ext uri="{FF2B5EF4-FFF2-40B4-BE49-F238E27FC236}">
                  <a16:creationId xmlns:a16="http://schemas.microsoft.com/office/drawing/2014/main" id="{00000000-0008-0000-0100-00008F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22</xdr:row>
          <xdr:rowOff>7620</xdr:rowOff>
        </xdr:from>
        <xdr:to>
          <xdr:col>10</xdr:col>
          <xdr:colOff>1295400</xdr:colOff>
          <xdr:row>22</xdr:row>
          <xdr:rowOff>236220</xdr:rowOff>
        </xdr:to>
        <xdr:sp macro="" textlink="">
          <xdr:nvSpPr>
            <xdr:cNvPr id="198800" name="Spinner 144" hidden="1">
              <a:extLst>
                <a:ext uri="{63B3BB69-23CF-44E3-9099-C40C66FF867C}">
                  <a14:compatExt spid="_x0000_s198800"/>
                </a:ext>
                <a:ext uri="{FF2B5EF4-FFF2-40B4-BE49-F238E27FC236}">
                  <a16:creationId xmlns:a16="http://schemas.microsoft.com/office/drawing/2014/main" id="{00000000-0008-0000-0100-000090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22</xdr:row>
          <xdr:rowOff>22860</xdr:rowOff>
        </xdr:from>
        <xdr:to>
          <xdr:col>11</xdr:col>
          <xdr:colOff>784860</xdr:colOff>
          <xdr:row>22</xdr:row>
          <xdr:rowOff>251460</xdr:rowOff>
        </xdr:to>
        <xdr:sp macro="" textlink="">
          <xdr:nvSpPr>
            <xdr:cNvPr id="198801" name="Spinner 145" hidden="1">
              <a:extLst>
                <a:ext uri="{63B3BB69-23CF-44E3-9099-C40C66FF867C}">
                  <a14:compatExt spid="_x0000_s198801"/>
                </a:ext>
                <a:ext uri="{FF2B5EF4-FFF2-40B4-BE49-F238E27FC236}">
                  <a16:creationId xmlns:a16="http://schemas.microsoft.com/office/drawing/2014/main" id="{00000000-0008-0000-0100-000091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22</xdr:row>
          <xdr:rowOff>7620</xdr:rowOff>
        </xdr:from>
        <xdr:to>
          <xdr:col>10</xdr:col>
          <xdr:colOff>1295400</xdr:colOff>
          <xdr:row>22</xdr:row>
          <xdr:rowOff>236220</xdr:rowOff>
        </xdr:to>
        <xdr:sp macro="" textlink="">
          <xdr:nvSpPr>
            <xdr:cNvPr id="198802" name="Spinner 146" hidden="1">
              <a:extLst>
                <a:ext uri="{63B3BB69-23CF-44E3-9099-C40C66FF867C}">
                  <a14:compatExt spid="_x0000_s198802"/>
                </a:ext>
                <a:ext uri="{FF2B5EF4-FFF2-40B4-BE49-F238E27FC236}">
                  <a16:creationId xmlns:a16="http://schemas.microsoft.com/office/drawing/2014/main" id="{00000000-0008-0000-0100-000092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22</xdr:row>
          <xdr:rowOff>7620</xdr:rowOff>
        </xdr:from>
        <xdr:to>
          <xdr:col>10</xdr:col>
          <xdr:colOff>1295400</xdr:colOff>
          <xdr:row>22</xdr:row>
          <xdr:rowOff>236220</xdr:rowOff>
        </xdr:to>
        <xdr:sp macro="" textlink="">
          <xdr:nvSpPr>
            <xdr:cNvPr id="198803" name="Spinner 147" hidden="1">
              <a:extLst>
                <a:ext uri="{63B3BB69-23CF-44E3-9099-C40C66FF867C}">
                  <a14:compatExt spid="_x0000_s198803"/>
                </a:ext>
                <a:ext uri="{FF2B5EF4-FFF2-40B4-BE49-F238E27FC236}">
                  <a16:creationId xmlns:a16="http://schemas.microsoft.com/office/drawing/2014/main" id="{00000000-0008-0000-0100-000093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48</xdr:row>
          <xdr:rowOff>0</xdr:rowOff>
        </xdr:from>
        <xdr:to>
          <xdr:col>11</xdr:col>
          <xdr:colOff>784860</xdr:colOff>
          <xdr:row>48</xdr:row>
          <xdr:rowOff>0</xdr:rowOff>
        </xdr:to>
        <xdr:sp macro="" textlink="">
          <xdr:nvSpPr>
            <xdr:cNvPr id="198804" name="Spinner 148" hidden="1">
              <a:extLst>
                <a:ext uri="{63B3BB69-23CF-44E3-9099-C40C66FF867C}">
                  <a14:compatExt spid="_x0000_s198804"/>
                </a:ext>
                <a:ext uri="{FF2B5EF4-FFF2-40B4-BE49-F238E27FC236}">
                  <a16:creationId xmlns:a16="http://schemas.microsoft.com/office/drawing/2014/main" id="{00000000-0008-0000-0100-000094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48</xdr:row>
          <xdr:rowOff>0</xdr:rowOff>
        </xdr:from>
        <xdr:to>
          <xdr:col>11</xdr:col>
          <xdr:colOff>784860</xdr:colOff>
          <xdr:row>48</xdr:row>
          <xdr:rowOff>0</xdr:rowOff>
        </xdr:to>
        <xdr:sp macro="" textlink="">
          <xdr:nvSpPr>
            <xdr:cNvPr id="198805" name="Spinner 149" hidden="1">
              <a:extLst>
                <a:ext uri="{63B3BB69-23CF-44E3-9099-C40C66FF867C}">
                  <a14:compatExt spid="_x0000_s198805"/>
                </a:ext>
                <a:ext uri="{FF2B5EF4-FFF2-40B4-BE49-F238E27FC236}">
                  <a16:creationId xmlns:a16="http://schemas.microsoft.com/office/drawing/2014/main" id="{00000000-0008-0000-0100-000095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48</xdr:row>
          <xdr:rowOff>0</xdr:rowOff>
        </xdr:from>
        <xdr:to>
          <xdr:col>11</xdr:col>
          <xdr:colOff>784860</xdr:colOff>
          <xdr:row>48</xdr:row>
          <xdr:rowOff>0</xdr:rowOff>
        </xdr:to>
        <xdr:sp macro="" textlink="">
          <xdr:nvSpPr>
            <xdr:cNvPr id="198806" name="Spinner 150" hidden="1">
              <a:extLst>
                <a:ext uri="{63B3BB69-23CF-44E3-9099-C40C66FF867C}">
                  <a14:compatExt spid="_x0000_s198806"/>
                </a:ext>
                <a:ext uri="{FF2B5EF4-FFF2-40B4-BE49-F238E27FC236}">
                  <a16:creationId xmlns:a16="http://schemas.microsoft.com/office/drawing/2014/main" id="{00000000-0008-0000-0100-000096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48</xdr:row>
          <xdr:rowOff>0</xdr:rowOff>
        </xdr:from>
        <xdr:to>
          <xdr:col>11</xdr:col>
          <xdr:colOff>784860</xdr:colOff>
          <xdr:row>48</xdr:row>
          <xdr:rowOff>0</xdr:rowOff>
        </xdr:to>
        <xdr:sp macro="" textlink="">
          <xdr:nvSpPr>
            <xdr:cNvPr id="198810" name="Spinner 154" hidden="1">
              <a:extLst>
                <a:ext uri="{63B3BB69-23CF-44E3-9099-C40C66FF867C}">
                  <a14:compatExt spid="_x0000_s198810"/>
                </a:ext>
                <a:ext uri="{FF2B5EF4-FFF2-40B4-BE49-F238E27FC236}">
                  <a16:creationId xmlns:a16="http://schemas.microsoft.com/office/drawing/2014/main" id="{00000000-0008-0000-0100-00009A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50</xdr:row>
          <xdr:rowOff>22860</xdr:rowOff>
        </xdr:from>
        <xdr:to>
          <xdr:col>11</xdr:col>
          <xdr:colOff>784860</xdr:colOff>
          <xdr:row>50</xdr:row>
          <xdr:rowOff>251460</xdr:rowOff>
        </xdr:to>
        <xdr:sp macro="" textlink="">
          <xdr:nvSpPr>
            <xdr:cNvPr id="198814" name="Spinner 158" hidden="1">
              <a:extLst>
                <a:ext uri="{63B3BB69-23CF-44E3-9099-C40C66FF867C}">
                  <a14:compatExt spid="_x0000_s198814"/>
                </a:ext>
                <a:ext uri="{FF2B5EF4-FFF2-40B4-BE49-F238E27FC236}">
                  <a16:creationId xmlns:a16="http://schemas.microsoft.com/office/drawing/2014/main" id="{00000000-0008-0000-0100-00009E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50</xdr:row>
          <xdr:rowOff>22860</xdr:rowOff>
        </xdr:from>
        <xdr:to>
          <xdr:col>11</xdr:col>
          <xdr:colOff>784860</xdr:colOff>
          <xdr:row>50</xdr:row>
          <xdr:rowOff>251460</xdr:rowOff>
        </xdr:to>
        <xdr:sp macro="" textlink="">
          <xdr:nvSpPr>
            <xdr:cNvPr id="198815" name="Spinner 159" hidden="1">
              <a:extLst>
                <a:ext uri="{63B3BB69-23CF-44E3-9099-C40C66FF867C}">
                  <a14:compatExt spid="_x0000_s198815"/>
                </a:ext>
                <a:ext uri="{FF2B5EF4-FFF2-40B4-BE49-F238E27FC236}">
                  <a16:creationId xmlns:a16="http://schemas.microsoft.com/office/drawing/2014/main" id="{00000000-0008-0000-0100-00009F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50</xdr:row>
          <xdr:rowOff>22860</xdr:rowOff>
        </xdr:from>
        <xdr:to>
          <xdr:col>11</xdr:col>
          <xdr:colOff>784860</xdr:colOff>
          <xdr:row>50</xdr:row>
          <xdr:rowOff>251460</xdr:rowOff>
        </xdr:to>
        <xdr:sp macro="" textlink="">
          <xdr:nvSpPr>
            <xdr:cNvPr id="198816" name="Spinner 160" hidden="1">
              <a:extLst>
                <a:ext uri="{63B3BB69-23CF-44E3-9099-C40C66FF867C}">
                  <a14:compatExt spid="_x0000_s198816"/>
                </a:ext>
                <a:ext uri="{FF2B5EF4-FFF2-40B4-BE49-F238E27FC236}">
                  <a16:creationId xmlns:a16="http://schemas.microsoft.com/office/drawing/2014/main" id="{00000000-0008-0000-0100-0000A0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50</xdr:row>
          <xdr:rowOff>7620</xdr:rowOff>
        </xdr:from>
        <xdr:to>
          <xdr:col>10</xdr:col>
          <xdr:colOff>1295400</xdr:colOff>
          <xdr:row>50</xdr:row>
          <xdr:rowOff>236220</xdr:rowOff>
        </xdr:to>
        <xdr:sp macro="" textlink="">
          <xdr:nvSpPr>
            <xdr:cNvPr id="198817" name="Spinner 161" hidden="1">
              <a:extLst>
                <a:ext uri="{63B3BB69-23CF-44E3-9099-C40C66FF867C}">
                  <a14:compatExt spid="_x0000_s198817"/>
                </a:ext>
                <a:ext uri="{FF2B5EF4-FFF2-40B4-BE49-F238E27FC236}">
                  <a16:creationId xmlns:a16="http://schemas.microsoft.com/office/drawing/2014/main" id="{00000000-0008-0000-0100-0000A1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50</xdr:row>
          <xdr:rowOff>7620</xdr:rowOff>
        </xdr:from>
        <xdr:to>
          <xdr:col>10</xdr:col>
          <xdr:colOff>1295400</xdr:colOff>
          <xdr:row>50</xdr:row>
          <xdr:rowOff>236220</xdr:rowOff>
        </xdr:to>
        <xdr:sp macro="" textlink="">
          <xdr:nvSpPr>
            <xdr:cNvPr id="198818" name="Spinner 162" hidden="1">
              <a:extLst>
                <a:ext uri="{63B3BB69-23CF-44E3-9099-C40C66FF867C}">
                  <a14:compatExt spid="_x0000_s198818"/>
                </a:ext>
                <a:ext uri="{FF2B5EF4-FFF2-40B4-BE49-F238E27FC236}">
                  <a16:creationId xmlns:a16="http://schemas.microsoft.com/office/drawing/2014/main" id="{00000000-0008-0000-0100-0000A2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50</xdr:row>
          <xdr:rowOff>7620</xdr:rowOff>
        </xdr:from>
        <xdr:to>
          <xdr:col>10</xdr:col>
          <xdr:colOff>1295400</xdr:colOff>
          <xdr:row>50</xdr:row>
          <xdr:rowOff>236220</xdr:rowOff>
        </xdr:to>
        <xdr:sp macro="" textlink="">
          <xdr:nvSpPr>
            <xdr:cNvPr id="198819" name="Spinner 163" hidden="1">
              <a:extLst>
                <a:ext uri="{63B3BB69-23CF-44E3-9099-C40C66FF867C}">
                  <a14:compatExt spid="_x0000_s198819"/>
                </a:ext>
                <a:ext uri="{FF2B5EF4-FFF2-40B4-BE49-F238E27FC236}">
                  <a16:creationId xmlns:a16="http://schemas.microsoft.com/office/drawing/2014/main" id="{00000000-0008-0000-0100-0000A3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50</xdr:row>
          <xdr:rowOff>22860</xdr:rowOff>
        </xdr:from>
        <xdr:to>
          <xdr:col>11</xdr:col>
          <xdr:colOff>784860</xdr:colOff>
          <xdr:row>50</xdr:row>
          <xdr:rowOff>251460</xdr:rowOff>
        </xdr:to>
        <xdr:sp macro="" textlink="">
          <xdr:nvSpPr>
            <xdr:cNvPr id="198820" name="Spinner 164" hidden="1">
              <a:extLst>
                <a:ext uri="{63B3BB69-23CF-44E3-9099-C40C66FF867C}">
                  <a14:compatExt spid="_x0000_s198820"/>
                </a:ext>
                <a:ext uri="{FF2B5EF4-FFF2-40B4-BE49-F238E27FC236}">
                  <a16:creationId xmlns:a16="http://schemas.microsoft.com/office/drawing/2014/main" id="{00000000-0008-0000-0100-0000A4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50</xdr:row>
          <xdr:rowOff>7620</xdr:rowOff>
        </xdr:from>
        <xdr:to>
          <xdr:col>10</xdr:col>
          <xdr:colOff>1295400</xdr:colOff>
          <xdr:row>50</xdr:row>
          <xdr:rowOff>236220</xdr:rowOff>
        </xdr:to>
        <xdr:sp macro="" textlink="">
          <xdr:nvSpPr>
            <xdr:cNvPr id="198821" name="Spinner 165" hidden="1">
              <a:extLst>
                <a:ext uri="{63B3BB69-23CF-44E3-9099-C40C66FF867C}">
                  <a14:compatExt spid="_x0000_s198821"/>
                </a:ext>
                <a:ext uri="{FF2B5EF4-FFF2-40B4-BE49-F238E27FC236}">
                  <a16:creationId xmlns:a16="http://schemas.microsoft.com/office/drawing/2014/main" id="{00000000-0008-0000-0100-0000A5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50</xdr:row>
          <xdr:rowOff>7620</xdr:rowOff>
        </xdr:from>
        <xdr:to>
          <xdr:col>10</xdr:col>
          <xdr:colOff>1295400</xdr:colOff>
          <xdr:row>50</xdr:row>
          <xdr:rowOff>236220</xdr:rowOff>
        </xdr:to>
        <xdr:sp macro="" textlink="">
          <xdr:nvSpPr>
            <xdr:cNvPr id="198822" name="Spinner 166" hidden="1">
              <a:extLst>
                <a:ext uri="{63B3BB69-23CF-44E3-9099-C40C66FF867C}">
                  <a14:compatExt spid="_x0000_s198822"/>
                </a:ext>
                <a:ext uri="{FF2B5EF4-FFF2-40B4-BE49-F238E27FC236}">
                  <a16:creationId xmlns:a16="http://schemas.microsoft.com/office/drawing/2014/main" id="{00000000-0008-0000-0100-0000A6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16</xdr:row>
          <xdr:rowOff>7620</xdr:rowOff>
        </xdr:from>
        <xdr:to>
          <xdr:col>10</xdr:col>
          <xdr:colOff>1295400</xdr:colOff>
          <xdr:row>16</xdr:row>
          <xdr:rowOff>236220</xdr:rowOff>
        </xdr:to>
        <xdr:sp macro="" textlink="">
          <xdr:nvSpPr>
            <xdr:cNvPr id="198825" name="Spinner 169" hidden="1">
              <a:extLst>
                <a:ext uri="{63B3BB69-23CF-44E3-9099-C40C66FF867C}">
                  <a14:compatExt spid="_x0000_s198825"/>
                </a:ext>
                <a:ext uri="{FF2B5EF4-FFF2-40B4-BE49-F238E27FC236}">
                  <a16:creationId xmlns:a16="http://schemas.microsoft.com/office/drawing/2014/main" id="{00000000-0008-0000-0100-0000A9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16</xdr:row>
          <xdr:rowOff>7620</xdr:rowOff>
        </xdr:from>
        <xdr:to>
          <xdr:col>10</xdr:col>
          <xdr:colOff>1295400</xdr:colOff>
          <xdr:row>16</xdr:row>
          <xdr:rowOff>236220</xdr:rowOff>
        </xdr:to>
        <xdr:sp macro="" textlink="">
          <xdr:nvSpPr>
            <xdr:cNvPr id="198826" name="Spinner 170" hidden="1">
              <a:extLst>
                <a:ext uri="{63B3BB69-23CF-44E3-9099-C40C66FF867C}">
                  <a14:compatExt spid="_x0000_s198826"/>
                </a:ext>
                <a:ext uri="{FF2B5EF4-FFF2-40B4-BE49-F238E27FC236}">
                  <a16:creationId xmlns:a16="http://schemas.microsoft.com/office/drawing/2014/main" id="{00000000-0008-0000-0100-0000AA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16</xdr:row>
          <xdr:rowOff>7620</xdr:rowOff>
        </xdr:from>
        <xdr:to>
          <xdr:col>10</xdr:col>
          <xdr:colOff>1295400</xdr:colOff>
          <xdr:row>16</xdr:row>
          <xdr:rowOff>236220</xdr:rowOff>
        </xdr:to>
        <xdr:sp macro="" textlink="">
          <xdr:nvSpPr>
            <xdr:cNvPr id="198827" name="Spinner 171" hidden="1">
              <a:extLst>
                <a:ext uri="{63B3BB69-23CF-44E3-9099-C40C66FF867C}">
                  <a14:compatExt spid="_x0000_s198827"/>
                </a:ext>
                <a:ext uri="{FF2B5EF4-FFF2-40B4-BE49-F238E27FC236}">
                  <a16:creationId xmlns:a16="http://schemas.microsoft.com/office/drawing/2014/main" id="{00000000-0008-0000-0100-0000AB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16</xdr:row>
          <xdr:rowOff>7620</xdr:rowOff>
        </xdr:from>
        <xdr:to>
          <xdr:col>10</xdr:col>
          <xdr:colOff>1295400</xdr:colOff>
          <xdr:row>16</xdr:row>
          <xdr:rowOff>236220</xdr:rowOff>
        </xdr:to>
        <xdr:sp macro="" textlink="">
          <xdr:nvSpPr>
            <xdr:cNvPr id="198828" name="Spinner 172" hidden="1">
              <a:extLst>
                <a:ext uri="{63B3BB69-23CF-44E3-9099-C40C66FF867C}">
                  <a14:compatExt spid="_x0000_s198828"/>
                </a:ext>
                <a:ext uri="{FF2B5EF4-FFF2-40B4-BE49-F238E27FC236}">
                  <a16:creationId xmlns:a16="http://schemas.microsoft.com/office/drawing/2014/main" id="{00000000-0008-0000-0100-0000AC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16</xdr:row>
          <xdr:rowOff>7620</xdr:rowOff>
        </xdr:from>
        <xdr:to>
          <xdr:col>10</xdr:col>
          <xdr:colOff>1295400</xdr:colOff>
          <xdr:row>16</xdr:row>
          <xdr:rowOff>236220</xdr:rowOff>
        </xdr:to>
        <xdr:sp macro="" textlink="">
          <xdr:nvSpPr>
            <xdr:cNvPr id="198829" name="Spinner 173" hidden="1">
              <a:extLst>
                <a:ext uri="{63B3BB69-23CF-44E3-9099-C40C66FF867C}">
                  <a14:compatExt spid="_x0000_s198829"/>
                </a:ext>
                <a:ext uri="{FF2B5EF4-FFF2-40B4-BE49-F238E27FC236}">
                  <a16:creationId xmlns:a16="http://schemas.microsoft.com/office/drawing/2014/main" id="{00000000-0008-0000-0100-0000AD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16</xdr:row>
          <xdr:rowOff>7620</xdr:rowOff>
        </xdr:from>
        <xdr:to>
          <xdr:col>10</xdr:col>
          <xdr:colOff>1295400</xdr:colOff>
          <xdr:row>16</xdr:row>
          <xdr:rowOff>236220</xdr:rowOff>
        </xdr:to>
        <xdr:sp macro="" textlink="">
          <xdr:nvSpPr>
            <xdr:cNvPr id="198830" name="Spinner 174" hidden="1">
              <a:extLst>
                <a:ext uri="{63B3BB69-23CF-44E3-9099-C40C66FF867C}">
                  <a14:compatExt spid="_x0000_s198830"/>
                </a:ext>
                <a:ext uri="{FF2B5EF4-FFF2-40B4-BE49-F238E27FC236}">
                  <a16:creationId xmlns:a16="http://schemas.microsoft.com/office/drawing/2014/main" id="{00000000-0008-0000-0100-0000AE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16</xdr:row>
          <xdr:rowOff>7620</xdr:rowOff>
        </xdr:from>
        <xdr:to>
          <xdr:col>10</xdr:col>
          <xdr:colOff>1295400</xdr:colOff>
          <xdr:row>16</xdr:row>
          <xdr:rowOff>236220</xdr:rowOff>
        </xdr:to>
        <xdr:sp macro="" textlink="">
          <xdr:nvSpPr>
            <xdr:cNvPr id="198831" name="Spinner 175" hidden="1">
              <a:extLst>
                <a:ext uri="{63B3BB69-23CF-44E3-9099-C40C66FF867C}">
                  <a14:compatExt spid="_x0000_s198831"/>
                </a:ext>
                <a:ext uri="{FF2B5EF4-FFF2-40B4-BE49-F238E27FC236}">
                  <a16:creationId xmlns:a16="http://schemas.microsoft.com/office/drawing/2014/main" id="{00000000-0008-0000-0100-0000AF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16</xdr:row>
          <xdr:rowOff>7620</xdr:rowOff>
        </xdr:from>
        <xdr:to>
          <xdr:col>10</xdr:col>
          <xdr:colOff>1295400</xdr:colOff>
          <xdr:row>16</xdr:row>
          <xdr:rowOff>236220</xdr:rowOff>
        </xdr:to>
        <xdr:sp macro="" textlink="">
          <xdr:nvSpPr>
            <xdr:cNvPr id="198832" name="Spinner 176" hidden="1">
              <a:extLst>
                <a:ext uri="{63B3BB69-23CF-44E3-9099-C40C66FF867C}">
                  <a14:compatExt spid="_x0000_s198832"/>
                </a:ext>
                <a:ext uri="{FF2B5EF4-FFF2-40B4-BE49-F238E27FC236}">
                  <a16:creationId xmlns:a16="http://schemas.microsoft.com/office/drawing/2014/main" id="{00000000-0008-0000-0100-0000B0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16</xdr:row>
          <xdr:rowOff>7620</xdr:rowOff>
        </xdr:from>
        <xdr:to>
          <xdr:col>10</xdr:col>
          <xdr:colOff>1295400</xdr:colOff>
          <xdr:row>16</xdr:row>
          <xdr:rowOff>236220</xdr:rowOff>
        </xdr:to>
        <xdr:sp macro="" textlink="">
          <xdr:nvSpPr>
            <xdr:cNvPr id="198833" name="Spinner 177" hidden="1">
              <a:extLst>
                <a:ext uri="{63B3BB69-23CF-44E3-9099-C40C66FF867C}">
                  <a14:compatExt spid="_x0000_s198833"/>
                </a:ext>
                <a:ext uri="{FF2B5EF4-FFF2-40B4-BE49-F238E27FC236}">
                  <a16:creationId xmlns:a16="http://schemas.microsoft.com/office/drawing/2014/main" id="{00000000-0008-0000-0100-0000B1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16</xdr:row>
          <xdr:rowOff>7620</xdr:rowOff>
        </xdr:from>
        <xdr:to>
          <xdr:col>10</xdr:col>
          <xdr:colOff>1295400</xdr:colOff>
          <xdr:row>16</xdr:row>
          <xdr:rowOff>236220</xdr:rowOff>
        </xdr:to>
        <xdr:sp macro="" textlink="">
          <xdr:nvSpPr>
            <xdr:cNvPr id="198834" name="Spinner 178" hidden="1">
              <a:extLst>
                <a:ext uri="{63B3BB69-23CF-44E3-9099-C40C66FF867C}">
                  <a14:compatExt spid="_x0000_s198834"/>
                </a:ext>
                <a:ext uri="{FF2B5EF4-FFF2-40B4-BE49-F238E27FC236}">
                  <a16:creationId xmlns:a16="http://schemas.microsoft.com/office/drawing/2014/main" id="{00000000-0008-0000-0100-0000B2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22</xdr:row>
          <xdr:rowOff>22860</xdr:rowOff>
        </xdr:from>
        <xdr:to>
          <xdr:col>11</xdr:col>
          <xdr:colOff>784860</xdr:colOff>
          <xdr:row>22</xdr:row>
          <xdr:rowOff>251460</xdr:rowOff>
        </xdr:to>
        <xdr:sp macro="" textlink="">
          <xdr:nvSpPr>
            <xdr:cNvPr id="199069" name="Spinner 413" hidden="1">
              <a:extLst>
                <a:ext uri="{63B3BB69-23CF-44E3-9099-C40C66FF867C}">
                  <a14:compatExt spid="_x0000_s199069"/>
                </a:ext>
                <a:ext uri="{FF2B5EF4-FFF2-40B4-BE49-F238E27FC236}">
                  <a16:creationId xmlns:a16="http://schemas.microsoft.com/office/drawing/2014/main" id="{00000000-0008-0000-0100-00009D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22</xdr:row>
          <xdr:rowOff>22860</xdr:rowOff>
        </xdr:from>
        <xdr:to>
          <xdr:col>11</xdr:col>
          <xdr:colOff>784860</xdr:colOff>
          <xdr:row>22</xdr:row>
          <xdr:rowOff>251460</xdr:rowOff>
        </xdr:to>
        <xdr:sp macro="" textlink="">
          <xdr:nvSpPr>
            <xdr:cNvPr id="199070" name="Spinner 414" hidden="1">
              <a:extLst>
                <a:ext uri="{63B3BB69-23CF-44E3-9099-C40C66FF867C}">
                  <a14:compatExt spid="_x0000_s199070"/>
                </a:ext>
                <a:ext uri="{FF2B5EF4-FFF2-40B4-BE49-F238E27FC236}">
                  <a16:creationId xmlns:a16="http://schemas.microsoft.com/office/drawing/2014/main" id="{00000000-0008-0000-0100-00009E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22</xdr:row>
          <xdr:rowOff>22860</xdr:rowOff>
        </xdr:from>
        <xdr:to>
          <xdr:col>11</xdr:col>
          <xdr:colOff>784860</xdr:colOff>
          <xdr:row>22</xdr:row>
          <xdr:rowOff>251460</xdr:rowOff>
        </xdr:to>
        <xdr:sp macro="" textlink="">
          <xdr:nvSpPr>
            <xdr:cNvPr id="199071" name="Spinner 415" hidden="1">
              <a:extLst>
                <a:ext uri="{63B3BB69-23CF-44E3-9099-C40C66FF867C}">
                  <a14:compatExt spid="_x0000_s199071"/>
                </a:ext>
                <a:ext uri="{FF2B5EF4-FFF2-40B4-BE49-F238E27FC236}">
                  <a16:creationId xmlns:a16="http://schemas.microsoft.com/office/drawing/2014/main" id="{00000000-0008-0000-0100-00009F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22</xdr:row>
          <xdr:rowOff>22860</xdr:rowOff>
        </xdr:from>
        <xdr:to>
          <xdr:col>11</xdr:col>
          <xdr:colOff>784860</xdr:colOff>
          <xdr:row>22</xdr:row>
          <xdr:rowOff>251460</xdr:rowOff>
        </xdr:to>
        <xdr:sp macro="" textlink="">
          <xdr:nvSpPr>
            <xdr:cNvPr id="199072" name="Spinner 416" hidden="1">
              <a:extLst>
                <a:ext uri="{63B3BB69-23CF-44E3-9099-C40C66FF867C}">
                  <a14:compatExt spid="_x0000_s199072"/>
                </a:ext>
                <a:ext uri="{FF2B5EF4-FFF2-40B4-BE49-F238E27FC236}">
                  <a16:creationId xmlns:a16="http://schemas.microsoft.com/office/drawing/2014/main" id="{00000000-0008-0000-0100-0000A0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23</xdr:row>
          <xdr:rowOff>22860</xdr:rowOff>
        </xdr:from>
        <xdr:to>
          <xdr:col>11</xdr:col>
          <xdr:colOff>784860</xdr:colOff>
          <xdr:row>23</xdr:row>
          <xdr:rowOff>251460</xdr:rowOff>
        </xdr:to>
        <xdr:sp macro="" textlink="">
          <xdr:nvSpPr>
            <xdr:cNvPr id="199073" name="Spinner 417" hidden="1">
              <a:extLst>
                <a:ext uri="{63B3BB69-23CF-44E3-9099-C40C66FF867C}">
                  <a14:compatExt spid="_x0000_s199073"/>
                </a:ext>
                <a:ext uri="{FF2B5EF4-FFF2-40B4-BE49-F238E27FC236}">
                  <a16:creationId xmlns:a16="http://schemas.microsoft.com/office/drawing/2014/main" id="{00000000-0008-0000-0100-0000A1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23</xdr:row>
          <xdr:rowOff>22860</xdr:rowOff>
        </xdr:from>
        <xdr:to>
          <xdr:col>11</xdr:col>
          <xdr:colOff>784860</xdr:colOff>
          <xdr:row>23</xdr:row>
          <xdr:rowOff>251460</xdr:rowOff>
        </xdr:to>
        <xdr:sp macro="" textlink="">
          <xdr:nvSpPr>
            <xdr:cNvPr id="199074" name="Spinner 418" hidden="1">
              <a:extLst>
                <a:ext uri="{63B3BB69-23CF-44E3-9099-C40C66FF867C}">
                  <a14:compatExt spid="_x0000_s199074"/>
                </a:ext>
                <a:ext uri="{FF2B5EF4-FFF2-40B4-BE49-F238E27FC236}">
                  <a16:creationId xmlns:a16="http://schemas.microsoft.com/office/drawing/2014/main" id="{00000000-0008-0000-0100-0000A2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23</xdr:row>
          <xdr:rowOff>22860</xdr:rowOff>
        </xdr:from>
        <xdr:to>
          <xdr:col>11</xdr:col>
          <xdr:colOff>784860</xdr:colOff>
          <xdr:row>23</xdr:row>
          <xdr:rowOff>251460</xdr:rowOff>
        </xdr:to>
        <xdr:sp macro="" textlink="">
          <xdr:nvSpPr>
            <xdr:cNvPr id="199075" name="Spinner 419" hidden="1">
              <a:extLst>
                <a:ext uri="{63B3BB69-23CF-44E3-9099-C40C66FF867C}">
                  <a14:compatExt spid="_x0000_s199075"/>
                </a:ext>
                <a:ext uri="{FF2B5EF4-FFF2-40B4-BE49-F238E27FC236}">
                  <a16:creationId xmlns:a16="http://schemas.microsoft.com/office/drawing/2014/main" id="{00000000-0008-0000-0100-0000A3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23</xdr:row>
          <xdr:rowOff>7620</xdr:rowOff>
        </xdr:from>
        <xdr:to>
          <xdr:col>10</xdr:col>
          <xdr:colOff>1295400</xdr:colOff>
          <xdr:row>23</xdr:row>
          <xdr:rowOff>236220</xdr:rowOff>
        </xdr:to>
        <xdr:sp macro="" textlink="">
          <xdr:nvSpPr>
            <xdr:cNvPr id="199076" name="Spinner 420" hidden="1">
              <a:extLst>
                <a:ext uri="{63B3BB69-23CF-44E3-9099-C40C66FF867C}">
                  <a14:compatExt spid="_x0000_s199076"/>
                </a:ext>
                <a:ext uri="{FF2B5EF4-FFF2-40B4-BE49-F238E27FC236}">
                  <a16:creationId xmlns:a16="http://schemas.microsoft.com/office/drawing/2014/main" id="{00000000-0008-0000-0100-0000A4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23</xdr:row>
          <xdr:rowOff>7620</xdr:rowOff>
        </xdr:from>
        <xdr:to>
          <xdr:col>10</xdr:col>
          <xdr:colOff>1295400</xdr:colOff>
          <xdr:row>23</xdr:row>
          <xdr:rowOff>236220</xdr:rowOff>
        </xdr:to>
        <xdr:sp macro="" textlink="">
          <xdr:nvSpPr>
            <xdr:cNvPr id="199077" name="Spinner 421" hidden="1">
              <a:extLst>
                <a:ext uri="{63B3BB69-23CF-44E3-9099-C40C66FF867C}">
                  <a14:compatExt spid="_x0000_s199077"/>
                </a:ext>
                <a:ext uri="{FF2B5EF4-FFF2-40B4-BE49-F238E27FC236}">
                  <a16:creationId xmlns:a16="http://schemas.microsoft.com/office/drawing/2014/main" id="{00000000-0008-0000-0100-0000A5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23</xdr:row>
          <xdr:rowOff>7620</xdr:rowOff>
        </xdr:from>
        <xdr:to>
          <xdr:col>10</xdr:col>
          <xdr:colOff>1295400</xdr:colOff>
          <xdr:row>23</xdr:row>
          <xdr:rowOff>236220</xdr:rowOff>
        </xdr:to>
        <xdr:sp macro="" textlink="">
          <xdr:nvSpPr>
            <xdr:cNvPr id="199078" name="Spinner 422" hidden="1">
              <a:extLst>
                <a:ext uri="{63B3BB69-23CF-44E3-9099-C40C66FF867C}">
                  <a14:compatExt spid="_x0000_s199078"/>
                </a:ext>
                <a:ext uri="{FF2B5EF4-FFF2-40B4-BE49-F238E27FC236}">
                  <a16:creationId xmlns:a16="http://schemas.microsoft.com/office/drawing/2014/main" id="{00000000-0008-0000-0100-0000A6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23</xdr:row>
          <xdr:rowOff>22860</xdr:rowOff>
        </xdr:from>
        <xdr:to>
          <xdr:col>11</xdr:col>
          <xdr:colOff>784860</xdr:colOff>
          <xdr:row>23</xdr:row>
          <xdr:rowOff>251460</xdr:rowOff>
        </xdr:to>
        <xdr:sp macro="" textlink="">
          <xdr:nvSpPr>
            <xdr:cNvPr id="199079" name="Spinner 423" hidden="1">
              <a:extLst>
                <a:ext uri="{63B3BB69-23CF-44E3-9099-C40C66FF867C}">
                  <a14:compatExt spid="_x0000_s199079"/>
                </a:ext>
                <a:ext uri="{FF2B5EF4-FFF2-40B4-BE49-F238E27FC236}">
                  <a16:creationId xmlns:a16="http://schemas.microsoft.com/office/drawing/2014/main" id="{00000000-0008-0000-0100-0000A7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23</xdr:row>
          <xdr:rowOff>7620</xdr:rowOff>
        </xdr:from>
        <xdr:to>
          <xdr:col>10</xdr:col>
          <xdr:colOff>1295400</xdr:colOff>
          <xdr:row>23</xdr:row>
          <xdr:rowOff>236220</xdr:rowOff>
        </xdr:to>
        <xdr:sp macro="" textlink="">
          <xdr:nvSpPr>
            <xdr:cNvPr id="199080" name="Spinner 424" hidden="1">
              <a:extLst>
                <a:ext uri="{63B3BB69-23CF-44E3-9099-C40C66FF867C}">
                  <a14:compatExt spid="_x0000_s199080"/>
                </a:ext>
                <a:ext uri="{FF2B5EF4-FFF2-40B4-BE49-F238E27FC236}">
                  <a16:creationId xmlns:a16="http://schemas.microsoft.com/office/drawing/2014/main" id="{00000000-0008-0000-0100-0000A8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23</xdr:row>
          <xdr:rowOff>7620</xdr:rowOff>
        </xdr:from>
        <xdr:to>
          <xdr:col>10</xdr:col>
          <xdr:colOff>1295400</xdr:colOff>
          <xdr:row>23</xdr:row>
          <xdr:rowOff>236220</xdr:rowOff>
        </xdr:to>
        <xdr:sp macro="" textlink="">
          <xdr:nvSpPr>
            <xdr:cNvPr id="199081" name="Spinner 425" hidden="1">
              <a:extLst>
                <a:ext uri="{63B3BB69-23CF-44E3-9099-C40C66FF867C}">
                  <a14:compatExt spid="_x0000_s199081"/>
                </a:ext>
                <a:ext uri="{FF2B5EF4-FFF2-40B4-BE49-F238E27FC236}">
                  <a16:creationId xmlns:a16="http://schemas.microsoft.com/office/drawing/2014/main" id="{00000000-0008-0000-0100-0000A9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23</xdr:row>
          <xdr:rowOff>22860</xdr:rowOff>
        </xdr:from>
        <xdr:to>
          <xdr:col>11</xdr:col>
          <xdr:colOff>784860</xdr:colOff>
          <xdr:row>23</xdr:row>
          <xdr:rowOff>251460</xdr:rowOff>
        </xdr:to>
        <xdr:sp macro="" textlink="">
          <xdr:nvSpPr>
            <xdr:cNvPr id="199082" name="Spinner 426" hidden="1">
              <a:extLst>
                <a:ext uri="{63B3BB69-23CF-44E3-9099-C40C66FF867C}">
                  <a14:compatExt spid="_x0000_s199082"/>
                </a:ext>
                <a:ext uri="{FF2B5EF4-FFF2-40B4-BE49-F238E27FC236}">
                  <a16:creationId xmlns:a16="http://schemas.microsoft.com/office/drawing/2014/main" id="{00000000-0008-0000-0100-0000AA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23</xdr:row>
          <xdr:rowOff>22860</xdr:rowOff>
        </xdr:from>
        <xdr:to>
          <xdr:col>11</xdr:col>
          <xdr:colOff>784860</xdr:colOff>
          <xdr:row>23</xdr:row>
          <xdr:rowOff>251460</xdr:rowOff>
        </xdr:to>
        <xdr:sp macro="" textlink="">
          <xdr:nvSpPr>
            <xdr:cNvPr id="199083" name="Spinner 427" hidden="1">
              <a:extLst>
                <a:ext uri="{63B3BB69-23CF-44E3-9099-C40C66FF867C}">
                  <a14:compatExt spid="_x0000_s199083"/>
                </a:ext>
                <a:ext uri="{FF2B5EF4-FFF2-40B4-BE49-F238E27FC236}">
                  <a16:creationId xmlns:a16="http://schemas.microsoft.com/office/drawing/2014/main" id="{00000000-0008-0000-0100-0000AB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23</xdr:row>
          <xdr:rowOff>22860</xdr:rowOff>
        </xdr:from>
        <xdr:to>
          <xdr:col>11</xdr:col>
          <xdr:colOff>784860</xdr:colOff>
          <xdr:row>23</xdr:row>
          <xdr:rowOff>251460</xdr:rowOff>
        </xdr:to>
        <xdr:sp macro="" textlink="">
          <xdr:nvSpPr>
            <xdr:cNvPr id="199084" name="Spinner 428" hidden="1">
              <a:extLst>
                <a:ext uri="{63B3BB69-23CF-44E3-9099-C40C66FF867C}">
                  <a14:compatExt spid="_x0000_s199084"/>
                </a:ext>
                <a:ext uri="{FF2B5EF4-FFF2-40B4-BE49-F238E27FC236}">
                  <a16:creationId xmlns:a16="http://schemas.microsoft.com/office/drawing/2014/main" id="{00000000-0008-0000-0100-0000AC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23</xdr:row>
          <xdr:rowOff>22860</xdr:rowOff>
        </xdr:from>
        <xdr:to>
          <xdr:col>11</xdr:col>
          <xdr:colOff>784860</xdr:colOff>
          <xdr:row>23</xdr:row>
          <xdr:rowOff>251460</xdr:rowOff>
        </xdr:to>
        <xdr:sp macro="" textlink="">
          <xdr:nvSpPr>
            <xdr:cNvPr id="199085" name="Spinner 429" hidden="1">
              <a:extLst>
                <a:ext uri="{63B3BB69-23CF-44E3-9099-C40C66FF867C}">
                  <a14:compatExt spid="_x0000_s199085"/>
                </a:ext>
                <a:ext uri="{FF2B5EF4-FFF2-40B4-BE49-F238E27FC236}">
                  <a16:creationId xmlns:a16="http://schemas.microsoft.com/office/drawing/2014/main" id="{00000000-0008-0000-0100-0000AD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24</xdr:row>
          <xdr:rowOff>22860</xdr:rowOff>
        </xdr:from>
        <xdr:to>
          <xdr:col>11</xdr:col>
          <xdr:colOff>784860</xdr:colOff>
          <xdr:row>24</xdr:row>
          <xdr:rowOff>251460</xdr:rowOff>
        </xdr:to>
        <xdr:sp macro="" textlink="">
          <xdr:nvSpPr>
            <xdr:cNvPr id="199086" name="Spinner 430" hidden="1">
              <a:extLst>
                <a:ext uri="{63B3BB69-23CF-44E3-9099-C40C66FF867C}">
                  <a14:compatExt spid="_x0000_s199086"/>
                </a:ext>
                <a:ext uri="{FF2B5EF4-FFF2-40B4-BE49-F238E27FC236}">
                  <a16:creationId xmlns:a16="http://schemas.microsoft.com/office/drawing/2014/main" id="{00000000-0008-0000-0100-0000AE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24</xdr:row>
          <xdr:rowOff>22860</xdr:rowOff>
        </xdr:from>
        <xdr:to>
          <xdr:col>11</xdr:col>
          <xdr:colOff>784860</xdr:colOff>
          <xdr:row>24</xdr:row>
          <xdr:rowOff>251460</xdr:rowOff>
        </xdr:to>
        <xdr:sp macro="" textlink="">
          <xdr:nvSpPr>
            <xdr:cNvPr id="199087" name="Spinner 431" hidden="1">
              <a:extLst>
                <a:ext uri="{63B3BB69-23CF-44E3-9099-C40C66FF867C}">
                  <a14:compatExt spid="_x0000_s199087"/>
                </a:ext>
                <a:ext uri="{FF2B5EF4-FFF2-40B4-BE49-F238E27FC236}">
                  <a16:creationId xmlns:a16="http://schemas.microsoft.com/office/drawing/2014/main" id="{00000000-0008-0000-0100-0000AF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24</xdr:row>
          <xdr:rowOff>22860</xdr:rowOff>
        </xdr:from>
        <xdr:to>
          <xdr:col>11</xdr:col>
          <xdr:colOff>784860</xdr:colOff>
          <xdr:row>24</xdr:row>
          <xdr:rowOff>251460</xdr:rowOff>
        </xdr:to>
        <xdr:sp macro="" textlink="">
          <xdr:nvSpPr>
            <xdr:cNvPr id="199088" name="Spinner 432" hidden="1">
              <a:extLst>
                <a:ext uri="{63B3BB69-23CF-44E3-9099-C40C66FF867C}">
                  <a14:compatExt spid="_x0000_s199088"/>
                </a:ext>
                <a:ext uri="{FF2B5EF4-FFF2-40B4-BE49-F238E27FC236}">
                  <a16:creationId xmlns:a16="http://schemas.microsoft.com/office/drawing/2014/main" id="{00000000-0008-0000-0100-0000B0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24</xdr:row>
          <xdr:rowOff>7620</xdr:rowOff>
        </xdr:from>
        <xdr:to>
          <xdr:col>10</xdr:col>
          <xdr:colOff>1295400</xdr:colOff>
          <xdr:row>24</xdr:row>
          <xdr:rowOff>236220</xdr:rowOff>
        </xdr:to>
        <xdr:sp macro="" textlink="">
          <xdr:nvSpPr>
            <xdr:cNvPr id="199089" name="Spinner 433" hidden="1">
              <a:extLst>
                <a:ext uri="{63B3BB69-23CF-44E3-9099-C40C66FF867C}">
                  <a14:compatExt spid="_x0000_s199089"/>
                </a:ext>
                <a:ext uri="{FF2B5EF4-FFF2-40B4-BE49-F238E27FC236}">
                  <a16:creationId xmlns:a16="http://schemas.microsoft.com/office/drawing/2014/main" id="{00000000-0008-0000-0100-0000B1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24</xdr:row>
          <xdr:rowOff>7620</xdr:rowOff>
        </xdr:from>
        <xdr:to>
          <xdr:col>10</xdr:col>
          <xdr:colOff>1295400</xdr:colOff>
          <xdr:row>24</xdr:row>
          <xdr:rowOff>236220</xdr:rowOff>
        </xdr:to>
        <xdr:sp macro="" textlink="">
          <xdr:nvSpPr>
            <xdr:cNvPr id="199090" name="Spinner 434" hidden="1">
              <a:extLst>
                <a:ext uri="{63B3BB69-23CF-44E3-9099-C40C66FF867C}">
                  <a14:compatExt spid="_x0000_s199090"/>
                </a:ext>
                <a:ext uri="{FF2B5EF4-FFF2-40B4-BE49-F238E27FC236}">
                  <a16:creationId xmlns:a16="http://schemas.microsoft.com/office/drawing/2014/main" id="{00000000-0008-0000-0100-0000B2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24</xdr:row>
          <xdr:rowOff>7620</xdr:rowOff>
        </xdr:from>
        <xdr:to>
          <xdr:col>10</xdr:col>
          <xdr:colOff>1295400</xdr:colOff>
          <xdr:row>24</xdr:row>
          <xdr:rowOff>236220</xdr:rowOff>
        </xdr:to>
        <xdr:sp macro="" textlink="">
          <xdr:nvSpPr>
            <xdr:cNvPr id="199091" name="Spinner 435" hidden="1">
              <a:extLst>
                <a:ext uri="{63B3BB69-23CF-44E3-9099-C40C66FF867C}">
                  <a14:compatExt spid="_x0000_s199091"/>
                </a:ext>
                <a:ext uri="{FF2B5EF4-FFF2-40B4-BE49-F238E27FC236}">
                  <a16:creationId xmlns:a16="http://schemas.microsoft.com/office/drawing/2014/main" id="{00000000-0008-0000-0100-0000B3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24</xdr:row>
          <xdr:rowOff>22860</xdr:rowOff>
        </xdr:from>
        <xdr:to>
          <xdr:col>11</xdr:col>
          <xdr:colOff>784860</xdr:colOff>
          <xdr:row>24</xdr:row>
          <xdr:rowOff>251460</xdr:rowOff>
        </xdr:to>
        <xdr:sp macro="" textlink="">
          <xdr:nvSpPr>
            <xdr:cNvPr id="199092" name="Spinner 436" hidden="1">
              <a:extLst>
                <a:ext uri="{63B3BB69-23CF-44E3-9099-C40C66FF867C}">
                  <a14:compatExt spid="_x0000_s199092"/>
                </a:ext>
                <a:ext uri="{FF2B5EF4-FFF2-40B4-BE49-F238E27FC236}">
                  <a16:creationId xmlns:a16="http://schemas.microsoft.com/office/drawing/2014/main" id="{00000000-0008-0000-0100-0000B4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24</xdr:row>
          <xdr:rowOff>7620</xdr:rowOff>
        </xdr:from>
        <xdr:to>
          <xdr:col>10</xdr:col>
          <xdr:colOff>1295400</xdr:colOff>
          <xdr:row>24</xdr:row>
          <xdr:rowOff>236220</xdr:rowOff>
        </xdr:to>
        <xdr:sp macro="" textlink="">
          <xdr:nvSpPr>
            <xdr:cNvPr id="199093" name="Spinner 437" hidden="1">
              <a:extLst>
                <a:ext uri="{63B3BB69-23CF-44E3-9099-C40C66FF867C}">
                  <a14:compatExt spid="_x0000_s199093"/>
                </a:ext>
                <a:ext uri="{FF2B5EF4-FFF2-40B4-BE49-F238E27FC236}">
                  <a16:creationId xmlns:a16="http://schemas.microsoft.com/office/drawing/2014/main" id="{00000000-0008-0000-0100-0000B5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24</xdr:row>
          <xdr:rowOff>7620</xdr:rowOff>
        </xdr:from>
        <xdr:to>
          <xdr:col>10</xdr:col>
          <xdr:colOff>1295400</xdr:colOff>
          <xdr:row>24</xdr:row>
          <xdr:rowOff>236220</xdr:rowOff>
        </xdr:to>
        <xdr:sp macro="" textlink="">
          <xdr:nvSpPr>
            <xdr:cNvPr id="199094" name="Spinner 438" hidden="1">
              <a:extLst>
                <a:ext uri="{63B3BB69-23CF-44E3-9099-C40C66FF867C}">
                  <a14:compatExt spid="_x0000_s199094"/>
                </a:ext>
                <a:ext uri="{FF2B5EF4-FFF2-40B4-BE49-F238E27FC236}">
                  <a16:creationId xmlns:a16="http://schemas.microsoft.com/office/drawing/2014/main" id="{00000000-0008-0000-0100-0000B6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24</xdr:row>
          <xdr:rowOff>22860</xdr:rowOff>
        </xdr:from>
        <xdr:to>
          <xdr:col>11</xdr:col>
          <xdr:colOff>784860</xdr:colOff>
          <xdr:row>24</xdr:row>
          <xdr:rowOff>251460</xdr:rowOff>
        </xdr:to>
        <xdr:sp macro="" textlink="">
          <xdr:nvSpPr>
            <xdr:cNvPr id="199095" name="Spinner 439" hidden="1">
              <a:extLst>
                <a:ext uri="{63B3BB69-23CF-44E3-9099-C40C66FF867C}">
                  <a14:compatExt spid="_x0000_s199095"/>
                </a:ext>
                <a:ext uri="{FF2B5EF4-FFF2-40B4-BE49-F238E27FC236}">
                  <a16:creationId xmlns:a16="http://schemas.microsoft.com/office/drawing/2014/main" id="{00000000-0008-0000-0100-0000B7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24</xdr:row>
          <xdr:rowOff>22860</xdr:rowOff>
        </xdr:from>
        <xdr:to>
          <xdr:col>11</xdr:col>
          <xdr:colOff>784860</xdr:colOff>
          <xdr:row>24</xdr:row>
          <xdr:rowOff>251460</xdr:rowOff>
        </xdr:to>
        <xdr:sp macro="" textlink="">
          <xdr:nvSpPr>
            <xdr:cNvPr id="199096" name="Spinner 440" hidden="1">
              <a:extLst>
                <a:ext uri="{63B3BB69-23CF-44E3-9099-C40C66FF867C}">
                  <a14:compatExt spid="_x0000_s199096"/>
                </a:ext>
                <a:ext uri="{FF2B5EF4-FFF2-40B4-BE49-F238E27FC236}">
                  <a16:creationId xmlns:a16="http://schemas.microsoft.com/office/drawing/2014/main" id="{00000000-0008-0000-0100-0000B8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24</xdr:row>
          <xdr:rowOff>22860</xdr:rowOff>
        </xdr:from>
        <xdr:to>
          <xdr:col>11</xdr:col>
          <xdr:colOff>784860</xdr:colOff>
          <xdr:row>24</xdr:row>
          <xdr:rowOff>251460</xdr:rowOff>
        </xdr:to>
        <xdr:sp macro="" textlink="">
          <xdr:nvSpPr>
            <xdr:cNvPr id="199097" name="Spinner 441" hidden="1">
              <a:extLst>
                <a:ext uri="{63B3BB69-23CF-44E3-9099-C40C66FF867C}">
                  <a14:compatExt spid="_x0000_s199097"/>
                </a:ext>
                <a:ext uri="{FF2B5EF4-FFF2-40B4-BE49-F238E27FC236}">
                  <a16:creationId xmlns:a16="http://schemas.microsoft.com/office/drawing/2014/main" id="{00000000-0008-0000-0100-0000B9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24</xdr:row>
          <xdr:rowOff>22860</xdr:rowOff>
        </xdr:from>
        <xdr:to>
          <xdr:col>11</xdr:col>
          <xdr:colOff>784860</xdr:colOff>
          <xdr:row>24</xdr:row>
          <xdr:rowOff>251460</xdr:rowOff>
        </xdr:to>
        <xdr:sp macro="" textlink="">
          <xdr:nvSpPr>
            <xdr:cNvPr id="199098" name="Spinner 442" hidden="1">
              <a:extLst>
                <a:ext uri="{63B3BB69-23CF-44E3-9099-C40C66FF867C}">
                  <a14:compatExt spid="_x0000_s199098"/>
                </a:ext>
                <a:ext uri="{FF2B5EF4-FFF2-40B4-BE49-F238E27FC236}">
                  <a16:creationId xmlns:a16="http://schemas.microsoft.com/office/drawing/2014/main" id="{00000000-0008-0000-0100-0000BA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24</xdr:row>
          <xdr:rowOff>22860</xdr:rowOff>
        </xdr:from>
        <xdr:to>
          <xdr:col>11</xdr:col>
          <xdr:colOff>784860</xdr:colOff>
          <xdr:row>24</xdr:row>
          <xdr:rowOff>251460</xdr:rowOff>
        </xdr:to>
        <xdr:sp macro="" textlink="">
          <xdr:nvSpPr>
            <xdr:cNvPr id="199099" name="Spinner 443" hidden="1">
              <a:extLst>
                <a:ext uri="{63B3BB69-23CF-44E3-9099-C40C66FF867C}">
                  <a14:compatExt spid="_x0000_s199099"/>
                </a:ext>
                <a:ext uri="{FF2B5EF4-FFF2-40B4-BE49-F238E27FC236}">
                  <a16:creationId xmlns:a16="http://schemas.microsoft.com/office/drawing/2014/main" id="{00000000-0008-0000-0100-0000BB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24</xdr:row>
          <xdr:rowOff>22860</xdr:rowOff>
        </xdr:from>
        <xdr:to>
          <xdr:col>11</xdr:col>
          <xdr:colOff>784860</xdr:colOff>
          <xdr:row>24</xdr:row>
          <xdr:rowOff>251460</xdr:rowOff>
        </xdr:to>
        <xdr:sp macro="" textlink="">
          <xdr:nvSpPr>
            <xdr:cNvPr id="199100" name="Spinner 444" hidden="1">
              <a:extLst>
                <a:ext uri="{63B3BB69-23CF-44E3-9099-C40C66FF867C}">
                  <a14:compatExt spid="_x0000_s199100"/>
                </a:ext>
                <a:ext uri="{FF2B5EF4-FFF2-40B4-BE49-F238E27FC236}">
                  <a16:creationId xmlns:a16="http://schemas.microsoft.com/office/drawing/2014/main" id="{00000000-0008-0000-0100-0000BC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24</xdr:row>
          <xdr:rowOff>22860</xdr:rowOff>
        </xdr:from>
        <xdr:to>
          <xdr:col>11</xdr:col>
          <xdr:colOff>784860</xdr:colOff>
          <xdr:row>24</xdr:row>
          <xdr:rowOff>251460</xdr:rowOff>
        </xdr:to>
        <xdr:sp macro="" textlink="">
          <xdr:nvSpPr>
            <xdr:cNvPr id="199101" name="Spinner 445" hidden="1">
              <a:extLst>
                <a:ext uri="{63B3BB69-23CF-44E3-9099-C40C66FF867C}">
                  <a14:compatExt spid="_x0000_s199101"/>
                </a:ext>
                <a:ext uri="{FF2B5EF4-FFF2-40B4-BE49-F238E27FC236}">
                  <a16:creationId xmlns:a16="http://schemas.microsoft.com/office/drawing/2014/main" id="{00000000-0008-0000-0100-0000BD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24</xdr:row>
          <xdr:rowOff>22860</xdr:rowOff>
        </xdr:from>
        <xdr:to>
          <xdr:col>11</xdr:col>
          <xdr:colOff>784860</xdr:colOff>
          <xdr:row>24</xdr:row>
          <xdr:rowOff>251460</xdr:rowOff>
        </xdr:to>
        <xdr:sp macro="" textlink="">
          <xdr:nvSpPr>
            <xdr:cNvPr id="199102" name="Spinner 446" hidden="1">
              <a:extLst>
                <a:ext uri="{63B3BB69-23CF-44E3-9099-C40C66FF867C}">
                  <a14:compatExt spid="_x0000_s199102"/>
                </a:ext>
                <a:ext uri="{FF2B5EF4-FFF2-40B4-BE49-F238E27FC236}">
                  <a16:creationId xmlns:a16="http://schemas.microsoft.com/office/drawing/2014/main" id="{00000000-0008-0000-0100-0000BE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25</xdr:row>
          <xdr:rowOff>22860</xdr:rowOff>
        </xdr:from>
        <xdr:to>
          <xdr:col>11</xdr:col>
          <xdr:colOff>784860</xdr:colOff>
          <xdr:row>25</xdr:row>
          <xdr:rowOff>251460</xdr:rowOff>
        </xdr:to>
        <xdr:sp macro="" textlink="">
          <xdr:nvSpPr>
            <xdr:cNvPr id="199103" name="Spinner 447" hidden="1">
              <a:extLst>
                <a:ext uri="{63B3BB69-23CF-44E3-9099-C40C66FF867C}">
                  <a14:compatExt spid="_x0000_s199103"/>
                </a:ext>
                <a:ext uri="{FF2B5EF4-FFF2-40B4-BE49-F238E27FC236}">
                  <a16:creationId xmlns:a16="http://schemas.microsoft.com/office/drawing/2014/main" id="{00000000-0008-0000-0100-0000BF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25</xdr:row>
          <xdr:rowOff>22860</xdr:rowOff>
        </xdr:from>
        <xdr:to>
          <xdr:col>11</xdr:col>
          <xdr:colOff>784860</xdr:colOff>
          <xdr:row>25</xdr:row>
          <xdr:rowOff>251460</xdr:rowOff>
        </xdr:to>
        <xdr:sp macro="" textlink="">
          <xdr:nvSpPr>
            <xdr:cNvPr id="199104" name="Spinner 448" hidden="1">
              <a:extLst>
                <a:ext uri="{63B3BB69-23CF-44E3-9099-C40C66FF867C}">
                  <a14:compatExt spid="_x0000_s199104"/>
                </a:ext>
                <a:ext uri="{FF2B5EF4-FFF2-40B4-BE49-F238E27FC236}">
                  <a16:creationId xmlns:a16="http://schemas.microsoft.com/office/drawing/2014/main" id="{00000000-0008-0000-0100-0000C0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25</xdr:row>
          <xdr:rowOff>22860</xdr:rowOff>
        </xdr:from>
        <xdr:to>
          <xdr:col>11</xdr:col>
          <xdr:colOff>784860</xdr:colOff>
          <xdr:row>25</xdr:row>
          <xdr:rowOff>251460</xdr:rowOff>
        </xdr:to>
        <xdr:sp macro="" textlink="">
          <xdr:nvSpPr>
            <xdr:cNvPr id="199105" name="Spinner 449" hidden="1">
              <a:extLst>
                <a:ext uri="{63B3BB69-23CF-44E3-9099-C40C66FF867C}">
                  <a14:compatExt spid="_x0000_s199105"/>
                </a:ext>
                <a:ext uri="{FF2B5EF4-FFF2-40B4-BE49-F238E27FC236}">
                  <a16:creationId xmlns:a16="http://schemas.microsoft.com/office/drawing/2014/main" id="{00000000-0008-0000-0100-0000C1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25</xdr:row>
          <xdr:rowOff>7620</xdr:rowOff>
        </xdr:from>
        <xdr:to>
          <xdr:col>10</xdr:col>
          <xdr:colOff>1295400</xdr:colOff>
          <xdr:row>25</xdr:row>
          <xdr:rowOff>236220</xdr:rowOff>
        </xdr:to>
        <xdr:sp macro="" textlink="">
          <xdr:nvSpPr>
            <xdr:cNvPr id="199106" name="Spinner 450" hidden="1">
              <a:extLst>
                <a:ext uri="{63B3BB69-23CF-44E3-9099-C40C66FF867C}">
                  <a14:compatExt spid="_x0000_s199106"/>
                </a:ext>
                <a:ext uri="{FF2B5EF4-FFF2-40B4-BE49-F238E27FC236}">
                  <a16:creationId xmlns:a16="http://schemas.microsoft.com/office/drawing/2014/main" id="{00000000-0008-0000-0100-0000C2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25</xdr:row>
          <xdr:rowOff>7620</xdr:rowOff>
        </xdr:from>
        <xdr:to>
          <xdr:col>10</xdr:col>
          <xdr:colOff>1295400</xdr:colOff>
          <xdr:row>25</xdr:row>
          <xdr:rowOff>236220</xdr:rowOff>
        </xdr:to>
        <xdr:sp macro="" textlink="">
          <xdr:nvSpPr>
            <xdr:cNvPr id="199107" name="Spinner 451" hidden="1">
              <a:extLst>
                <a:ext uri="{63B3BB69-23CF-44E3-9099-C40C66FF867C}">
                  <a14:compatExt spid="_x0000_s199107"/>
                </a:ext>
                <a:ext uri="{FF2B5EF4-FFF2-40B4-BE49-F238E27FC236}">
                  <a16:creationId xmlns:a16="http://schemas.microsoft.com/office/drawing/2014/main" id="{00000000-0008-0000-0100-0000C3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25</xdr:row>
          <xdr:rowOff>7620</xdr:rowOff>
        </xdr:from>
        <xdr:to>
          <xdr:col>10</xdr:col>
          <xdr:colOff>1295400</xdr:colOff>
          <xdr:row>25</xdr:row>
          <xdr:rowOff>236220</xdr:rowOff>
        </xdr:to>
        <xdr:sp macro="" textlink="">
          <xdr:nvSpPr>
            <xdr:cNvPr id="199108" name="Spinner 452" hidden="1">
              <a:extLst>
                <a:ext uri="{63B3BB69-23CF-44E3-9099-C40C66FF867C}">
                  <a14:compatExt spid="_x0000_s199108"/>
                </a:ext>
                <a:ext uri="{FF2B5EF4-FFF2-40B4-BE49-F238E27FC236}">
                  <a16:creationId xmlns:a16="http://schemas.microsoft.com/office/drawing/2014/main" id="{00000000-0008-0000-0100-0000C4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25</xdr:row>
          <xdr:rowOff>22860</xdr:rowOff>
        </xdr:from>
        <xdr:to>
          <xdr:col>11</xdr:col>
          <xdr:colOff>784860</xdr:colOff>
          <xdr:row>25</xdr:row>
          <xdr:rowOff>251460</xdr:rowOff>
        </xdr:to>
        <xdr:sp macro="" textlink="">
          <xdr:nvSpPr>
            <xdr:cNvPr id="199109" name="Spinner 453" hidden="1">
              <a:extLst>
                <a:ext uri="{63B3BB69-23CF-44E3-9099-C40C66FF867C}">
                  <a14:compatExt spid="_x0000_s199109"/>
                </a:ext>
                <a:ext uri="{FF2B5EF4-FFF2-40B4-BE49-F238E27FC236}">
                  <a16:creationId xmlns:a16="http://schemas.microsoft.com/office/drawing/2014/main" id="{00000000-0008-0000-0100-0000C5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25</xdr:row>
          <xdr:rowOff>7620</xdr:rowOff>
        </xdr:from>
        <xdr:to>
          <xdr:col>10</xdr:col>
          <xdr:colOff>1295400</xdr:colOff>
          <xdr:row>25</xdr:row>
          <xdr:rowOff>236220</xdr:rowOff>
        </xdr:to>
        <xdr:sp macro="" textlink="">
          <xdr:nvSpPr>
            <xdr:cNvPr id="199110" name="Spinner 454" hidden="1">
              <a:extLst>
                <a:ext uri="{63B3BB69-23CF-44E3-9099-C40C66FF867C}">
                  <a14:compatExt spid="_x0000_s199110"/>
                </a:ext>
                <a:ext uri="{FF2B5EF4-FFF2-40B4-BE49-F238E27FC236}">
                  <a16:creationId xmlns:a16="http://schemas.microsoft.com/office/drawing/2014/main" id="{00000000-0008-0000-0100-0000C6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25</xdr:row>
          <xdr:rowOff>7620</xdr:rowOff>
        </xdr:from>
        <xdr:to>
          <xdr:col>10</xdr:col>
          <xdr:colOff>1295400</xdr:colOff>
          <xdr:row>25</xdr:row>
          <xdr:rowOff>236220</xdr:rowOff>
        </xdr:to>
        <xdr:sp macro="" textlink="">
          <xdr:nvSpPr>
            <xdr:cNvPr id="199111" name="Spinner 455" hidden="1">
              <a:extLst>
                <a:ext uri="{63B3BB69-23CF-44E3-9099-C40C66FF867C}">
                  <a14:compatExt spid="_x0000_s199111"/>
                </a:ext>
                <a:ext uri="{FF2B5EF4-FFF2-40B4-BE49-F238E27FC236}">
                  <a16:creationId xmlns:a16="http://schemas.microsoft.com/office/drawing/2014/main" id="{00000000-0008-0000-0100-0000C7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25</xdr:row>
          <xdr:rowOff>22860</xdr:rowOff>
        </xdr:from>
        <xdr:to>
          <xdr:col>11</xdr:col>
          <xdr:colOff>784860</xdr:colOff>
          <xdr:row>25</xdr:row>
          <xdr:rowOff>251460</xdr:rowOff>
        </xdr:to>
        <xdr:sp macro="" textlink="">
          <xdr:nvSpPr>
            <xdr:cNvPr id="199112" name="Spinner 456" hidden="1">
              <a:extLst>
                <a:ext uri="{63B3BB69-23CF-44E3-9099-C40C66FF867C}">
                  <a14:compatExt spid="_x0000_s199112"/>
                </a:ext>
                <a:ext uri="{FF2B5EF4-FFF2-40B4-BE49-F238E27FC236}">
                  <a16:creationId xmlns:a16="http://schemas.microsoft.com/office/drawing/2014/main" id="{00000000-0008-0000-0100-0000C8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25</xdr:row>
          <xdr:rowOff>22860</xdr:rowOff>
        </xdr:from>
        <xdr:to>
          <xdr:col>11</xdr:col>
          <xdr:colOff>784860</xdr:colOff>
          <xdr:row>25</xdr:row>
          <xdr:rowOff>251460</xdr:rowOff>
        </xdr:to>
        <xdr:sp macro="" textlink="">
          <xdr:nvSpPr>
            <xdr:cNvPr id="199113" name="Spinner 457" hidden="1">
              <a:extLst>
                <a:ext uri="{63B3BB69-23CF-44E3-9099-C40C66FF867C}">
                  <a14:compatExt spid="_x0000_s199113"/>
                </a:ext>
                <a:ext uri="{FF2B5EF4-FFF2-40B4-BE49-F238E27FC236}">
                  <a16:creationId xmlns:a16="http://schemas.microsoft.com/office/drawing/2014/main" id="{00000000-0008-0000-0100-0000C9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25</xdr:row>
          <xdr:rowOff>22860</xdr:rowOff>
        </xdr:from>
        <xdr:to>
          <xdr:col>11</xdr:col>
          <xdr:colOff>784860</xdr:colOff>
          <xdr:row>25</xdr:row>
          <xdr:rowOff>251460</xdr:rowOff>
        </xdr:to>
        <xdr:sp macro="" textlink="">
          <xdr:nvSpPr>
            <xdr:cNvPr id="199114" name="Spinner 458" hidden="1">
              <a:extLst>
                <a:ext uri="{63B3BB69-23CF-44E3-9099-C40C66FF867C}">
                  <a14:compatExt spid="_x0000_s199114"/>
                </a:ext>
                <a:ext uri="{FF2B5EF4-FFF2-40B4-BE49-F238E27FC236}">
                  <a16:creationId xmlns:a16="http://schemas.microsoft.com/office/drawing/2014/main" id="{00000000-0008-0000-0100-0000CA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25</xdr:row>
          <xdr:rowOff>22860</xdr:rowOff>
        </xdr:from>
        <xdr:to>
          <xdr:col>11</xdr:col>
          <xdr:colOff>784860</xdr:colOff>
          <xdr:row>25</xdr:row>
          <xdr:rowOff>251460</xdr:rowOff>
        </xdr:to>
        <xdr:sp macro="" textlink="">
          <xdr:nvSpPr>
            <xdr:cNvPr id="199115" name="Spinner 459" hidden="1">
              <a:extLst>
                <a:ext uri="{63B3BB69-23CF-44E3-9099-C40C66FF867C}">
                  <a14:compatExt spid="_x0000_s199115"/>
                </a:ext>
                <a:ext uri="{FF2B5EF4-FFF2-40B4-BE49-F238E27FC236}">
                  <a16:creationId xmlns:a16="http://schemas.microsoft.com/office/drawing/2014/main" id="{00000000-0008-0000-0100-0000CB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25</xdr:row>
          <xdr:rowOff>22860</xdr:rowOff>
        </xdr:from>
        <xdr:to>
          <xdr:col>11</xdr:col>
          <xdr:colOff>784860</xdr:colOff>
          <xdr:row>25</xdr:row>
          <xdr:rowOff>251460</xdr:rowOff>
        </xdr:to>
        <xdr:sp macro="" textlink="">
          <xdr:nvSpPr>
            <xdr:cNvPr id="199116" name="Spinner 460" hidden="1">
              <a:extLst>
                <a:ext uri="{63B3BB69-23CF-44E3-9099-C40C66FF867C}">
                  <a14:compatExt spid="_x0000_s199116"/>
                </a:ext>
                <a:ext uri="{FF2B5EF4-FFF2-40B4-BE49-F238E27FC236}">
                  <a16:creationId xmlns:a16="http://schemas.microsoft.com/office/drawing/2014/main" id="{00000000-0008-0000-0100-0000CC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25</xdr:row>
          <xdr:rowOff>22860</xdr:rowOff>
        </xdr:from>
        <xdr:to>
          <xdr:col>11</xdr:col>
          <xdr:colOff>784860</xdr:colOff>
          <xdr:row>25</xdr:row>
          <xdr:rowOff>251460</xdr:rowOff>
        </xdr:to>
        <xdr:sp macro="" textlink="">
          <xdr:nvSpPr>
            <xdr:cNvPr id="199117" name="Spinner 461" hidden="1">
              <a:extLst>
                <a:ext uri="{63B3BB69-23CF-44E3-9099-C40C66FF867C}">
                  <a14:compatExt spid="_x0000_s199117"/>
                </a:ext>
                <a:ext uri="{FF2B5EF4-FFF2-40B4-BE49-F238E27FC236}">
                  <a16:creationId xmlns:a16="http://schemas.microsoft.com/office/drawing/2014/main" id="{00000000-0008-0000-0100-0000CD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25</xdr:row>
          <xdr:rowOff>22860</xdr:rowOff>
        </xdr:from>
        <xdr:to>
          <xdr:col>11</xdr:col>
          <xdr:colOff>784860</xdr:colOff>
          <xdr:row>25</xdr:row>
          <xdr:rowOff>251460</xdr:rowOff>
        </xdr:to>
        <xdr:sp macro="" textlink="">
          <xdr:nvSpPr>
            <xdr:cNvPr id="199118" name="Spinner 462" hidden="1">
              <a:extLst>
                <a:ext uri="{63B3BB69-23CF-44E3-9099-C40C66FF867C}">
                  <a14:compatExt spid="_x0000_s199118"/>
                </a:ext>
                <a:ext uri="{FF2B5EF4-FFF2-40B4-BE49-F238E27FC236}">
                  <a16:creationId xmlns:a16="http://schemas.microsoft.com/office/drawing/2014/main" id="{00000000-0008-0000-0100-0000CE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25</xdr:row>
          <xdr:rowOff>22860</xdr:rowOff>
        </xdr:from>
        <xdr:to>
          <xdr:col>11</xdr:col>
          <xdr:colOff>784860</xdr:colOff>
          <xdr:row>25</xdr:row>
          <xdr:rowOff>251460</xdr:rowOff>
        </xdr:to>
        <xdr:sp macro="" textlink="">
          <xdr:nvSpPr>
            <xdr:cNvPr id="199119" name="Spinner 463" hidden="1">
              <a:extLst>
                <a:ext uri="{63B3BB69-23CF-44E3-9099-C40C66FF867C}">
                  <a14:compatExt spid="_x0000_s199119"/>
                </a:ext>
                <a:ext uri="{FF2B5EF4-FFF2-40B4-BE49-F238E27FC236}">
                  <a16:creationId xmlns:a16="http://schemas.microsoft.com/office/drawing/2014/main" id="{00000000-0008-0000-0100-0000CF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26</xdr:row>
          <xdr:rowOff>22860</xdr:rowOff>
        </xdr:from>
        <xdr:to>
          <xdr:col>11</xdr:col>
          <xdr:colOff>784860</xdr:colOff>
          <xdr:row>26</xdr:row>
          <xdr:rowOff>251460</xdr:rowOff>
        </xdr:to>
        <xdr:sp macro="" textlink="">
          <xdr:nvSpPr>
            <xdr:cNvPr id="199120" name="Spinner 464" hidden="1">
              <a:extLst>
                <a:ext uri="{63B3BB69-23CF-44E3-9099-C40C66FF867C}">
                  <a14:compatExt spid="_x0000_s199120"/>
                </a:ext>
                <a:ext uri="{FF2B5EF4-FFF2-40B4-BE49-F238E27FC236}">
                  <a16:creationId xmlns:a16="http://schemas.microsoft.com/office/drawing/2014/main" id="{00000000-0008-0000-0100-0000D0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26</xdr:row>
          <xdr:rowOff>22860</xdr:rowOff>
        </xdr:from>
        <xdr:to>
          <xdr:col>11</xdr:col>
          <xdr:colOff>784860</xdr:colOff>
          <xdr:row>26</xdr:row>
          <xdr:rowOff>251460</xdr:rowOff>
        </xdr:to>
        <xdr:sp macro="" textlink="">
          <xdr:nvSpPr>
            <xdr:cNvPr id="199121" name="Spinner 465" hidden="1">
              <a:extLst>
                <a:ext uri="{63B3BB69-23CF-44E3-9099-C40C66FF867C}">
                  <a14:compatExt spid="_x0000_s199121"/>
                </a:ext>
                <a:ext uri="{FF2B5EF4-FFF2-40B4-BE49-F238E27FC236}">
                  <a16:creationId xmlns:a16="http://schemas.microsoft.com/office/drawing/2014/main" id="{00000000-0008-0000-0100-0000D1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26</xdr:row>
          <xdr:rowOff>22860</xdr:rowOff>
        </xdr:from>
        <xdr:to>
          <xdr:col>11</xdr:col>
          <xdr:colOff>784860</xdr:colOff>
          <xdr:row>26</xdr:row>
          <xdr:rowOff>251460</xdr:rowOff>
        </xdr:to>
        <xdr:sp macro="" textlink="">
          <xdr:nvSpPr>
            <xdr:cNvPr id="199122" name="Spinner 466" hidden="1">
              <a:extLst>
                <a:ext uri="{63B3BB69-23CF-44E3-9099-C40C66FF867C}">
                  <a14:compatExt spid="_x0000_s199122"/>
                </a:ext>
                <a:ext uri="{FF2B5EF4-FFF2-40B4-BE49-F238E27FC236}">
                  <a16:creationId xmlns:a16="http://schemas.microsoft.com/office/drawing/2014/main" id="{00000000-0008-0000-0100-0000D2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26</xdr:row>
          <xdr:rowOff>7620</xdr:rowOff>
        </xdr:from>
        <xdr:to>
          <xdr:col>10</xdr:col>
          <xdr:colOff>1295400</xdr:colOff>
          <xdr:row>26</xdr:row>
          <xdr:rowOff>236220</xdr:rowOff>
        </xdr:to>
        <xdr:sp macro="" textlink="">
          <xdr:nvSpPr>
            <xdr:cNvPr id="199123" name="Spinner 467" hidden="1">
              <a:extLst>
                <a:ext uri="{63B3BB69-23CF-44E3-9099-C40C66FF867C}">
                  <a14:compatExt spid="_x0000_s199123"/>
                </a:ext>
                <a:ext uri="{FF2B5EF4-FFF2-40B4-BE49-F238E27FC236}">
                  <a16:creationId xmlns:a16="http://schemas.microsoft.com/office/drawing/2014/main" id="{00000000-0008-0000-0100-0000D3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26</xdr:row>
          <xdr:rowOff>7620</xdr:rowOff>
        </xdr:from>
        <xdr:to>
          <xdr:col>10</xdr:col>
          <xdr:colOff>1295400</xdr:colOff>
          <xdr:row>26</xdr:row>
          <xdr:rowOff>236220</xdr:rowOff>
        </xdr:to>
        <xdr:sp macro="" textlink="">
          <xdr:nvSpPr>
            <xdr:cNvPr id="199124" name="Spinner 468" hidden="1">
              <a:extLst>
                <a:ext uri="{63B3BB69-23CF-44E3-9099-C40C66FF867C}">
                  <a14:compatExt spid="_x0000_s199124"/>
                </a:ext>
                <a:ext uri="{FF2B5EF4-FFF2-40B4-BE49-F238E27FC236}">
                  <a16:creationId xmlns:a16="http://schemas.microsoft.com/office/drawing/2014/main" id="{00000000-0008-0000-0100-0000D4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26</xdr:row>
          <xdr:rowOff>7620</xdr:rowOff>
        </xdr:from>
        <xdr:to>
          <xdr:col>10</xdr:col>
          <xdr:colOff>1295400</xdr:colOff>
          <xdr:row>26</xdr:row>
          <xdr:rowOff>236220</xdr:rowOff>
        </xdr:to>
        <xdr:sp macro="" textlink="">
          <xdr:nvSpPr>
            <xdr:cNvPr id="199125" name="Spinner 469" hidden="1">
              <a:extLst>
                <a:ext uri="{63B3BB69-23CF-44E3-9099-C40C66FF867C}">
                  <a14:compatExt spid="_x0000_s199125"/>
                </a:ext>
                <a:ext uri="{FF2B5EF4-FFF2-40B4-BE49-F238E27FC236}">
                  <a16:creationId xmlns:a16="http://schemas.microsoft.com/office/drawing/2014/main" id="{00000000-0008-0000-0100-0000D5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26</xdr:row>
          <xdr:rowOff>22860</xdr:rowOff>
        </xdr:from>
        <xdr:to>
          <xdr:col>11</xdr:col>
          <xdr:colOff>784860</xdr:colOff>
          <xdr:row>26</xdr:row>
          <xdr:rowOff>251460</xdr:rowOff>
        </xdr:to>
        <xdr:sp macro="" textlink="">
          <xdr:nvSpPr>
            <xdr:cNvPr id="199126" name="Spinner 470" hidden="1">
              <a:extLst>
                <a:ext uri="{63B3BB69-23CF-44E3-9099-C40C66FF867C}">
                  <a14:compatExt spid="_x0000_s199126"/>
                </a:ext>
                <a:ext uri="{FF2B5EF4-FFF2-40B4-BE49-F238E27FC236}">
                  <a16:creationId xmlns:a16="http://schemas.microsoft.com/office/drawing/2014/main" id="{00000000-0008-0000-0100-0000D6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26</xdr:row>
          <xdr:rowOff>7620</xdr:rowOff>
        </xdr:from>
        <xdr:to>
          <xdr:col>10</xdr:col>
          <xdr:colOff>1295400</xdr:colOff>
          <xdr:row>26</xdr:row>
          <xdr:rowOff>236220</xdr:rowOff>
        </xdr:to>
        <xdr:sp macro="" textlink="">
          <xdr:nvSpPr>
            <xdr:cNvPr id="199127" name="Spinner 471" hidden="1">
              <a:extLst>
                <a:ext uri="{63B3BB69-23CF-44E3-9099-C40C66FF867C}">
                  <a14:compatExt spid="_x0000_s199127"/>
                </a:ext>
                <a:ext uri="{FF2B5EF4-FFF2-40B4-BE49-F238E27FC236}">
                  <a16:creationId xmlns:a16="http://schemas.microsoft.com/office/drawing/2014/main" id="{00000000-0008-0000-0100-0000D7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26</xdr:row>
          <xdr:rowOff>7620</xdr:rowOff>
        </xdr:from>
        <xdr:to>
          <xdr:col>10</xdr:col>
          <xdr:colOff>1295400</xdr:colOff>
          <xdr:row>26</xdr:row>
          <xdr:rowOff>236220</xdr:rowOff>
        </xdr:to>
        <xdr:sp macro="" textlink="">
          <xdr:nvSpPr>
            <xdr:cNvPr id="199128" name="Spinner 472" hidden="1">
              <a:extLst>
                <a:ext uri="{63B3BB69-23CF-44E3-9099-C40C66FF867C}">
                  <a14:compatExt spid="_x0000_s199128"/>
                </a:ext>
                <a:ext uri="{FF2B5EF4-FFF2-40B4-BE49-F238E27FC236}">
                  <a16:creationId xmlns:a16="http://schemas.microsoft.com/office/drawing/2014/main" id="{00000000-0008-0000-0100-0000D8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26</xdr:row>
          <xdr:rowOff>22860</xdr:rowOff>
        </xdr:from>
        <xdr:to>
          <xdr:col>11</xdr:col>
          <xdr:colOff>784860</xdr:colOff>
          <xdr:row>26</xdr:row>
          <xdr:rowOff>251460</xdr:rowOff>
        </xdr:to>
        <xdr:sp macro="" textlink="">
          <xdr:nvSpPr>
            <xdr:cNvPr id="199129" name="Spinner 473" hidden="1">
              <a:extLst>
                <a:ext uri="{63B3BB69-23CF-44E3-9099-C40C66FF867C}">
                  <a14:compatExt spid="_x0000_s199129"/>
                </a:ext>
                <a:ext uri="{FF2B5EF4-FFF2-40B4-BE49-F238E27FC236}">
                  <a16:creationId xmlns:a16="http://schemas.microsoft.com/office/drawing/2014/main" id="{00000000-0008-0000-0100-0000D9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26</xdr:row>
          <xdr:rowOff>22860</xdr:rowOff>
        </xdr:from>
        <xdr:to>
          <xdr:col>11</xdr:col>
          <xdr:colOff>784860</xdr:colOff>
          <xdr:row>26</xdr:row>
          <xdr:rowOff>251460</xdr:rowOff>
        </xdr:to>
        <xdr:sp macro="" textlink="">
          <xdr:nvSpPr>
            <xdr:cNvPr id="199130" name="Spinner 474" hidden="1">
              <a:extLst>
                <a:ext uri="{63B3BB69-23CF-44E3-9099-C40C66FF867C}">
                  <a14:compatExt spid="_x0000_s199130"/>
                </a:ext>
                <a:ext uri="{FF2B5EF4-FFF2-40B4-BE49-F238E27FC236}">
                  <a16:creationId xmlns:a16="http://schemas.microsoft.com/office/drawing/2014/main" id="{00000000-0008-0000-0100-0000DA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26</xdr:row>
          <xdr:rowOff>22860</xdr:rowOff>
        </xdr:from>
        <xdr:to>
          <xdr:col>11</xdr:col>
          <xdr:colOff>784860</xdr:colOff>
          <xdr:row>26</xdr:row>
          <xdr:rowOff>251460</xdr:rowOff>
        </xdr:to>
        <xdr:sp macro="" textlink="">
          <xdr:nvSpPr>
            <xdr:cNvPr id="199131" name="Spinner 475" hidden="1">
              <a:extLst>
                <a:ext uri="{63B3BB69-23CF-44E3-9099-C40C66FF867C}">
                  <a14:compatExt spid="_x0000_s199131"/>
                </a:ext>
                <a:ext uri="{FF2B5EF4-FFF2-40B4-BE49-F238E27FC236}">
                  <a16:creationId xmlns:a16="http://schemas.microsoft.com/office/drawing/2014/main" id="{00000000-0008-0000-0100-0000DB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26</xdr:row>
          <xdr:rowOff>22860</xdr:rowOff>
        </xdr:from>
        <xdr:to>
          <xdr:col>11</xdr:col>
          <xdr:colOff>784860</xdr:colOff>
          <xdr:row>26</xdr:row>
          <xdr:rowOff>251460</xdr:rowOff>
        </xdr:to>
        <xdr:sp macro="" textlink="">
          <xdr:nvSpPr>
            <xdr:cNvPr id="199132" name="Spinner 476" hidden="1">
              <a:extLst>
                <a:ext uri="{63B3BB69-23CF-44E3-9099-C40C66FF867C}">
                  <a14:compatExt spid="_x0000_s199132"/>
                </a:ext>
                <a:ext uri="{FF2B5EF4-FFF2-40B4-BE49-F238E27FC236}">
                  <a16:creationId xmlns:a16="http://schemas.microsoft.com/office/drawing/2014/main" id="{00000000-0008-0000-0100-0000DC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26</xdr:row>
          <xdr:rowOff>22860</xdr:rowOff>
        </xdr:from>
        <xdr:to>
          <xdr:col>11</xdr:col>
          <xdr:colOff>784860</xdr:colOff>
          <xdr:row>26</xdr:row>
          <xdr:rowOff>251460</xdr:rowOff>
        </xdr:to>
        <xdr:sp macro="" textlink="">
          <xdr:nvSpPr>
            <xdr:cNvPr id="199133" name="Spinner 477" hidden="1">
              <a:extLst>
                <a:ext uri="{63B3BB69-23CF-44E3-9099-C40C66FF867C}">
                  <a14:compatExt spid="_x0000_s199133"/>
                </a:ext>
                <a:ext uri="{FF2B5EF4-FFF2-40B4-BE49-F238E27FC236}">
                  <a16:creationId xmlns:a16="http://schemas.microsoft.com/office/drawing/2014/main" id="{00000000-0008-0000-0100-0000DD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26</xdr:row>
          <xdr:rowOff>22860</xdr:rowOff>
        </xdr:from>
        <xdr:to>
          <xdr:col>11</xdr:col>
          <xdr:colOff>784860</xdr:colOff>
          <xdr:row>26</xdr:row>
          <xdr:rowOff>251460</xdr:rowOff>
        </xdr:to>
        <xdr:sp macro="" textlink="">
          <xdr:nvSpPr>
            <xdr:cNvPr id="199134" name="Spinner 478" hidden="1">
              <a:extLst>
                <a:ext uri="{63B3BB69-23CF-44E3-9099-C40C66FF867C}">
                  <a14:compatExt spid="_x0000_s199134"/>
                </a:ext>
                <a:ext uri="{FF2B5EF4-FFF2-40B4-BE49-F238E27FC236}">
                  <a16:creationId xmlns:a16="http://schemas.microsoft.com/office/drawing/2014/main" id="{00000000-0008-0000-0100-0000DE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26</xdr:row>
          <xdr:rowOff>22860</xdr:rowOff>
        </xdr:from>
        <xdr:to>
          <xdr:col>11</xdr:col>
          <xdr:colOff>784860</xdr:colOff>
          <xdr:row>26</xdr:row>
          <xdr:rowOff>251460</xdr:rowOff>
        </xdr:to>
        <xdr:sp macro="" textlink="">
          <xdr:nvSpPr>
            <xdr:cNvPr id="199135" name="Spinner 479" hidden="1">
              <a:extLst>
                <a:ext uri="{63B3BB69-23CF-44E3-9099-C40C66FF867C}">
                  <a14:compatExt spid="_x0000_s199135"/>
                </a:ext>
                <a:ext uri="{FF2B5EF4-FFF2-40B4-BE49-F238E27FC236}">
                  <a16:creationId xmlns:a16="http://schemas.microsoft.com/office/drawing/2014/main" id="{00000000-0008-0000-0100-0000DF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26</xdr:row>
          <xdr:rowOff>22860</xdr:rowOff>
        </xdr:from>
        <xdr:to>
          <xdr:col>11</xdr:col>
          <xdr:colOff>784860</xdr:colOff>
          <xdr:row>26</xdr:row>
          <xdr:rowOff>251460</xdr:rowOff>
        </xdr:to>
        <xdr:sp macro="" textlink="">
          <xdr:nvSpPr>
            <xdr:cNvPr id="199136" name="Spinner 480" hidden="1">
              <a:extLst>
                <a:ext uri="{63B3BB69-23CF-44E3-9099-C40C66FF867C}">
                  <a14:compatExt spid="_x0000_s199136"/>
                </a:ext>
                <a:ext uri="{FF2B5EF4-FFF2-40B4-BE49-F238E27FC236}">
                  <a16:creationId xmlns:a16="http://schemas.microsoft.com/office/drawing/2014/main" id="{00000000-0008-0000-0100-0000E0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27</xdr:row>
          <xdr:rowOff>22860</xdr:rowOff>
        </xdr:from>
        <xdr:to>
          <xdr:col>11</xdr:col>
          <xdr:colOff>784860</xdr:colOff>
          <xdr:row>27</xdr:row>
          <xdr:rowOff>251460</xdr:rowOff>
        </xdr:to>
        <xdr:sp macro="" textlink="">
          <xdr:nvSpPr>
            <xdr:cNvPr id="199137" name="Spinner 481" hidden="1">
              <a:extLst>
                <a:ext uri="{63B3BB69-23CF-44E3-9099-C40C66FF867C}">
                  <a14:compatExt spid="_x0000_s199137"/>
                </a:ext>
                <a:ext uri="{FF2B5EF4-FFF2-40B4-BE49-F238E27FC236}">
                  <a16:creationId xmlns:a16="http://schemas.microsoft.com/office/drawing/2014/main" id="{00000000-0008-0000-0100-0000E1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27</xdr:row>
          <xdr:rowOff>22860</xdr:rowOff>
        </xdr:from>
        <xdr:to>
          <xdr:col>11</xdr:col>
          <xdr:colOff>784860</xdr:colOff>
          <xdr:row>27</xdr:row>
          <xdr:rowOff>251460</xdr:rowOff>
        </xdr:to>
        <xdr:sp macro="" textlink="">
          <xdr:nvSpPr>
            <xdr:cNvPr id="199138" name="Spinner 482" hidden="1">
              <a:extLst>
                <a:ext uri="{63B3BB69-23CF-44E3-9099-C40C66FF867C}">
                  <a14:compatExt spid="_x0000_s199138"/>
                </a:ext>
                <a:ext uri="{FF2B5EF4-FFF2-40B4-BE49-F238E27FC236}">
                  <a16:creationId xmlns:a16="http://schemas.microsoft.com/office/drawing/2014/main" id="{00000000-0008-0000-0100-0000E2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27</xdr:row>
          <xdr:rowOff>22860</xdr:rowOff>
        </xdr:from>
        <xdr:to>
          <xdr:col>11</xdr:col>
          <xdr:colOff>784860</xdr:colOff>
          <xdr:row>27</xdr:row>
          <xdr:rowOff>251460</xdr:rowOff>
        </xdr:to>
        <xdr:sp macro="" textlink="">
          <xdr:nvSpPr>
            <xdr:cNvPr id="199139" name="Spinner 483" hidden="1">
              <a:extLst>
                <a:ext uri="{63B3BB69-23CF-44E3-9099-C40C66FF867C}">
                  <a14:compatExt spid="_x0000_s199139"/>
                </a:ext>
                <a:ext uri="{FF2B5EF4-FFF2-40B4-BE49-F238E27FC236}">
                  <a16:creationId xmlns:a16="http://schemas.microsoft.com/office/drawing/2014/main" id="{00000000-0008-0000-0100-0000E3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27</xdr:row>
          <xdr:rowOff>7620</xdr:rowOff>
        </xdr:from>
        <xdr:to>
          <xdr:col>10</xdr:col>
          <xdr:colOff>1295400</xdr:colOff>
          <xdr:row>27</xdr:row>
          <xdr:rowOff>236220</xdr:rowOff>
        </xdr:to>
        <xdr:sp macro="" textlink="">
          <xdr:nvSpPr>
            <xdr:cNvPr id="199140" name="Spinner 484" hidden="1">
              <a:extLst>
                <a:ext uri="{63B3BB69-23CF-44E3-9099-C40C66FF867C}">
                  <a14:compatExt spid="_x0000_s199140"/>
                </a:ext>
                <a:ext uri="{FF2B5EF4-FFF2-40B4-BE49-F238E27FC236}">
                  <a16:creationId xmlns:a16="http://schemas.microsoft.com/office/drawing/2014/main" id="{00000000-0008-0000-0100-0000E4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27</xdr:row>
          <xdr:rowOff>7620</xdr:rowOff>
        </xdr:from>
        <xdr:to>
          <xdr:col>10</xdr:col>
          <xdr:colOff>1295400</xdr:colOff>
          <xdr:row>27</xdr:row>
          <xdr:rowOff>236220</xdr:rowOff>
        </xdr:to>
        <xdr:sp macro="" textlink="">
          <xdr:nvSpPr>
            <xdr:cNvPr id="199141" name="Spinner 485" hidden="1">
              <a:extLst>
                <a:ext uri="{63B3BB69-23CF-44E3-9099-C40C66FF867C}">
                  <a14:compatExt spid="_x0000_s199141"/>
                </a:ext>
                <a:ext uri="{FF2B5EF4-FFF2-40B4-BE49-F238E27FC236}">
                  <a16:creationId xmlns:a16="http://schemas.microsoft.com/office/drawing/2014/main" id="{00000000-0008-0000-0100-0000E5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27</xdr:row>
          <xdr:rowOff>7620</xdr:rowOff>
        </xdr:from>
        <xdr:to>
          <xdr:col>10</xdr:col>
          <xdr:colOff>1295400</xdr:colOff>
          <xdr:row>27</xdr:row>
          <xdr:rowOff>236220</xdr:rowOff>
        </xdr:to>
        <xdr:sp macro="" textlink="">
          <xdr:nvSpPr>
            <xdr:cNvPr id="199142" name="Spinner 486" hidden="1">
              <a:extLst>
                <a:ext uri="{63B3BB69-23CF-44E3-9099-C40C66FF867C}">
                  <a14:compatExt spid="_x0000_s199142"/>
                </a:ext>
                <a:ext uri="{FF2B5EF4-FFF2-40B4-BE49-F238E27FC236}">
                  <a16:creationId xmlns:a16="http://schemas.microsoft.com/office/drawing/2014/main" id="{00000000-0008-0000-0100-0000E6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27</xdr:row>
          <xdr:rowOff>22860</xdr:rowOff>
        </xdr:from>
        <xdr:to>
          <xdr:col>11</xdr:col>
          <xdr:colOff>784860</xdr:colOff>
          <xdr:row>27</xdr:row>
          <xdr:rowOff>251460</xdr:rowOff>
        </xdr:to>
        <xdr:sp macro="" textlink="">
          <xdr:nvSpPr>
            <xdr:cNvPr id="199143" name="Spinner 487" hidden="1">
              <a:extLst>
                <a:ext uri="{63B3BB69-23CF-44E3-9099-C40C66FF867C}">
                  <a14:compatExt spid="_x0000_s199143"/>
                </a:ext>
                <a:ext uri="{FF2B5EF4-FFF2-40B4-BE49-F238E27FC236}">
                  <a16:creationId xmlns:a16="http://schemas.microsoft.com/office/drawing/2014/main" id="{00000000-0008-0000-0100-0000E7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27</xdr:row>
          <xdr:rowOff>7620</xdr:rowOff>
        </xdr:from>
        <xdr:to>
          <xdr:col>10</xdr:col>
          <xdr:colOff>1295400</xdr:colOff>
          <xdr:row>27</xdr:row>
          <xdr:rowOff>236220</xdr:rowOff>
        </xdr:to>
        <xdr:sp macro="" textlink="">
          <xdr:nvSpPr>
            <xdr:cNvPr id="199144" name="Spinner 488" hidden="1">
              <a:extLst>
                <a:ext uri="{63B3BB69-23CF-44E3-9099-C40C66FF867C}">
                  <a14:compatExt spid="_x0000_s199144"/>
                </a:ext>
                <a:ext uri="{FF2B5EF4-FFF2-40B4-BE49-F238E27FC236}">
                  <a16:creationId xmlns:a16="http://schemas.microsoft.com/office/drawing/2014/main" id="{00000000-0008-0000-0100-0000E8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27</xdr:row>
          <xdr:rowOff>7620</xdr:rowOff>
        </xdr:from>
        <xdr:to>
          <xdr:col>10</xdr:col>
          <xdr:colOff>1295400</xdr:colOff>
          <xdr:row>27</xdr:row>
          <xdr:rowOff>236220</xdr:rowOff>
        </xdr:to>
        <xdr:sp macro="" textlink="">
          <xdr:nvSpPr>
            <xdr:cNvPr id="199145" name="Spinner 489" hidden="1">
              <a:extLst>
                <a:ext uri="{63B3BB69-23CF-44E3-9099-C40C66FF867C}">
                  <a14:compatExt spid="_x0000_s199145"/>
                </a:ext>
                <a:ext uri="{FF2B5EF4-FFF2-40B4-BE49-F238E27FC236}">
                  <a16:creationId xmlns:a16="http://schemas.microsoft.com/office/drawing/2014/main" id="{00000000-0008-0000-0100-0000E9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27</xdr:row>
          <xdr:rowOff>22860</xdr:rowOff>
        </xdr:from>
        <xdr:to>
          <xdr:col>11</xdr:col>
          <xdr:colOff>784860</xdr:colOff>
          <xdr:row>27</xdr:row>
          <xdr:rowOff>251460</xdr:rowOff>
        </xdr:to>
        <xdr:sp macro="" textlink="">
          <xdr:nvSpPr>
            <xdr:cNvPr id="199146" name="Spinner 490" hidden="1">
              <a:extLst>
                <a:ext uri="{63B3BB69-23CF-44E3-9099-C40C66FF867C}">
                  <a14:compatExt spid="_x0000_s199146"/>
                </a:ext>
                <a:ext uri="{FF2B5EF4-FFF2-40B4-BE49-F238E27FC236}">
                  <a16:creationId xmlns:a16="http://schemas.microsoft.com/office/drawing/2014/main" id="{00000000-0008-0000-0100-0000EA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27</xdr:row>
          <xdr:rowOff>22860</xdr:rowOff>
        </xdr:from>
        <xdr:to>
          <xdr:col>11</xdr:col>
          <xdr:colOff>784860</xdr:colOff>
          <xdr:row>27</xdr:row>
          <xdr:rowOff>251460</xdr:rowOff>
        </xdr:to>
        <xdr:sp macro="" textlink="">
          <xdr:nvSpPr>
            <xdr:cNvPr id="199147" name="Spinner 491" hidden="1">
              <a:extLst>
                <a:ext uri="{63B3BB69-23CF-44E3-9099-C40C66FF867C}">
                  <a14:compatExt spid="_x0000_s199147"/>
                </a:ext>
                <a:ext uri="{FF2B5EF4-FFF2-40B4-BE49-F238E27FC236}">
                  <a16:creationId xmlns:a16="http://schemas.microsoft.com/office/drawing/2014/main" id="{00000000-0008-0000-0100-0000EB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27</xdr:row>
          <xdr:rowOff>22860</xdr:rowOff>
        </xdr:from>
        <xdr:to>
          <xdr:col>11</xdr:col>
          <xdr:colOff>784860</xdr:colOff>
          <xdr:row>27</xdr:row>
          <xdr:rowOff>251460</xdr:rowOff>
        </xdr:to>
        <xdr:sp macro="" textlink="">
          <xdr:nvSpPr>
            <xdr:cNvPr id="199148" name="Spinner 492" hidden="1">
              <a:extLst>
                <a:ext uri="{63B3BB69-23CF-44E3-9099-C40C66FF867C}">
                  <a14:compatExt spid="_x0000_s199148"/>
                </a:ext>
                <a:ext uri="{FF2B5EF4-FFF2-40B4-BE49-F238E27FC236}">
                  <a16:creationId xmlns:a16="http://schemas.microsoft.com/office/drawing/2014/main" id="{00000000-0008-0000-0100-0000EC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27</xdr:row>
          <xdr:rowOff>22860</xdr:rowOff>
        </xdr:from>
        <xdr:to>
          <xdr:col>11</xdr:col>
          <xdr:colOff>784860</xdr:colOff>
          <xdr:row>27</xdr:row>
          <xdr:rowOff>251460</xdr:rowOff>
        </xdr:to>
        <xdr:sp macro="" textlink="">
          <xdr:nvSpPr>
            <xdr:cNvPr id="199149" name="Spinner 493" hidden="1">
              <a:extLst>
                <a:ext uri="{63B3BB69-23CF-44E3-9099-C40C66FF867C}">
                  <a14:compatExt spid="_x0000_s199149"/>
                </a:ext>
                <a:ext uri="{FF2B5EF4-FFF2-40B4-BE49-F238E27FC236}">
                  <a16:creationId xmlns:a16="http://schemas.microsoft.com/office/drawing/2014/main" id="{00000000-0008-0000-0100-0000ED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27</xdr:row>
          <xdr:rowOff>22860</xdr:rowOff>
        </xdr:from>
        <xdr:to>
          <xdr:col>11</xdr:col>
          <xdr:colOff>784860</xdr:colOff>
          <xdr:row>27</xdr:row>
          <xdr:rowOff>251460</xdr:rowOff>
        </xdr:to>
        <xdr:sp macro="" textlink="">
          <xdr:nvSpPr>
            <xdr:cNvPr id="199150" name="Spinner 494" hidden="1">
              <a:extLst>
                <a:ext uri="{63B3BB69-23CF-44E3-9099-C40C66FF867C}">
                  <a14:compatExt spid="_x0000_s199150"/>
                </a:ext>
                <a:ext uri="{FF2B5EF4-FFF2-40B4-BE49-F238E27FC236}">
                  <a16:creationId xmlns:a16="http://schemas.microsoft.com/office/drawing/2014/main" id="{00000000-0008-0000-0100-0000EE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27</xdr:row>
          <xdr:rowOff>22860</xdr:rowOff>
        </xdr:from>
        <xdr:to>
          <xdr:col>11</xdr:col>
          <xdr:colOff>784860</xdr:colOff>
          <xdr:row>27</xdr:row>
          <xdr:rowOff>251460</xdr:rowOff>
        </xdr:to>
        <xdr:sp macro="" textlink="">
          <xdr:nvSpPr>
            <xdr:cNvPr id="199151" name="Spinner 495" hidden="1">
              <a:extLst>
                <a:ext uri="{63B3BB69-23CF-44E3-9099-C40C66FF867C}">
                  <a14:compatExt spid="_x0000_s199151"/>
                </a:ext>
                <a:ext uri="{FF2B5EF4-FFF2-40B4-BE49-F238E27FC236}">
                  <a16:creationId xmlns:a16="http://schemas.microsoft.com/office/drawing/2014/main" id="{00000000-0008-0000-0100-0000EF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27</xdr:row>
          <xdr:rowOff>22860</xdr:rowOff>
        </xdr:from>
        <xdr:to>
          <xdr:col>11</xdr:col>
          <xdr:colOff>784860</xdr:colOff>
          <xdr:row>27</xdr:row>
          <xdr:rowOff>251460</xdr:rowOff>
        </xdr:to>
        <xdr:sp macro="" textlink="">
          <xdr:nvSpPr>
            <xdr:cNvPr id="199152" name="Spinner 496" hidden="1">
              <a:extLst>
                <a:ext uri="{63B3BB69-23CF-44E3-9099-C40C66FF867C}">
                  <a14:compatExt spid="_x0000_s199152"/>
                </a:ext>
                <a:ext uri="{FF2B5EF4-FFF2-40B4-BE49-F238E27FC236}">
                  <a16:creationId xmlns:a16="http://schemas.microsoft.com/office/drawing/2014/main" id="{00000000-0008-0000-0100-0000F0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27</xdr:row>
          <xdr:rowOff>22860</xdr:rowOff>
        </xdr:from>
        <xdr:to>
          <xdr:col>11</xdr:col>
          <xdr:colOff>784860</xdr:colOff>
          <xdr:row>27</xdr:row>
          <xdr:rowOff>251460</xdr:rowOff>
        </xdr:to>
        <xdr:sp macro="" textlink="">
          <xdr:nvSpPr>
            <xdr:cNvPr id="199153" name="Spinner 497" hidden="1">
              <a:extLst>
                <a:ext uri="{63B3BB69-23CF-44E3-9099-C40C66FF867C}">
                  <a14:compatExt spid="_x0000_s199153"/>
                </a:ext>
                <a:ext uri="{FF2B5EF4-FFF2-40B4-BE49-F238E27FC236}">
                  <a16:creationId xmlns:a16="http://schemas.microsoft.com/office/drawing/2014/main" id="{00000000-0008-0000-0100-0000F1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28</xdr:row>
          <xdr:rowOff>22860</xdr:rowOff>
        </xdr:from>
        <xdr:to>
          <xdr:col>11</xdr:col>
          <xdr:colOff>784860</xdr:colOff>
          <xdr:row>28</xdr:row>
          <xdr:rowOff>251460</xdr:rowOff>
        </xdr:to>
        <xdr:sp macro="" textlink="">
          <xdr:nvSpPr>
            <xdr:cNvPr id="199154" name="Spinner 498" hidden="1">
              <a:extLst>
                <a:ext uri="{63B3BB69-23CF-44E3-9099-C40C66FF867C}">
                  <a14:compatExt spid="_x0000_s199154"/>
                </a:ext>
                <a:ext uri="{FF2B5EF4-FFF2-40B4-BE49-F238E27FC236}">
                  <a16:creationId xmlns:a16="http://schemas.microsoft.com/office/drawing/2014/main" id="{00000000-0008-0000-0100-0000F2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28</xdr:row>
          <xdr:rowOff>22860</xdr:rowOff>
        </xdr:from>
        <xdr:to>
          <xdr:col>11</xdr:col>
          <xdr:colOff>784860</xdr:colOff>
          <xdr:row>28</xdr:row>
          <xdr:rowOff>251460</xdr:rowOff>
        </xdr:to>
        <xdr:sp macro="" textlink="">
          <xdr:nvSpPr>
            <xdr:cNvPr id="199155" name="Spinner 499" hidden="1">
              <a:extLst>
                <a:ext uri="{63B3BB69-23CF-44E3-9099-C40C66FF867C}">
                  <a14:compatExt spid="_x0000_s199155"/>
                </a:ext>
                <a:ext uri="{FF2B5EF4-FFF2-40B4-BE49-F238E27FC236}">
                  <a16:creationId xmlns:a16="http://schemas.microsoft.com/office/drawing/2014/main" id="{00000000-0008-0000-0100-0000F3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28</xdr:row>
          <xdr:rowOff>22860</xdr:rowOff>
        </xdr:from>
        <xdr:to>
          <xdr:col>11</xdr:col>
          <xdr:colOff>784860</xdr:colOff>
          <xdr:row>28</xdr:row>
          <xdr:rowOff>251460</xdr:rowOff>
        </xdr:to>
        <xdr:sp macro="" textlink="">
          <xdr:nvSpPr>
            <xdr:cNvPr id="199156" name="Spinner 500" hidden="1">
              <a:extLst>
                <a:ext uri="{63B3BB69-23CF-44E3-9099-C40C66FF867C}">
                  <a14:compatExt spid="_x0000_s199156"/>
                </a:ext>
                <a:ext uri="{FF2B5EF4-FFF2-40B4-BE49-F238E27FC236}">
                  <a16:creationId xmlns:a16="http://schemas.microsoft.com/office/drawing/2014/main" id="{00000000-0008-0000-0100-0000F4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28</xdr:row>
          <xdr:rowOff>7620</xdr:rowOff>
        </xdr:from>
        <xdr:to>
          <xdr:col>10</xdr:col>
          <xdr:colOff>1295400</xdr:colOff>
          <xdr:row>28</xdr:row>
          <xdr:rowOff>236220</xdr:rowOff>
        </xdr:to>
        <xdr:sp macro="" textlink="">
          <xdr:nvSpPr>
            <xdr:cNvPr id="199157" name="Spinner 501" hidden="1">
              <a:extLst>
                <a:ext uri="{63B3BB69-23CF-44E3-9099-C40C66FF867C}">
                  <a14:compatExt spid="_x0000_s199157"/>
                </a:ext>
                <a:ext uri="{FF2B5EF4-FFF2-40B4-BE49-F238E27FC236}">
                  <a16:creationId xmlns:a16="http://schemas.microsoft.com/office/drawing/2014/main" id="{00000000-0008-0000-0100-0000F5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28</xdr:row>
          <xdr:rowOff>7620</xdr:rowOff>
        </xdr:from>
        <xdr:to>
          <xdr:col>10</xdr:col>
          <xdr:colOff>1295400</xdr:colOff>
          <xdr:row>28</xdr:row>
          <xdr:rowOff>236220</xdr:rowOff>
        </xdr:to>
        <xdr:sp macro="" textlink="">
          <xdr:nvSpPr>
            <xdr:cNvPr id="199158" name="Spinner 502" hidden="1">
              <a:extLst>
                <a:ext uri="{63B3BB69-23CF-44E3-9099-C40C66FF867C}">
                  <a14:compatExt spid="_x0000_s199158"/>
                </a:ext>
                <a:ext uri="{FF2B5EF4-FFF2-40B4-BE49-F238E27FC236}">
                  <a16:creationId xmlns:a16="http://schemas.microsoft.com/office/drawing/2014/main" id="{00000000-0008-0000-0100-0000F6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28</xdr:row>
          <xdr:rowOff>7620</xdr:rowOff>
        </xdr:from>
        <xdr:to>
          <xdr:col>10</xdr:col>
          <xdr:colOff>1295400</xdr:colOff>
          <xdr:row>28</xdr:row>
          <xdr:rowOff>236220</xdr:rowOff>
        </xdr:to>
        <xdr:sp macro="" textlink="">
          <xdr:nvSpPr>
            <xdr:cNvPr id="199159" name="Spinner 503" hidden="1">
              <a:extLst>
                <a:ext uri="{63B3BB69-23CF-44E3-9099-C40C66FF867C}">
                  <a14:compatExt spid="_x0000_s199159"/>
                </a:ext>
                <a:ext uri="{FF2B5EF4-FFF2-40B4-BE49-F238E27FC236}">
                  <a16:creationId xmlns:a16="http://schemas.microsoft.com/office/drawing/2014/main" id="{00000000-0008-0000-0100-0000F7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28</xdr:row>
          <xdr:rowOff>22860</xdr:rowOff>
        </xdr:from>
        <xdr:to>
          <xdr:col>11</xdr:col>
          <xdr:colOff>784860</xdr:colOff>
          <xdr:row>28</xdr:row>
          <xdr:rowOff>251460</xdr:rowOff>
        </xdr:to>
        <xdr:sp macro="" textlink="">
          <xdr:nvSpPr>
            <xdr:cNvPr id="199160" name="Spinner 504" hidden="1">
              <a:extLst>
                <a:ext uri="{63B3BB69-23CF-44E3-9099-C40C66FF867C}">
                  <a14:compatExt spid="_x0000_s199160"/>
                </a:ext>
                <a:ext uri="{FF2B5EF4-FFF2-40B4-BE49-F238E27FC236}">
                  <a16:creationId xmlns:a16="http://schemas.microsoft.com/office/drawing/2014/main" id="{00000000-0008-0000-0100-0000F8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28</xdr:row>
          <xdr:rowOff>7620</xdr:rowOff>
        </xdr:from>
        <xdr:to>
          <xdr:col>10</xdr:col>
          <xdr:colOff>1295400</xdr:colOff>
          <xdr:row>28</xdr:row>
          <xdr:rowOff>236220</xdr:rowOff>
        </xdr:to>
        <xdr:sp macro="" textlink="">
          <xdr:nvSpPr>
            <xdr:cNvPr id="199161" name="Spinner 505" hidden="1">
              <a:extLst>
                <a:ext uri="{63B3BB69-23CF-44E3-9099-C40C66FF867C}">
                  <a14:compatExt spid="_x0000_s199161"/>
                </a:ext>
                <a:ext uri="{FF2B5EF4-FFF2-40B4-BE49-F238E27FC236}">
                  <a16:creationId xmlns:a16="http://schemas.microsoft.com/office/drawing/2014/main" id="{00000000-0008-0000-0100-0000F9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28</xdr:row>
          <xdr:rowOff>7620</xdr:rowOff>
        </xdr:from>
        <xdr:to>
          <xdr:col>10</xdr:col>
          <xdr:colOff>1295400</xdr:colOff>
          <xdr:row>28</xdr:row>
          <xdr:rowOff>236220</xdr:rowOff>
        </xdr:to>
        <xdr:sp macro="" textlink="">
          <xdr:nvSpPr>
            <xdr:cNvPr id="199162" name="Spinner 506" hidden="1">
              <a:extLst>
                <a:ext uri="{63B3BB69-23CF-44E3-9099-C40C66FF867C}">
                  <a14:compatExt spid="_x0000_s199162"/>
                </a:ext>
                <a:ext uri="{FF2B5EF4-FFF2-40B4-BE49-F238E27FC236}">
                  <a16:creationId xmlns:a16="http://schemas.microsoft.com/office/drawing/2014/main" id="{00000000-0008-0000-0100-0000FA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28</xdr:row>
          <xdr:rowOff>22860</xdr:rowOff>
        </xdr:from>
        <xdr:to>
          <xdr:col>11</xdr:col>
          <xdr:colOff>784860</xdr:colOff>
          <xdr:row>28</xdr:row>
          <xdr:rowOff>251460</xdr:rowOff>
        </xdr:to>
        <xdr:sp macro="" textlink="">
          <xdr:nvSpPr>
            <xdr:cNvPr id="199163" name="Spinner 507" hidden="1">
              <a:extLst>
                <a:ext uri="{63B3BB69-23CF-44E3-9099-C40C66FF867C}">
                  <a14:compatExt spid="_x0000_s199163"/>
                </a:ext>
                <a:ext uri="{FF2B5EF4-FFF2-40B4-BE49-F238E27FC236}">
                  <a16:creationId xmlns:a16="http://schemas.microsoft.com/office/drawing/2014/main" id="{00000000-0008-0000-0100-0000FB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28</xdr:row>
          <xdr:rowOff>22860</xdr:rowOff>
        </xdr:from>
        <xdr:to>
          <xdr:col>11</xdr:col>
          <xdr:colOff>784860</xdr:colOff>
          <xdr:row>28</xdr:row>
          <xdr:rowOff>251460</xdr:rowOff>
        </xdr:to>
        <xdr:sp macro="" textlink="">
          <xdr:nvSpPr>
            <xdr:cNvPr id="199164" name="Spinner 508" hidden="1">
              <a:extLst>
                <a:ext uri="{63B3BB69-23CF-44E3-9099-C40C66FF867C}">
                  <a14:compatExt spid="_x0000_s199164"/>
                </a:ext>
                <a:ext uri="{FF2B5EF4-FFF2-40B4-BE49-F238E27FC236}">
                  <a16:creationId xmlns:a16="http://schemas.microsoft.com/office/drawing/2014/main" id="{00000000-0008-0000-0100-0000FC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28</xdr:row>
          <xdr:rowOff>22860</xdr:rowOff>
        </xdr:from>
        <xdr:to>
          <xdr:col>11</xdr:col>
          <xdr:colOff>784860</xdr:colOff>
          <xdr:row>28</xdr:row>
          <xdr:rowOff>251460</xdr:rowOff>
        </xdr:to>
        <xdr:sp macro="" textlink="">
          <xdr:nvSpPr>
            <xdr:cNvPr id="199165" name="Spinner 509" hidden="1">
              <a:extLst>
                <a:ext uri="{63B3BB69-23CF-44E3-9099-C40C66FF867C}">
                  <a14:compatExt spid="_x0000_s199165"/>
                </a:ext>
                <a:ext uri="{FF2B5EF4-FFF2-40B4-BE49-F238E27FC236}">
                  <a16:creationId xmlns:a16="http://schemas.microsoft.com/office/drawing/2014/main" id="{00000000-0008-0000-0100-0000FD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28</xdr:row>
          <xdr:rowOff>22860</xdr:rowOff>
        </xdr:from>
        <xdr:to>
          <xdr:col>11</xdr:col>
          <xdr:colOff>784860</xdr:colOff>
          <xdr:row>28</xdr:row>
          <xdr:rowOff>251460</xdr:rowOff>
        </xdr:to>
        <xdr:sp macro="" textlink="">
          <xdr:nvSpPr>
            <xdr:cNvPr id="199166" name="Spinner 510" hidden="1">
              <a:extLst>
                <a:ext uri="{63B3BB69-23CF-44E3-9099-C40C66FF867C}">
                  <a14:compatExt spid="_x0000_s199166"/>
                </a:ext>
                <a:ext uri="{FF2B5EF4-FFF2-40B4-BE49-F238E27FC236}">
                  <a16:creationId xmlns:a16="http://schemas.microsoft.com/office/drawing/2014/main" id="{00000000-0008-0000-0100-0000FE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28</xdr:row>
          <xdr:rowOff>22860</xdr:rowOff>
        </xdr:from>
        <xdr:to>
          <xdr:col>11</xdr:col>
          <xdr:colOff>784860</xdr:colOff>
          <xdr:row>28</xdr:row>
          <xdr:rowOff>251460</xdr:rowOff>
        </xdr:to>
        <xdr:sp macro="" textlink="">
          <xdr:nvSpPr>
            <xdr:cNvPr id="199167" name="Spinner 511" hidden="1">
              <a:extLst>
                <a:ext uri="{63B3BB69-23CF-44E3-9099-C40C66FF867C}">
                  <a14:compatExt spid="_x0000_s199167"/>
                </a:ext>
                <a:ext uri="{FF2B5EF4-FFF2-40B4-BE49-F238E27FC236}">
                  <a16:creationId xmlns:a16="http://schemas.microsoft.com/office/drawing/2014/main" id="{00000000-0008-0000-0100-0000FF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28</xdr:row>
          <xdr:rowOff>22860</xdr:rowOff>
        </xdr:from>
        <xdr:to>
          <xdr:col>11</xdr:col>
          <xdr:colOff>784860</xdr:colOff>
          <xdr:row>28</xdr:row>
          <xdr:rowOff>251460</xdr:rowOff>
        </xdr:to>
        <xdr:sp macro="" textlink="">
          <xdr:nvSpPr>
            <xdr:cNvPr id="199168" name="Spinner 512" hidden="1">
              <a:extLst>
                <a:ext uri="{63B3BB69-23CF-44E3-9099-C40C66FF867C}">
                  <a14:compatExt spid="_x0000_s199168"/>
                </a:ext>
                <a:ext uri="{FF2B5EF4-FFF2-40B4-BE49-F238E27FC236}">
                  <a16:creationId xmlns:a16="http://schemas.microsoft.com/office/drawing/2014/main" id="{00000000-0008-0000-0100-000000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28</xdr:row>
          <xdr:rowOff>22860</xdr:rowOff>
        </xdr:from>
        <xdr:to>
          <xdr:col>11</xdr:col>
          <xdr:colOff>784860</xdr:colOff>
          <xdr:row>28</xdr:row>
          <xdr:rowOff>251460</xdr:rowOff>
        </xdr:to>
        <xdr:sp macro="" textlink="">
          <xdr:nvSpPr>
            <xdr:cNvPr id="199169" name="Spinner 513" hidden="1">
              <a:extLst>
                <a:ext uri="{63B3BB69-23CF-44E3-9099-C40C66FF867C}">
                  <a14:compatExt spid="_x0000_s199169"/>
                </a:ext>
                <a:ext uri="{FF2B5EF4-FFF2-40B4-BE49-F238E27FC236}">
                  <a16:creationId xmlns:a16="http://schemas.microsoft.com/office/drawing/2014/main" id="{00000000-0008-0000-0100-000001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28</xdr:row>
          <xdr:rowOff>22860</xdr:rowOff>
        </xdr:from>
        <xdr:to>
          <xdr:col>11</xdr:col>
          <xdr:colOff>784860</xdr:colOff>
          <xdr:row>28</xdr:row>
          <xdr:rowOff>251460</xdr:rowOff>
        </xdr:to>
        <xdr:sp macro="" textlink="">
          <xdr:nvSpPr>
            <xdr:cNvPr id="199170" name="Spinner 514" hidden="1">
              <a:extLst>
                <a:ext uri="{63B3BB69-23CF-44E3-9099-C40C66FF867C}">
                  <a14:compatExt spid="_x0000_s199170"/>
                </a:ext>
                <a:ext uri="{FF2B5EF4-FFF2-40B4-BE49-F238E27FC236}">
                  <a16:creationId xmlns:a16="http://schemas.microsoft.com/office/drawing/2014/main" id="{00000000-0008-0000-0100-000002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29</xdr:row>
          <xdr:rowOff>22860</xdr:rowOff>
        </xdr:from>
        <xdr:to>
          <xdr:col>11</xdr:col>
          <xdr:colOff>784860</xdr:colOff>
          <xdr:row>29</xdr:row>
          <xdr:rowOff>251460</xdr:rowOff>
        </xdr:to>
        <xdr:sp macro="" textlink="">
          <xdr:nvSpPr>
            <xdr:cNvPr id="199171" name="Spinner 515" hidden="1">
              <a:extLst>
                <a:ext uri="{63B3BB69-23CF-44E3-9099-C40C66FF867C}">
                  <a14:compatExt spid="_x0000_s199171"/>
                </a:ext>
                <a:ext uri="{FF2B5EF4-FFF2-40B4-BE49-F238E27FC236}">
                  <a16:creationId xmlns:a16="http://schemas.microsoft.com/office/drawing/2014/main" id="{00000000-0008-0000-0100-000003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29</xdr:row>
          <xdr:rowOff>22860</xdr:rowOff>
        </xdr:from>
        <xdr:to>
          <xdr:col>11</xdr:col>
          <xdr:colOff>784860</xdr:colOff>
          <xdr:row>29</xdr:row>
          <xdr:rowOff>251460</xdr:rowOff>
        </xdr:to>
        <xdr:sp macro="" textlink="">
          <xdr:nvSpPr>
            <xdr:cNvPr id="199172" name="Spinner 516" hidden="1">
              <a:extLst>
                <a:ext uri="{63B3BB69-23CF-44E3-9099-C40C66FF867C}">
                  <a14:compatExt spid="_x0000_s199172"/>
                </a:ext>
                <a:ext uri="{FF2B5EF4-FFF2-40B4-BE49-F238E27FC236}">
                  <a16:creationId xmlns:a16="http://schemas.microsoft.com/office/drawing/2014/main" id="{00000000-0008-0000-0100-000004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29</xdr:row>
          <xdr:rowOff>22860</xdr:rowOff>
        </xdr:from>
        <xdr:to>
          <xdr:col>11</xdr:col>
          <xdr:colOff>784860</xdr:colOff>
          <xdr:row>29</xdr:row>
          <xdr:rowOff>251460</xdr:rowOff>
        </xdr:to>
        <xdr:sp macro="" textlink="">
          <xdr:nvSpPr>
            <xdr:cNvPr id="199173" name="Spinner 517" hidden="1">
              <a:extLst>
                <a:ext uri="{63B3BB69-23CF-44E3-9099-C40C66FF867C}">
                  <a14:compatExt spid="_x0000_s199173"/>
                </a:ext>
                <a:ext uri="{FF2B5EF4-FFF2-40B4-BE49-F238E27FC236}">
                  <a16:creationId xmlns:a16="http://schemas.microsoft.com/office/drawing/2014/main" id="{00000000-0008-0000-0100-000005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29</xdr:row>
          <xdr:rowOff>7620</xdr:rowOff>
        </xdr:from>
        <xdr:to>
          <xdr:col>10</xdr:col>
          <xdr:colOff>1295400</xdr:colOff>
          <xdr:row>29</xdr:row>
          <xdr:rowOff>236220</xdr:rowOff>
        </xdr:to>
        <xdr:sp macro="" textlink="">
          <xdr:nvSpPr>
            <xdr:cNvPr id="199174" name="Spinner 518" hidden="1">
              <a:extLst>
                <a:ext uri="{63B3BB69-23CF-44E3-9099-C40C66FF867C}">
                  <a14:compatExt spid="_x0000_s199174"/>
                </a:ext>
                <a:ext uri="{FF2B5EF4-FFF2-40B4-BE49-F238E27FC236}">
                  <a16:creationId xmlns:a16="http://schemas.microsoft.com/office/drawing/2014/main" id="{00000000-0008-0000-0100-000006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29</xdr:row>
          <xdr:rowOff>7620</xdr:rowOff>
        </xdr:from>
        <xdr:to>
          <xdr:col>10</xdr:col>
          <xdr:colOff>1295400</xdr:colOff>
          <xdr:row>29</xdr:row>
          <xdr:rowOff>236220</xdr:rowOff>
        </xdr:to>
        <xdr:sp macro="" textlink="">
          <xdr:nvSpPr>
            <xdr:cNvPr id="199175" name="Spinner 519" hidden="1">
              <a:extLst>
                <a:ext uri="{63B3BB69-23CF-44E3-9099-C40C66FF867C}">
                  <a14:compatExt spid="_x0000_s199175"/>
                </a:ext>
                <a:ext uri="{FF2B5EF4-FFF2-40B4-BE49-F238E27FC236}">
                  <a16:creationId xmlns:a16="http://schemas.microsoft.com/office/drawing/2014/main" id="{00000000-0008-0000-0100-000007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29</xdr:row>
          <xdr:rowOff>7620</xdr:rowOff>
        </xdr:from>
        <xdr:to>
          <xdr:col>10</xdr:col>
          <xdr:colOff>1295400</xdr:colOff>
          <xdr:row>29</xdr:row>
          <xdr:rowOff>236220</xdr:rowOff>
        </xdr:to>
        <xdr:sp macro="" textlink="">
          <xdr:nvSpPr>
            <xdr:cNvPr id="199176" name="Spinner 520" hidden="1">
              <a:extLst>
                <a:ext uri="{63B3BB69-23CF-44E3-9099-C40C66FF867C}">
                  <a14:compatExt spid="_x0000_s199176"/>
                </a:ext>
                <a:ext uri="{FF2B5EF4-FFF2-40B4-BE49-F238E27FC236}">
                  <a16:creationId xmlns:a16="http://schemas.microsoft.com/office/drawing/2014/main" id="{00000000-0008-0000-0100-000008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29</xdr:row>
          <xdr:rowOff>22860</xdr:rowOff>
        </xdr:from>
        <xdr:to>
          <xdr:col>11</xdr:col>
          <xdr:colOff>784860</xdr:colOff>
          <xdr:row>29</xdr:row>
          <xdr:rowOff>251460</xdr:rowOff>
        </xdr:to>
        <xdr:sp macro="" textlink="">
          <xdr:nvSpPr>
            <xdr:cNvPr id="199177" name="Spinner 521" hidden="1">
              <a:extLst>
                <a:ext uri="{63B3BB69-23CF-44E3-9099-C40C66FF867C}">
                  <a14:compatExt spid="_x0000_s199177"/>
                </a:ext>
                <a:ext uri="{FF2B5EF4-FFF2-40B4-BE49-F238E27FC236}">
                  <a16:creationId xmlns:a16="http://schemas.microsoft.com/office/drawing/2014/main" id="{00000000-0008-0000-0100-000009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29</xdr:row>
          <xdr:rowOff>7620</xdr:rowOff>
        </xdr:from>
        <xdr:to>
          <xdr:col>10</xdr:col>
          <xdr:colOff>1295400</xdr:colOff>
          <xdr:row>29</xdr:row>
          <xdr:rowOff>236220</xdr:rowOff>
        </xdr:to>
        <xdr:sp macro="" textlink="">
          <xdr:nvSpPr>
            <xdr:cNvPr id="199178" name="Spinner 522" hidden="1">
              <a:extLst>
                <a:ext uri="{63B3BB69-23CF-44E3-9099-C40C66FF867C}">
                  <a14:compatExt spid="_x0000_s199178"/>
                </a:ext>
                <a:ext uri="{FF2B5EF4-FFF2-40B4-BE49-F238E27FC236}">
                  <a16:creationId xmlns:a16="http://schemas.microsoft.com/office/drawing/2014/main" id="{00000000-0008-0000-0100-00000A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29</xdr:row>
          <xdr:rowOff>7620</xdr:rowOff>
        </xdr:from>
        <xdr:to>
          <xdr:col>10</xdr:col>
          <xdr:colOff>1295400</xdr:colOff>
          <xdr:row>29</xdr:row>
          <xdr:rowOff>236220</xdr:rowOff>
        </xdr:to>
        <xdr:sp macro="" textlink="">
          <xdr:nvSpPr>
            <xdr:cNvPr id="199179" name="Spinner 523" hidden="1">
              <a:extLst>
                <a:ext uri="{63B3BB69-23CF-44E3-9099-C40C66FF867C}">
                  <a14:compatExt spid="_x0000_s199179"/>
                </a:ext>
                <a:ext uri="{FF2B5EF4-FFF2-40B4-BE49-F238E27FC236}">
                  <a16:creationId xmlns:a16="http://schemas.microsoft.com/office/drawing/2014/main" id="{00000000-0008-0000-0100-00000B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29</xdr:row>
          <xdr:rowOff>22860</xdr:rowOff>
        </xdr:from>
        <xdr:to>
          <xdr:col>11</xdr:col>
          <xdr:colOff>784860</xdr:colOff>
          <xdr:row>29</xdr:row>
          <xdr:rowOff>251460</xdr:rowOff>
        </xdr:to>
        <xdr:sp macro="" textlink="">
          <xdr:nvSpPr>
            <xdr:cNvPr id="199180" name="Spinner 524" hidden="1">
              <a:extLst>
                <a:ext uri="{63B3BB69-23CF-44E3-9099-C40C66FF867C}">
                  <a14:compatExt spid="_x0000_s199180"/>
                </a:ext>
                <a:ext uri="{FF2B5EF4-FFF2-40B4-BE49-F238E27FC236}">
                  <a16:creationId xmlns:a16="http://schemas.microsoft.com/office/drawing/2014/main" id="{00000000-0008-0000-0100-00000C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29</xdr:row>
          <xdr:rowOff>22860</xdr:rowOff>
        </xdr:from>
        <xdr:to>
          <xdr:col>11</xdr:col>
          <xdr:colOff>784860</xdr:colOff>
          <xdr:row>29</xdr:row>
          <xdr:rowOff>251460</xdr:rowOff>
        </xdr:to>
        <xdr:sp macro="" textlink="">
          <xdr:nvSpPr>
            <xdr:cNvPr id="199181" name="Spinner 525" hidden="1">
              <a:extLst>
                <a:ext uri="{63B3BB69-23CF-44E3-9099-C40C66FF867C}">
                  <a14:compatExt spid="_x0000_s199181"/>
                </a:ext>
                <a:ext uri="{FF2B5EF4-FFF2-40B4-BE49-F238E27FC236}">
                  <a16:creationId xmlns:a16="http://schemas.microsoft.com/office/drawing/2014/main" id="{00000000-0008-0000-0100-00000D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29</xdr:row>
          <xdr:rowOff>22860</xdr:rowOff>
        </xdr:from>
        <xdr:to>
          <xdr:col>11</xdr:col>
          <xdr:colOff>784860</xdr:colOff>
          <xdr:row>29</xdr:row>
          <xdr:rowOff>251460</xdr:rowOff>
        </xdr:to>
        <xdr:sp macro="" textlink="">
          <xdr:nvSpPr>
            <xdr:cNvPr id="199182" name="Spinner 526" hidden="1">
              <a:extLst>
                <a:ext uri="{63B3BB69-23CF-44E3-9099-C40C66FF867C}">
                  <a14:compatExt spid="_x0000_s199182"/>
                </a:ext>
                <a:ext uri="{FF2B5EF4-FFF2-40B4-BE49-F238E27FC236}">
                  <a16:creationId xmlns:a16="http://schemas.microsoft.com/office/drawing/2014/main" id="{00000000-0008-0000-0100-00000E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29</xdr:row>
          <xdr:rowOff>22860</xdr:rowOff>
        </xdr:from>
        <xdr:to>
          <xdr:col>11</xdr:col>
          <xdr:colOff>784860</xdr:colOff>
          <xdr:row>29</xdr:row>
          <xdr:rowOff>251460</xdr:rowOff>
        </xdr:to>
        <xdr:sp macro="" textlink="">
          <xdr:nvSpPr>
            <xdr:cNvPr id="199183" name="Spinner 527" hidden="1">
              <a:extLst>
                <a:ext uri="{63B3BB69-23CF-44E3-9099-C40C66FF867C}">
                  <a14:compatExt spid="_x0000_s199183"/>
                </a:ext>
                <a:ext uri="{FF2B5EF4-FFF2-40B4-BE49-F238E27FC236}">
                  <a16:creationId xmlns:a16="http://schemas.microsoft.com/office/drawing/2014/main" id="{00000000-0008-0000-0100-00000F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29</xdr:row>
          <xdr:rowOff>22860</xdr:rowOff>
        </xdr:from>
        <xdr:to>
          <xdr:col>11</xdr:col>
          <xdr:colOff>784860</xdr:colOff>
          <xdr:row>29</xdr:row>
          <xdr:rowOff>251460</xdr:rowOff>
        </xdr:to>
        <xdr:sp macro="" textlink="">
          <xdr:nvSpPr>
            <xdr:cNvPr id="199184" name="Spinner 528" hidden="1">
              <a:extLst>
                <a:ext uri="{63B3BB69-23CF-44E3-9099-C40C66FF867C}">
                  <a14:compatExt spid="_x0000_s199184"/>
                </a:ext>
                <a:ext uri="{FF2B5EF4-FFF2-40B4-BE49-F238E27FC236}">
                  <a16:creationId xmlns:a16="http://schemas.microsoft.com/office/drawing/2014/main" id="{00000000-0008-0000-0100-000010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29</xdr:row>
          <xdr:rowOff>22860</xdr:rowOff>
        </xdr:from>
        <xdr:to>
          <xdr:col>11</xdr:col>
          <xdr:colOff>784860</xdr:colOff>
          <xdr:row>29</xdr:row>
          <xdr:rowOff>251460</xdr:rowOff>
        </xdr:to>
        <xdr:sp macro="" textlink="">
          <xdr:nvSpPr>
            <xdr:cNvPr id="199185" name="Spinner 529" hidden="1">
              <a:extLst>
                <a:ext uri="{63B3BB69-23CF-44E3-9099-C40C66FF867C}">
                  <a14:compatExt spid="_x0000_s199185"/>
                </a:ext>
                <a:ext uri="{FF2B5EF4-FFF2-40B4-BE49-F238E27FC236}">
                  <a16:creationId xmlns:a16="http://schemas.microsoft.com/office/drawing/2014/main" id="{00000000-0008-0000-0100-000011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29</xdr:row>
          <xdr:rowOff>22860</xdr:rowOff>
        </xdr:from>
        <xdr:to>
          <xdr:col>11</xdr:col>
          <xdr:colOff>784860</xdr:colOff>
          <xdr:row>29</xdr:row>
          <xdr:rowOff>251460</xdr:rowOff>
        </xdr:to>
        <xdr:sp macro="" textlink="">
          <xdr:nvSpPr>
            <xdr:cNvPr id="199186" name="Spinner 530" hidden="1">
              <a:extLst>
                <a:ext uri="{63B3BB69-23CF-44E3-9099-C40C66FF867C}">
                  <a14:compatExt spid="_x0000_s199186"/>
                </a:ext>
                <a:ext uri="{FF2B5EF4-FFF2-40B4-BE49-F238E27FC236}">
                  <a16:creationId xmlns:a16="http://schemas.microsoft.com/office/drawing/2014/main" id="{00000000-0008-0000-0100-000012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29</xdr:row>
          <xdr:rowOff>22860</xdr:rowOff>
        </xdr:from>
        <xdr:to>
          <xdr:col>11</xdr:col>
          <xdr:colOff>784860</xdr:colOff>
          <xdr:row>29</xdr:row>
          <xdr:rowOff>251460</xdr:rowOff>
        </xdr:to>
        <xdr:sp macro="" textlink="">
          <xdr:nvSpPr>
            <xdr:cNvPr id="199187" name="Spinner 531" hidden="1">
              <a:extLst>
                <a:ext uri="{63B3BB69-23CF-44E3-9099-C40C66FF867C}">
                  <a14:compatExt spid="_x0000_s199187"/>
                </a:ext>
                <a:ext uri="{FF2B5EF4-FFF2-40B4-BE49-F238E27FC236}">
                  <a16:creationId xmlns:a16="http://schemas.microsoft.com/office/drawing/2014/main" id="{00000000-0008-0000-0100-000013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30</xdr:row>
          <xdr:rowOff>22860</xdr:rowOff>
        </xdr:from>
        <xdr:to>
          <xdr:col>11</xdr:col>
          <xdr:colOff>784860</xdr:colOff>
          <xdr:row>30</xdr:row>
          <xdr:rowOff>251460</xdr:rowOff>
        </xdr:to>
        <xdr:sp macro="" textlink="">
          <xdr:nvSpPr>
            <xdr:cNvPr id="199188" name="Spinner 532" hidden="1">
              <a:extLst>
                <a:ext uri="{63B3BB69-23CF-44E3-9099-C40C66FF867C}">
                  <a14:compatExt spid="_x0000_s199188"/>
                </a:ext>
                <a:ext uri="{FF2B5EF4-FFF2-40B4-BE49-F238E27FC236}">
                  <a16:creationId xmlns:a16="http://schemas.microsoft.com/office/drawing/2014/main" id="{00000000-0008-0000-0100-000014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30</xdr:row>
          <xdr:rowOff>22860</xdr:rowOff>
        </xdr:from>
        <xdr:to>
          <xdr:col>11</xdr:col>
          <xdr:colOff>784860</xdr:colOff>
          <xdr:row>30</xdr:row>
          <xdr:rowOff>251460</xdr:rowOff>
        </xdr:to>
        <xdr:sp macro="" textlink="">
          <xdr:nvSpPr>
            <xdr:cNvPr id="199189" name="Spinner 533" hidden="1">
              <a:extLst>
                <a:ext uri="{63B3BB69-23CF-44E3-9099-C40C66FF867C}">
                  <a14:compatExt spid="_x0000_s199189"/>
                </a:ext>
                <a:ext uri="{FF2B5EF4-FFF2-40B4-BE49-F238E27FC236}">
                  <a16:creationId xmlns:a16="http://schemas.microsoft.com/office/drawing/2014/main" id="{00000000-0008-0000-0100-000015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30</xdr:row>
          <xdr:rowOff>22860</xdr:rowOff>
        </xdr:from>
        <xdr:to>
          <xdr:col>11</xdr:col>
          <xdr:colOff>784860</xdr:colOff>
          <xdr:row>30</xdr:row>
          <xdr:rowOff>251460</xdr:rowOff>
        </xdr:to>
        <xdr:sp macro="" textlink="">
          <xdr:nvSpPr>
            <xdr:cNvPr id="199190" name="Spinner 534" hidden="1">
              <a:extLst>
                <a:ext uri="{63B3BB69-23CF-44E3-9099-C40C66FF867C}">
                  <a14:compatExt spid="_x0000_s199190"/>
                </a:ext>
                <a:ext uri="{FF2B5EF4-FFF2-40B4-BE49-F238E27FC236}">
                  <a16:creationId xmlns:a16="http://schemas.microsoft.com/office/drawing/2014/main" id="{00000000-0008-0000-0100-000016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30</xdr:row>
          <xdr:rowOff>7620</xdr:rowOff>
        </xdr:from>
        <xdr:to>
          <xdr:col>10</xdr:col>
          <xdr:colOff>1295400</xdr:colOff>
          <xdr:row>30</xdr:row>
          <xdr:rowOff>236220</xdr:rowOff>
        </xdr:to>
        <xdr:sp macro="" textlink="">
          <xdr:nvSpPr>
            <xdr:cNvPr id="199191" name="Spinner 535" hidden="1">
              <a:extLst>
                <a:ext uri="{63B3BB69-23CF-44E3-9099-C40C66FF867C}">
                  <a14:compatExt spid="_x0000_s199191"/>
                </a:ext>
                <a:ext uri="{FF2B5EF4-FFF2-40B4-BE49-F238E27FC236}">
                  <a16:creationId xmlns:a16="http://schemas.microsoft.com/office/drawing/2014/main" id="{00000000-0008-0000-0100-000017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30</xdr:row>
          <xdr:rowOff>7620</xdr:rowOff>
        </xdr:from>
        <xdr:to>
          <xdr:col>10</xdr:col>
          <xdr:colOff>1295400</xdr:colOff>
          <xdr:row>30</xdr:row>
          <xdr:rowOff>236220</xdr:rowOff>
        </xdr:to>
        <xdr:sp macro="" textlink="">
          <xdr:nvSpPr>
            <xdr:cNvPr id="199192" name="Spinner 536" hidden="1">
              <a:extLst>
                <a:ext uri="{63B3BB69-23CF-44E3-9099-C40C66FF867C}">
                  <a14:compatExt spid="_x0000_s199192"/>
                </a:ext>
                <a:ext uri="{FF2B5EF4-FFF2-40B4-BE49-F238E27FC236}">
                  <a16:creationId xmlns:a16="http://schemas.microsoft.com/office/drawing/2014/main" id="{00000000-0008-0000-0100-000018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30</xdr:row>
          <xdr:rowOff>7620</xdr:rowOff>
        </xdr:from>
        <xdr:to>
          <xdr:col>10</xdr:col>
          <xdr:colOff>1295400</xdr:colOff>
          <xdr:row>30</xdr:row>
          <xdr:rowOff>236220</xdr:rowOff>
        </xdr:to>
        <xdr:sp macro="" textlink="">
          <xdr:nvSpPr>
            <xdr:cNvPr id="199193" name="Spinner 537" hidden="1">
              <a:extLst>
                <a:ext uri="{63B3BB69-23CF-44E3-9099-C40C66FF867C}">
                  <a14:compatExt spid="_x0000_s199193"/>
                </a:ext>
                <a:ext uri="{FF2B5EF4-FFF2-40B4-BE49-F238E27FC236}">
                  <a16:creationId xmlns:a16="http://schemas.microsoft.com/office/drawing/2014/main" id="{00000000-0008-0000-0100-000019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30</xdr:row>
          <xdr:rowOff>22860</xdr:rowOff>
        </xdr:from>
        <xdr:to>
          <xdr:col>11</xdr:col>
          <xdr:colOff>784860</xdr:colOff>
          <xdr:row>30</xdr:row>
          <xdr:rowOff>251460</xdr:rowOff>
        </xdr:to>
        <xdr:sp macro="" textlink="">
          <xdr:nvSpPr>
            <xdr:cNvPr id="199194" name="Spinner 538" hidden="1">
              <a:extLst>
                <a:ext uri="{63B3BB69-23CF-44E3-9099-C40C66FF867C}">
                  <a14:compatExt spid="_x0000_s199194"/>
                </a:ext>
                <a:ext uri="{FF2B5EF4-FFF2-40B4-BE49-F238E27FC236}">
                  <a16:creationId xmlns:a16="http://schemas.microsoft.com/office/drawing/2014/main" id="{00000000-0008-0000-0100-00001A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30</xdr:row>
          <xdr:rowOff>7620</xdr:rowOff>
        </xdr:from>
        <xdr:to>
          <xdr:col>10</xdr:col>
          <xdr:colOff>1295400</xdr:colOff>
          <xdr:row>30</xdr:row>
          <xdr:rowOff>236220</xdr:rowOff>
        </xdr:to>
        <xdr:sp macro="" textlink="">
          <xdr:nvSpPr>
            <xdr:cNvPr id="199195" name="Spinner 539" hidden="1">
              <a:extLst>
                <a:ext uri="{63B3BB69-23CF-44E3-9099-C40C66FF867C}">
                  <a14:compatExt spid="_x0000_s199195"/>
                </a:ext>
                <a:ext uri="{FF2B5EF4-FFF2-40B4-BE49-F238E27FC236}">
                  <a16:creationId xmlns:a16="http://schemas.microsoft.com/office/drawing/2014/main" id="{00000000-0008-0000-0100-00001B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30</xdr:row>
          <xdr:rowOff>7620</xdr:rowOff>
        </xdr:from>
        <xdr:to>
          <xdr:col>10</xdr:col>
          <xdr:colOff>1295400</xdr:colOff>
          <xdr:row>30</xdr:row>
          <xdr:rowOff>236220</xdr:rowOff>
        </xdr:to>
        <xdr:sp macro="" textlink="">
          <xdr:nvSpPr>
            <xdr:cNvPr id="199196" name="Spinner 540" hidden="1">
              <a:extLst>
                <a:ext uri="{63B3BB69-23CF-44E3-9099-C40C66FF867C}">
                  <a14:compatExt spid="_x0000_s199196"/>
                </a:ext>
                <a:ext uri="{FF2B5EF4-FFF2-40B4-BE49-F238E27FC236}">
                  <a16:creationId xmlns:a16="http://schemas.microsoft.com/office/drawing/2014/main" id="{00000000-0008-0000-0100-00001C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30</xdr:row>
          <xdr:rowOff>22860</xdr:rowOff>
        </xdr:from>
        <xdr:to>
          <xdr:col>11</xdr:col>
          <xdr:colOff>784860</xdr:colOff>
          <xdr:row>30</xdr:row>
          <xdr:rowOff>251460</xdr:rowOff>
        </xdr:to>
        <xdr:sp macro="" textlink="">
          <xdr:nvSpPr>
            <xdr:cNvPr id="199197" name="Spinner 541" hidden="1">
              <a:extLst>
                <a:ext uri="{63B3BB69-23CF-44E3-9099-C40C66FF867C}">
                  <a14:compatExt spid="_x0000_s199197"/>
                </a:ext>
                <a:ext uri="{FF2B5EF4-FFF2-40B4-BE49-F238E27FC236}">
                  <a16:creationId xmlns:a16="http://schemas.microsoft.com/office/drawing/2014/main" id="{00000000-0008-0000-0100-00001D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30</xdr:row>
          <xdr:rowOff>22860</xdr:rowOff>
        </xdr:from>
        <xdr:to>
          <xdr:col>11</xdr:col>
          <xdr:colOff>784860</xdr:colOff>
          <xdr:row>30</xdr:row>
          <xdr:rowOff>251460</xdr:rowOff>
        </xdr:to>
        <xdr:sp macro="" textlink="">
          <xdr:nvSpPr>
            <xdr:cNvPr id="199198" name="Spinner 542" hidden="1">
              <a:extLst>
                <a:ext uri="{63B3BB69-23CF-44E3-9099-C40C66FF867C}">
                  <a14:compatExt spid="_x0000_s199198"/>
                </a:ext>
                <a:ext uri="{FF2B5EF4-FFF2-40B4-BE49-F238E27FC236}">
                  <a16:creationId xmlns:a16="http://schemas.microsoft.com/office/drawing/2014/main" id="{00000000-0008-0000-0100-00001E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30</xdr:row>
          <xdr:rowOff>22860</xdr:rowOff>
        </xdr:from>
        <xdr:to>
          <xdr:col>11</xdr:col>
          <xdr:colOff>784860</xdr:colOff>
          <xdr:row>30</xdr:row>
          <xdr:rowOff>251460</xdr:rowOff>
        </xdr:to>
        <xdr:sp macro="" textlink="">
          <xdr:nvSpPr>
            <xdr:cNvPr id="199199" name="Spinner 543" hidden="1">
              <a:extLst>
                <a:ext uri="{63B3BB69-23CF-44E3-9099-C40C66FF867C}">
                  <a14:compatExt spid="_x0000_s199199"/>
                </a:ext>
                <a:ext uri="{FF2B5EF4-FFF2-40B4-BE49-F238E27FC236}">
                  <a16:creationId xmlns:a16="http://schemas.microsoft.com/office/drawing/2014/main" id="{00000000-0008-0000-0100-00001F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30</xdr:row>
          <xdr:rowOff>22860</xdr:rowOff>
        </xdr:from>
        <xdr:to>
          <xdr:col>11</xdr:col>
          <xdr:colOff>784860</xdr:colOff>
          <xdr:row>30</xdr:row>
          <xdr:rowOff>251460</xdr:rowOff>
        </xdr:to>
        <xdr:sp macro="" textlink="">
          <xdr:nvSpPr>
            <xdr:cNvPr id="199200" name="Spinner 544" hidden="1">
              <a:extLst>
                <a:ext uri="{63B3BB69-23CF-44E3-9099-C40C66FF867C}">
                  <a14:compatExt spid="_x0000_s199200"/>
                </a:ext>
                <a:ext uri="{FF2B5EF4-FFF2-40B4-BE49-F238E27FC236}">
                  <a16:creationId xmlns:a16="http://schemas.microsoft.com/office/drawing/2014/main" id="{00000000-0008-0000-0100-000020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30</xdr:row>
          <xdr:rowOff>22860</xdr:rowOff>
        </xdr:from>
        <xdr:to>
          <xdr:col>11</xdr:col>
          <xdr:colOff>784860</xdr:colOff>
          <xdr:row>30</xdr:row>
          <xdr:rowOff>251460</xdr:rowOff>
        </xdr:to>
        <xdr:sp macro="" textlink="">
          <xdr:nvSpPr>
            <xdr:cNvPr id="199201" name="Spinner 545" hidden="1">
              <a:extLst>
                <a:ext uri="{63B3BB69-23CF-44E3-9099-C40C66FF867C}">
                  <a14:compatExt spid="_x0000_s199201"/>
                </a:ext>
                <a:ext uri="{FF2B5EF4-FFF2-40B4-BE49-F238E27FC236}">
                  <a16:creationId xmlns:a16="http://schemas.microsoft.com/office/drawing/2014/main" id="{00000000-0008-0000-0100-000021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30</xdr:row>
          <xdr:rowOff>22860</xdr:rowOff>
        </xdr:from>
        <xdr:to>
          <xdr:col>11</xdr:col>
          <xdr:colOff>784860</xdr:colOff>
          <xdr:row>30</xdr:row>
          <xdr:rowOff>251460</xdr:rowOff>
        </xdr:to>
        <xdr:sp macro="" textlink="">
          <xdr:nvSpPr>
            <xdr:cNvPr id="199202" name="Spinner 546" hidden="1">
              <a:extLst>
                <a:ext uri="{63B3BB69-23CF-44E3-9099-C40C66FF867C}">
                  <a14:compatExt spid="_x0000_s199202"/>
                </a:ext>
                <a:ext uri="{FF2B5EF4-FFF2-40B4-BE49-F238E27FC236}">
                  <a16:creationId xmlns:a16="http://schemas.microsoft.com/office/drawing/2014/main" id="{00000000-0008-0000-0100-000022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30</xdr:row>
          <xdr:rowOff>22860</xdr:rowOff>
        </xdr:from>
        <xdr:to>
          <xdr:col>11</xdr:col>
          <xdr:colOff>784860</xdr:colOff>
          <xdr:row>30</xdr:row>
          <xdr:rowOff>251460</xdr:rowOff>
        </xdr:to>
        <xdr:sp macro="" textlink="">
          <xdr:nvSpPr>
            <xdr:cNvPr id="199203" name="Spinner 547" hidden="1">
              <a:extLst>
                <a:ext uri="{63B3BB69-23CF-44E3-9099-C40C66FF867C}">
                  <a14:compatExt spid="_x0000_s199203"/>
                </a:ext>
                <a:ext uri="{FF2B5EF4-FFF2-40B4-BE49-F238E27FC236}">
                  <a16:creationId xmlns:a16="http://schemas.microsoft.com/office/drawing/2014/main" id="{00000000-0008-0000-0100-000023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30</xdr:row>
          <xdr:rowOff>22860</xdr:rowOff>
        </xdr:from>
        <xdr:to>
          <xdr:col>11</xdr:col>
          <xdr:colOff>784860</xdr:colOff>
          <xdr:row>30</xdr:row>
          <xdr:rowOff>251460</xdr:rowOff>
        </xdr:to>
        <xdr:sp macro="" textlink="">
          <xdr:nvSpPr>
            <xdr:cNvPr id="199204" name="Spinner 548" hidden="1">
              <a:extLst>
                <a:ext uri="{63B3BB69-23CF-44E3-9099-C40C66FF867C}">
                  <a14:compatExt spid="_x0000_s199204"/>
                </a:ext>
                <a:ext uri="{FF2B5EF4-FFF2-40B4-BE49-F238E27FC236}">
                  <a16:creationId xmlns:a16="http://schemas.microsoft.com/office/drawing/2014/main" id="{00000000-0008-0000-0100-000024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31</xdr:row>
          <xdr:rowOff>22860</xdr:rowOff>
        </xdr:from>
        <xdr:to>
          <xdr:col>11</xdr:col>
          <xdr:colOff>784860</xdr:colOff>
          <xdr:row>31</xdr:row>
          <xdr:rowOff>251460</xdr:rowOff>
        </xdr:to>
        <xdr:sp macro="" textlink="">
          <xdr:nvSpPr>
            <xdr:cNvPr id="199205" name="Spinner 549" hidden="1">
              <a:extLst>
                <a:ext uri="{63B3BB69-23CF-44E3-9099-C40C66FF867C}">
                  <a14:compatExt spid="_x0000_s199205"/>
                </a:ext>
                <a:ext uri="{FF2B5EF4-FFF2-40B4-BE49-F238E27FC236}">
                  <a16:creationId xmlns:a16="http://schemas.microsoft.com/office/drawing/2014/main" id="{00000000-0008-0000-0100-000025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31</xdr:row>
          <xdr:rowOff>22860</xdr:rowOff>
        </xdr:from>
        <xdr:to>
          <xdr:col>11</xdr:col>
          <xdr:colOff>784860</xdr:colOff>
          <xdr:row>31</xdr:row>
          <xdr:rowOff>251460</xdr:rowOff>
        </xdr:to>
        <xdr:sp macro="" textlink="">
          <xdr:nvSpPr>
            <xdr:cNvPr id="199206" name="Spinner 550" hidden="1">
              <a:extLst>
                <a:ext uri="{63B3BB69-23CF-44E3-9099-C40C66FF867C}">
                  <a14:compatExt spid="_x0000_s199206"/>
                </a:ext>
                <a:ext uri="{FF2B5EF4-FFF2-40B4-BE49-F238E27FC236}">
                  <a16:creationId xmlns:a16="http://schemas.microsoft.com/office/drawing/2014/main" id="{00000000-0008-0000-0100-000026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31</xdr:row>
          <xdr:rowOff>22860</xdr:rowOff>
        </xdr:from>
        <xdr:to>
          <xdr:col>11</xdr:col>
          <xdr:colOff>784860</xdr:colOff>
          <xdr:row>31</xdr:row>
          <xdr:rowOff>251460</xdr:rowOff>
        </xdr:to>
        <xdr:sp macro="" textlink="">
          <xdr:nvSpPr>
            <xdr:cNvPr id="199207" name="Spinner 551" hidden="1">
              <a:extLst>
                <a:ext uri="{63B3BB69-23CF-44E3-9099-C40C66FF867C}">
                  <a14:compatExt spid="_x0000_s199207"/>
                </a:ext>
                <a:ext uri="{FF2B5EF4-FFF2-40B4-BE49-F238E27FC236}">
                  <a16:creationId xmlns:a16="http://schemas.microsoft.com/office/drawing/2014/main" id="{00000000-0008-0000-0100-000027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31</xdr:row>
          <xdr:rowOff>7620</xdr:rowOff>
        </xdr:from>
        <xdr:to>
          <xdr:col>10</xdr:col>
          <xdr:colOff>1295400</xdr:colOff>
          <xdr:row>31</xdr:row>
          <xdr:rowOff>236220</xdr:rowOff>
        </xdr:to>
        <xdr:sp macro="" textlink="">
          <xdr:nvSpPr>
            <xdr:cNvPr id="199208" name="Spinner 552" hidden="1">
              <a:extLst>
                <a:ext uri="{63B3BB69-23CF-44E3-9099-C40C66FF867C}">
                  <a14:compatExt spid="_x0000_s199208"/>
                </a:ext>
                <a:ext uri="{FF2B5EF4-FFF2-40B4-BE49-F238E27FC236}">
                  <a16:creationId xmlns:a16="http://schemas.microsoft.com/office/drawing/2014/main" id="{00000000-0008-0000-0100-000028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31</xdr:row>
          <xdr:rowOff>7620</xdr:rowOff>
        </xdr:from>
        <xdr:to>
          <xdr:col>10</xdr:col>
          <xdr:colOff>1295400</xdr:colOff>
          <xdr:row>31</xdr:row>
          <xdr:rowOff>236220</xdr:rowOff>
        </xdr:to>
        <xdr:sp macro="" textlink="">
          <xdr:nvSpPr>
            <xdr:cNvPr id="199209" name="Spinner 553" hidden="1">
              <a:extLst>
                <a:ext uri="{63B3BB69-23CF-44E3-9099-C40C66FF867C}">
                  <a14:compatExt spid="_x0000_s199209"/>
                </a:ext>
                <a:ext uri="{FF2B5EF4-FFF2-40B4-BE49-F238E27FC236}">
                  <a16:creationId xmlns:a16="http://schemas.microsoft.com/office/drawing/2014/main" id="{00000000-0008-0000-0100-000029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31</xdr:row>
          <xdr:rowOff>7620</xdr:rowOff>
        </xdr:from>
        <xdr:to>
          <xdr:col>10</xdr:col>
          <xdr:colOff>1295400</xdr:colOff>
          <xdr:row>31</xdr:row>
          <xdr:rowOff>236220</xdr:rowOff>
        </xdr:to>
        <xdr:sp macro="" textlink="">
          <xdr:nvSpPr>
            <xdr:cNvPr id="199210" name="Spinner 554" hidden="1">
              <a:extLst>
                <a:ext uri="{63B3BB69-23CF-44E3-9099-C40C66FF867C}">
                  <a14:compatExt spid="_x0000_s199210"/>
                </a:ext>
                <a:ext uri="{FF2B5EF4-FFF2-40B4-BE49-F238E27FC236}">
                  <a16:creationId xmlns:a16="http://schemas.microsoft.com/office/drawing/2014/main" id="{00000000-0008-0000-0100-00002A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31</xdr:row>
          <xdr:rowOff>22860</xdr:rowOff>
        </xdr:from>
        <xdr:to>
          <xdr:col>11</xdr:col>
          <xdr:colOff>784860</xdr:colOff>
          <xdr:row>31</xdr:row>
          <xdr:rowOff>251460</xdr:rowOff>
        </xdr:to>
        <xdr:sp macro="" textlink="">
          <xdr:nvSpPr>
            <xdr:cNvPr id="199211" name="Spinner 555" hidden="1">
              <a:extLst>
                <a:ext uri="{63B3BB69-23CF-44E3-9099-C40C66FF867C}">
                  <a14:compatExt spid="_x0000_s199211"/>
                </a:ext>
                <a:ext uri="{FF2B5EF4-FFF2-40B4-BE49-F238E27FC236}">
                  <a16:creationId xmlns:a16="http://schemas.microsoft.com/office/drawing/2014/main" id="{00000000-0008-0000-0100-00002B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31</xdr:row>
          <xdr:rowOff>7620</xdr:rowOff>
        </xdr:from>
        <xdr:to>
          <xdr:col>10</xdr:col>
          <xdr:colOff>1295400</xdr:colOff>
          <xdr:row>31</xdr:row>
          <xdr:rowOff>236220</xdr:rowOff>
        </xdr:to>
        <xdr:sp macro="" textlink="">
          <xdr:nvSpPr>
            <xdr:cNvPr id="199212" name="Spinner 556" hidden="1">
              <a:extLst>
                <a:ext uri="{63B3BB69-23CF-44E3-9099-C40C66FF867C}">
                  <a14:compatExt spid="_x0000_s199212"/>
                </a:ext>
                <a:ext uri="{FF2B5EF4-FFF2-40B4-BE49-F238E27FC236}">
                  <a16:creationId xmlns:a16="http://schemas.microsoft.com/office/drawing/2014/main" id="{00000000-0008-0000-0100-00002C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31</xdr:row>
          <xdr:rowOff>7620</xdr:rowOff>
        </xdr:from>
        <xdr:to>
          <xdr:col>10</xdr:col>
          <xdr:colOff>1295400</xdr:colOff>
          <xdr:row>31</xdr:row>
          <xdr:rowOff>236220</xdr:rowOff>
        </xdr:to>
        <xdr:sp macro="" textlink="">
          <xdr:nvSpPr>
            <xdr:cNvPr id="199213" name="Spinner 557" hidden="1">
              <a:extLst>
                <a:ext uri="{63B3BB69-23CF-44E3-9099-C40C66FF867C}">
                  <a14:compatExt spid="_x0000_s199213"/>
                </a:ext>
                <a:ext uri="{FF2B5EF4-FFF2-40B4-BE49-F238E27FC236}">
                  <a16:creationId xmlns:a16="http://schemas.microsoft.com/office/drawing/2014/main" id="{00000000-0008-0000-0100-00002D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31</xdr:row>
          <xdr:rowOff>22860</xdr:rowOff>
        </xdr:from>
        <xdr:to>
          <xdr:col>11</xdr:col>
          <xdr:colOff>784860</xdr:colOff>
          <xdr:row>31</xdr:row>
          <xdr:rowOff>251460</xdr:rowOff>
        </xdr:to>
        <xdr:sp macro="" textlink="">
          <xdr:nvSpPr>
            <xdr:cNvPr id="199214" name="Spinner 558" hidden="1">
              <a:extLst>
                <a:ext uri="{63B3BB69-23CF-44E3-9099-C40C66FF867C}">
                  <a14:compatExt spid="_x0000_s199214"/>
                </a:ext>
                <a:ext uri="{FF2B5EF4-FFF2-40B4-BE49-F238E27FC236}">
                  <a16:creationId xmlns:a16="http://schemas.microsoft.com/office/drawing/2014/main" id="{00000000-0008-0000-0100-00002E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31</xdr:row>
          <xdr:rowOff>22860</xdr:rowOff>
        </xdr:from>
        <xdr:to>
          <xdr:col>11</xdr:col>
          <xdr:colOff>784860</xdr:colOff>
          <xdr:row>31</xdr:row>
          <xdr:rowOff>251460</xdr:rowOff>
        </xdr:to>
        <xdr:sp macro="" textlink="">
          <xdr:nvSpPr>
            <xdr:cNvPr id="199215" name="Spinner 559" hidden="1">
              <a:extLst>
                <a:ext uri="{63B3BB69-23CF-44E3-9099-C40C66FF867C}">
                  <a14:compatExt spid="_x0000_s199215"/>
                </a:ext>
                <a:ext uri="{FF2B5EF4-FFF2-40B4-BE49-F238E27FC236}">
                  <a16:creationId xmlns:a16="http://schemas.microsoft.com/office/drawing/2014/main" id="{00000000-0008-0000-0100-00002F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31</xdr:row>
          <xdr:rowOff>22860</xdr:rowOff>
        </xdr:from>
        <xdr:to>
          <xdr:col>11</xdr:col>
          <xdr:colOff>784860</xdr:colOff>
          <xdr:row>31</xdr:row>
          <xdr:rowOff>251460</xdr:rowOff>
        </xdr:to>
        <xdr:sp macro="" textlink="">
          <xdr:nvSpPr>
            <xdr:cNvPr id="199216" name="Spinner 560" hidden="1">
              <a:extLst>
                <a:ext uri="{63B3BB69-23CF-44E3-9099-C40C66FF867C}">
                  <a14:compatExt spid="_x0000_s199216"/>
                </a:ext>
                <a:ext uri="{FF2B5EF4-FFF2-40B4-BE49-F238E27FC236}">
                  <a16:creationId xmlns:a16="http://schemas.microsoft.com/office/drawing/2014/main" id="{00000000-0008-0000-0100-000030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31</xdr:row>
          <xdr:rowOff>22860</xdr:rowOff>
        </xdr:from>
        <xdr:to>
          <xdr:col>11</xdr:col>
          <xdr:colOff>784860</xdr:colOff>
          <xdr:row>31</xdr:row>
          <xdr:rowOff>251460</xdr:rowOff>
        </xdr:to>
        <xdr:sp macro="" textlink="">
          <xdr:nvSpPr>
            <xdr:cNvPr id="199217" name="Spinner 561" hidden="1">
              <a:extLst>
                <a:ext uri="{63B3BB69-23CF-44E3-9099-C40C66FF867C}">
                  <a14:compatExt spid="_x0000_s199217"/>
                </a:ext>
                <a:ext uri="{FF2B5EF4-FFF2-40B4-BE49-F238E27FC236}">
                  <a16:creationId xmlns:a16="http://schemas.microsoft.com/office/drawing/2014/main" id="{00000000-0008-0000-0100-000031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31</xdr:row>
          <xdr:rowOff>22860</xdr:rowOff>
        </xdr:from>
        <xdr:to>
          <xdr:col>11</xdr:col>
          <xdr:colOff>784860</xdr:colOff>
          <xdr:row>31</xdr:row>
          <xdr:rowOff>251460</xdr:rowOff>
        </xdr:to>
        <xdr:sp macro="" textlink="">
          <xdr:nvSpPr>
            <xdr:cNvPr id="199218" name="Spinner 562" hidden="1">
              <a:extLst>
                <a:ext uri="{63B3BB69-23CF-44E3-9099-C40C66FF867C}">
                  <a14:compatExt spid="_x0000_s199218"/>
                </a:ext>
                <a:ext uri="{FF2B5EF4-FFF2-40B4-BE49-F238E27FC236}">
                  <a16:creationId xmlns:a16="http://schemas.microsoft.com/office/drawing/2014/main" id="{00000000-0008-0000-0100-000032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31</xdr:row>
          <xdr:rowOff>22860</xdr:rowOff>
        </xdr:from>
        <xdr:to>
          <xdr:col>11</xdr:col>
          <xdr:colOff>784860</xdr:colOff>
          <xdr:row>31</xdr:row>
          <xdr:rowOff>251460</xdr:rowOff>
        </xdr:to>
        <xdr:sp macro="" textlink="">
          <xdr:nvSpPr>
            <xdr:cNvPr id="199219" name="Spinner 563" hidden="1">
              <a:extLst>
                <a:ext uri="{63B3BB69-23CF-44E3-9099-C40C66FF867C}">
                  <a14:compatExt spid="_x0000_s199219"/>
                </a:ext>
                <a:ext uri="{FF2B5EF4-FFF2-40B4-BE49-F238E27FC236}">
                  <a16:creationId xmlns:a16="http://schemas.microsoft.com/office/drawing/2014/main" id="{00000000-0008-0000-0100-000033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31</xdr:row>
          <xdr:rowOff>22860</xdr:rowOff>
        </xdr:from>
        <xdr:to>
          <xdr:col>11</xdr:col>
          <xdr:colOff>784860</xdr:colOff>
          <xdr:row>31</xdr:row>
          <xdr:rowOff>251460</xdr:rowOff>
        </xdr:to>
        <xdr:sp macro="" textlink="">
          <xdr:nvSpPr>
            <xdr:cNvPr id="199220" name="Spinner 564" hidden="1">
              <a:extLst>
                <a:ext uri="{63B3BB69-23CF-44E3-9099-C40C66FF867C}">
                  <a14:compatExt spid="_x0000_s199220"/>
                </a:ext>
                <a:ext uri="{FF2B5EF4-FFF2-40B4-BE49-F238E27FC236}">
                  <a16:creationId xmlns:a16="http://schemas.microsoft.com/office/drawing/2014/main" id="{00000000-0008-0000-0100-000034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31</xdr:row>
          <xdr:rowOff>22860</xdr:rowOff>
        </xdr:from>
        <xdr:to>
          <xdr:col>11</xdr:col>
          <xdr:colOff>784860</xdr:colOff>
          <xdr:row>31</xdr:row>
          <xdr:rowOff>251460</xdr:rowOff>
        </xdr:to>
        <xdr:sp macro="" textlink="">
          <xdr:nvSpPr>
            <xdr:cNvPr id="199221" name="Spinner 565" hidden="1">
              <a:extLst>
                <a:ext uri="{63B3BB69-23CF-44E3-9099-C40C66FF867C}">
                  <a14:compatExt spid="_x0000_s199221"/>
                </a:ext>
                <a:ext uri="{FF2B5EF4-FFF2-40B4-BE49-F238E27FC236}">
                  <a16:creationId xmlns:a16="http://schemas.microsoft.com/office/drawing/2014/main" id="{00000000-0008-0000-0100-000035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32</xdr:row>
          <xdr:rowOff>22860</xdr:rowOff>
        </xdr:from>
        <xdr:to>
          <xdr:col>11</xdr:col>
          <xdr:colOff>784860</xdr:colOff>
          <xdr:row>32</xdr:row>
          <xdr:rowOff>251460</xdr:rowOff>
        </xdr:to>
        <xdr:sp macro="" textlink="">
          <xdr:nvSpPr>
            <xdr:cNvPr id="199222" name="Spinner 566" hidden="1">
              <a:extLst>
                <a:ext uri="{63B3BB69-23CF-44E3-9099-C40C66FF867C}">
                  <a14:compatExt spid="_x0000_s199222"/>
                </a:ext>
                <a:ext uri="{FF2B5EF4-FFF2-40B4-BE49-F238E27FC236}">
                  <a16:creationId xmlns:a16="http://schemas.microsoft.com/office/drawing/2014/main" id="{00000000-0008-0000-0100-000036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32</xdr:row>
          <xdr:rowOff>22860</xdr:rowOff>
        </xdr:from>
        <xdr:to>
          <xdr:col>11</xdr:col>
          <xdr:colOff>784860</xdr:colOff>
          <xdr:row>32</xdr:row>
          <xdr:rowOff>251460</xdr:rowOff>
        </xdr:to>
        <xdr:sp macro="" textlink="">
          <xdr:nvSpPr>
            <xdr:cNvPr id="199223" name="Spinner 567" hidden="1">
              <a:extLst>
                <a:ext uri="{63B3BB69-23CF-44E3-9099-C40C66FF867C}">
                  <a14:compatExt spid="_x0000_s199223"/>
                </a:ext>
                <a:ext uri="{FF2B5EF4-FFF2-40B4-BE49-F238E27FC236}">
                  <a16:creationId xmlns:a16="http://schemas.microsoft.com/office/drawing/2014/main" id="{00000000-0008-0000-0100-000037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32</xdr:row>
          <xdr:rowOff>22860</xdr:rowOff>
        </xdr:from>
        <xdr:to>
          <xdr:col>11</xdr:col>
          <xdr:colOff>784860</xdr:colOff>
          <xdr:row>32</xdr:row>
          <xdr:rowOff>251460</xdr:rowOff>
        </xdr:to>
        <xdr:sp macro="" textlink="">
          <xdr:nvSpPr>
            <xdr:cNvPr id="199224" name="Spinner 568" hidden="1">
              <a:extLst>
                <a:ext uri="{63B3BB69-23CF-44E3-9099-C40C66FF867C}">
                  <a14:compatExt spid="_x0000_s199224"/>
                </a:ext>
                <a:ext uri="{FF2B5EF4-FFF2-40B4-BE49-F238E27FC236}">
                  <a16:creationId xmlns:a16="http://schemas.microsoft.com/office/drawing/2014/main" id="{00000000-0008-0000-0100-000038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32</xdr:row>
          <xdr:rowOff>7620</xdr:rowOff>
        </xdr:from>
        <xdr:to>
          <xdr:col>10</xdr:col>
          <xdr:colOff>1295400</xdr:colOff>
          <xdr:row>32</xdr:row>
          <xdr:rowOff>236220</xdr:rowOff>
        </xdr:to>
        <xdr:sp macro="" textlink="">
          <xdr:nvSpPr>
            <xdr:cNvPr id="199225" name="Spinner 569" hidden="1">
              <a:extLst>
                <a:ext uri="{63B3BB69-23CF-44E3-9099-C40C66FF867C}">
                  <a14:compatExt spid="_x0000_s199225"/>
                </a:ext>
                <a:ext uri="{FF2B5EF4-FFF2-40B4-BE49-F238E27FC236}">
                  <a16:creationId xmlns:a16="http://schemas.microsoft.com/office/drawing/2014/main" id="{00000000-0008-0000-0100-000039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32</xdr:row>
          <xdr:rowOff>7620</xdr:rowOff>
        </xdr:from>
        <xdr:to>
          <xdr:col>10</xdr:col>
          <xdr:colOff>1295400</xdr:colOff>
          <xdr:row>32</xdr:row>
          <xdr:rowOff>236220</xdr:rowOff>
        </xdr:to>
        <xdr:sp macro="" textlink="">
          <xdr:nvSpPr>
            <xdr:cNvPr id="199226" name="Spinner 570" hidden="1">
              <a:extLst>
                <a:ext uri="{63B3BB69-23CF-44E3-9099-C40C66FF867C}">
                  <a14:compatExt spid="_x0000_s199226"/>
                </a:ext>
                <a:ext uri="{FF2B5EF4-FFF2-40B4-BE49-F238E27FC236}">
                  <a16:creationId xmlns:a16="http://schemas.microsoft.com/office/drawing/2014/main" id="{00000000-0008-0000-0100-00003A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32</xdr:row>
          <xdr:rowOff>7620</xdr:rowOff>
        </xdr:from>
        <xdr:to>
          <xdr:col>10</xdr:col>
          <xdr:colOff>1295400</xdr:colOff>
          <xdr:row>32</xdr:row>
          <xdr:rowOff>236220</xdr:rowOff>
        </xdr:to>
        <xdr:sp macro="" textlink="">
          <xdr:nvSpPr>
            <xdr:cNvPr id="199227" name="Spinner 571" hidden="1">
              <a:extLst>
                <a:ext uri="{63B3BB69-23CF-44E3-9099-C40C66FF867C}">
                  <a14:compatExt spid="_x0000_s199227"/>
                </a:ext>
                <a:ext uri="{FF2B5EF4-FFF2-40B4-BE49-F238E27FC236}">
                  <a16:creationId xmlns:a16="http://schemas.microsoft.com/office/drawing/2014/main" id="{00000000-0008-0000-0100-00003B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32</xdr:row>
          <xdr:rowOff>22860</xdr:rowOff>
        </xdr:from>
        <xdr:to>
          <xdr:col>11</xdr:col>
          <xdr:colOff>784860</xdr:colOff>
          <xdr:row>32</xdr:row>
          <xdr:rowOff>251460</xdr:rowOff>
        </xdr:to>
        <xdr:sp macro="" textlink="">
          <xdr:nvSpPr>
            <xdr:cNvPr id="199228" name="Spinner 572" hidden="1">
              <a:extLst>
                <a:ext uri="{63B3BB69-23CF-44E3-9099-C40C66FF867C}">
                  <a14:compatExt spid="_x0000_s199228"/>
                </a:ext>
                <a:ext uri="{FF2B5EF4-FFF2-40B4-BE49-F238E27FC236}">
                  <a16:creationId xmlns:a16="http://schemas.microsoft.com/office/drawing/2014/main" id="{00000000-0008-0000-0100-00003C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32</xdr:row>
          <xdr:rowOff>7620</xdr:rowOff>
        </xdr:from>
        <xdr:to>
          <xdr:col>10</xdr:col>
          <xdr:colOff>1295400</xdr:colOff>
          <xdr:row>32</xdr:row>
          <xdr:rowOff>236220</xdr:rowOff>
        </xdr:to>
        <xdr:sp macro="" textlink="">
          <xdr:nvSpPr>
            <xdr:cNvPr id="199229" name="Spinner 573" hidden="1">
              <a:extLst>
                <a:ext uri="{63B3BB69-23CF-44E3-9099-C40C66FF867C}">
                  <a14:compatExt spid="_x0000_s199229"/>
                </a:ext>
                <a:ext uri="{FF2B5EF4-FFF2-40B4-BE49-F238E27FC236}">
                  <a16:creationId xmlns:a16="http://schemas.microsoft.com/office/drawing/2014/main" id="{00000000-0008-0000-0100-00003D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32</xdr:row>
          <xdr:rowOff>7620</xdr:rowOff>
        </xdr:from>
        <xdr:to>
          <xdr:col>10</xdr:col>
          <xdr:colOff>1295400</xdr:colOff>
          <xdr:row>32</xdr:row>
          <xdr:rowOff>236220</xdr:rowOff>
        </xdr:to>
        <xdr:sp macro="" textlink="">
          <xdr:nvSpPr>
            <xdr:cNvPr id="199230" name="Spinner 574" hidden="1">
              <a:extLst>
                <a:ext uri="{63B3BB69-23CF-44E3-9099-C40C66FF867C}">
                  <a14:compatExt spid="_x0000_s199230"/>
                </a:ext>
                <a:ext uri="{FF2B5EF4-FFF2-40B4-BE49-F238E27FC236}">
                  <a16:creationId xmlns:a16="http://schemas.microsoft.com/office/drawing/2014/main" id="{00000000-0008-0000-0100-00003E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32</xdr:row>
          <xdr:rowOff>22860</xdr:rowOff>
        </xdr:from>
        <xdr:to>
          <xdr:col>11</xdr:col>
          <xdr:colOff>784860</xdr:colOff>
          <xdr:row>32</xdr:row>
          <xdr:rowOff>251460</xdr:rowOff>
        </xdr:to>
        <xdr:sp macro="" textlink="">
          <xdr:nvSpPr>
            <xdr:cNvPr id="199231" name="Spinner 575" hidden="1">
              <a:extLst>
                <a:ext uri="{63B3BB69-23CF-44E3-9099-C40C66FF867C}">
                  <a14:compatExt spid="_x0000_s199231"/>
                </a:ext>
                <a:ext uri="{FF2B5EF4-FFF2-40B4-BE49-F238E27FC236}">
                  <a16:creationId xmlns:a16="http://schemas.microsoft.com/office/drawing/2014/main" id="{00000000-0008-0000-0100-00003F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32</xdr:row>
          <xdr:rowOff>22860</xdr:rowOff>
        </xdr:from>
        <xdr:to>
          <xdr:col>11</xdr:col>
          <xdr:colOff>784860</xdr:colOff>
          <xdr:row>32</xdr:row>
          <xdr:rowOff>251460</xdr:rowOff>
        </xdr:to>
        <xdr:sp macro="" textlink="">
          <xdr:nvSpPr>
            <xdr:cNvPr id="199232" name="Spinner 576" hidden="1">
              <a:extLst>
                <a:ext uri="{63B3BB69-23CF-44E3-9099-C40C66FF867C}">
                  <a14:compatExt spid="_x0000_s199232"/>
                </a:ext>
                <a:ext uri="{FF2B5EF4-FFF2-40B4-BE49-F238E27FC236}">
                  <a16:creationId xmlns:a16="http://schemas.microsoft.com/office/drawing/2014/main" id="{00000000-0008-0000-0100-000040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32</xdr:row>
          <xdr:rowOff>22860</xdr:rowOff>
        </xdr:from>
        <xdr:to>
          <xdr:col>11</xdr:col>
          <xdr:colOff>784860</xdr:colOff>
          <xdr:row>32</xdr:row>
          <xdr:rowOff>251460</xdr:rowOff>
        </xdr:to>
        <xdr:sp macro="" textlink="">
          <xdr:nvSpPr>
            <xdr:cNvPr id="199233" name="Spinner 577" hidden="1">
              <a:extLst>
                <a:ext uri="{63B3BB69-23CF-44E3-9099-C40C66FF867C}">
                  <a14:compatExt spid="_x0000_s199233"/>
                </a:ext>
                <a:ext uri="{FF2B5EF4-FFF2-40B4-BE49-F238E27FC236}">
                  <a16:creationId xmlns:a16="http://schemas.microsoft.com/office/drawing/2014/main" id="{00000000-0008-0000-0100-000041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32</xdr:row>
          <xdr:rowOff>22860</xdr:rowOff>
        </xdr:from>
        <xdr:to>
          <xdr:col>11</xdr:col>
          <xdr:colOff>784860</xdr:colOff>
          <xdr:row>32</xdr:row>
          <xdr:rowOff>251460</xdr:rowOff>
        </xdr:to>
        <xdr:sp macro="" textlink="">
          <xdr:nvSpPr>
            <xdr:cNvPr id="199234" name="Spinner 578" hidden="1">
              <a:extLst>
                <a:ext uri="{63B3BB69-23CF-44E3-9099-C40C66FF867C}">
                  <a14:compatExt spid="_x0000_s199234"/>
                </a:ext>
                <a:ext uri="{FF2B5EF4-FFF2-40B4-BE49-F238E27FC236}">
                  <a16:creationId xmlns:a16="http://schemas.microsoft.com/office/drawing/2014/main" id="{00000000-0008-0000-0100-000042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32</xdr:row>
          <xdr:rowOff>22860</xdr:rowOff>
        </xdr:from>
        <xdr:to>
          <xdr:col>11</xdr:col>
          <xdr:colOff>784860</xdr:colOff>
          <xdr:row>32</xdr:row>
          <xdr:rowOff>251460</xdr:rowOff>
        </xdr:to>
        <xdr:sp macro="" textlink="">
          <xdr:nvSpPr>
            <xdr:cNvPr id="199235" name="Spinner 579" hidden="1">
              <a:extLst>
                <a:ext uri="{63B3BB69-23CF-44E3-9099-C40C66FF867C}">
                  <a14:compatExt spid="_x0000_s199235"/>
                </a:ext>
                <a:ext uri="{FF2B5EF4-FFF2-40B4-BE49-F238E27FC236}">
                  <a16:creationId xmlns:a16="http://schemas.microsoft.com/office/drawing/2014/main" id="{00000000-0008-0000-0100-000043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32</xdr:row>
          <xdr:rowOff>22860</xdr:rowOff>
        </xdr:from>
        <xdr:to>
          <xdr:col>11</xdr:col>
          <xdr:colOff>784860</xdr:colOff>
          <xdr:row>32</xdr:row>
          <xdr:rowOff>251460</xdr:rowOff>
        </xdr:to>
        <xdr:sp macro="" textlink="">
          <xdr:nvSpPr>
            <xdr:cNvPr id="199236" name="Spinner 580" hidden="1">
              <a:extLst>
                <a:ext uri="{63B3BB69-23CF-44E3-9099-C40C66FF867C}">
                  <a14:compatExt spid="_x0000_s199236"/>
                </a:ext>
                <a:ext uri="{FF2B5EF4-FFF2-40B4-BE49-F238E27FC236}">
                  <a16:creationId xmlns:a16="http://schemas.microsoft.com/office/drawing/2014/main" id="{00000000-0008-0000-0100-000044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32</xdr:row>
          <xdr:rowOff>22860</xdr:rowOff>
        </xdr:from>
        <xdr:to>
          <xdr:col>11</xdr:col>
          <xdr:colOff>784860</xdr:colOff>
          <xdr:row>32</xdr:row>
          <xdr:rowOff>251460</xdr:rowOff>
        </xdr:to>
        <xdr:sp macro="" textlink="">
          <xdr:nvSpPr>
            <xdr:cNvPr id="199237" name="Spinner 581" hidden="1">
              <a:extLst>
                <a:ext uri="{63B3BB69-23CF-44E3-9099-C40C66FF867C}">
                  <a14:compatExt spid="_x0000_s199237"/>
                </a:ext>
                <a:ext uri="{FF2B5EF4-FFF2-40B4-BE49-F238E27FC236}">
                  <a16:creationId xmlns:a16="http://schemas.microsoft.com/office/drawing/2014/main" id="{00000000-0008-0000-0100-000045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32</xdr:row>
          <xdr:rowOff>22860</xdr:rowOff>
        </xdr:from>
        <xdr:to>
          <xdr:col>11</xdr:col>
          <xdr:colOff>784860</xdr:colOff>
          <xdr:row>32</xdr:row>
          <xdr:rowOff>251460</xdr:rowOff>
        </xdr:to>
        <xdr:sp macro="" textlink="">
          <xdr:nvSpPr>
            <xdr:cNvPr id="199238" name="Spinner 582" hidden="1">
              <a:extLst>
                <a:ext uri="{63B3BB69-23CF-44E3-9099-C40C66FF867C}">
                  <a14:compatExt spid="_x0000_s199238"/>
                </a:ext>
                <a:ext uri="{FF2B5EF4-FFF2-40B4-BE49-F238E27FC236}">
                  <a16:creationId xmlns:a16="http://schemas.microsoft.com/office/drawing/2014/main" id="{00000000-0008-0000-0100-000046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33</xdr:row>
          <xdr:rowOff>22860</xdr:rowOff>
        </xdr:from>
        <xdr:to>
          <xdr:col>11</xdr:col>
          <xdr:colOff>784860</xdr:colOff>
          <xdr:row>33</xdr:row>
          <xdr:rowOff>251460</xdr:rowOff>
        </xdr:to>
        <xdr:sp macro="" textlink="">
          <xdr:nvSpPr>
            <xdr:cNvPr id="199239" name="Spinner 583" hidden="1">
              <a:extLst>
                <a:ext uri="{63B3BB69-23CF-44E3-9099-C40C66FF867C}">
                  <a14:compatExt spid="_x0000_s199239"/>
                </a:ext>
                <a:ext uri="{FF2B5EF4-FFF2-40B4-BE49-F238E27FC236}">
                  <a16:creationId xmlns:a16="http://schemas.microsoft.com/office/drawing/2014/main" id="{00000000-0008-0000-0100-000047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33</xdr:row>
          <xdr:rowOff>22860</xdr:rowOff>
        </xdr:from>
        <xdr:to>
          <xdr:col>11</xdr:col>
          <xdr:colOff>784860</xdr:colOff>
          <xdr:row>33</xdr:row>
          <xdr:rowOff>251460</xdr:rowOff>
        </xdr:to>
        <xdr:sp macro="" textlink="">
          <xdr:nvSpPr>
            <xdr:cNvPr id="199240" name="Spinner 584" hidden="1">
              <a:extLst>
                <a:ext uri="{63B3BB69-23CF-44E3-9099-C40C66FF867C}">
                  <a14:compatExt spid="_x0000_s199240"/>
                </a:ext>
                <a:ext uri="{FF2B5EF4-FFF2-40B4-BE49-F238E27FC236}">
                  <a16:creationId xmlns:a16="http://schemas.microsoft.com/office/drawing/2014/main" id="{00000000-0008-0000-0100-000048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33</xdr:row>
          <xdr:rowOff>22860</xdr:rowOff>
        </xdr:from>
        <xdr:to>
          <xdr:col>11</xdr:col>
          <xdr:colOff>784860</xdr:colOff>
          <xdr:row>33</xdr:row>
          <xdr:rowOff>251460</xdr:rowOff>
        </xdr:to>
        <xdr:sp macro="" textlink="">
          <xdr:nvSpPr>
            <xdr:cNvPr id="199241" name="Spinner 585" hidden="1">
              <a:extLst>
                <a:ext uri="{63B3BB69-23CF-44E3-9099-C40C66FF867C}">
                  <a14:compatExt spid="_x0000_s199241"/>
                </a:ext>
                <a:ext uri="{FF2B5EF4-FFF2-40B4-BE49-F238E27FC236}">
                  <a16:creationId xmlns:a16="http://schemas.microsoft.com/office/drawing/2014/main" id="{00000000-0008-0000-0100-000049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33</xdr:row>
          <xdr:rowOff>7620</xdr:rowOff>
        </xdr:from>
        <xdr:to>
          <xdr:col>10</xdr:col>
          <xdr:colOff>1295400</xdr:colOff>
          <xdr:row>33</xdr:row>
          <xdr:rowOff>236220</xdr:rowOff>
        </xdr:to>
        <xdr:sp macro="" textlink="">
          <xdr:nvSpPr>
            <xdr:cNvPr id="199242" name="Spinner 586" hidden="1">
              <a:extLst>
                <a:ext uri="{63B3BB69-23CF-44E3-9099-C40C66FF867C}">
                  <a14:compatExt spid="_x0000_s199242"/>
                </a:ext>
                <a:ext uri="{FF2B5EF4-FFF2-40B4-BE49-F238E27FC236}">
                  <a16:creationId xmlns:a16="http://schemas.microsoft.com/office/drawing/2014/main" id="{00000000-0008-0000-0100-00004A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33</xdr:row>
          <xdr:rowOff>7620</xdr:rowOff>
        </xdr:from>
        <xdr:to>
          <xdr:col>10</xdr:col>
          <xdr:colOff>1295400</xdr:colOff>
          <xdr:row>33</xdr:row>
          <xdr:rowOff>236220</xdr:rowOff>
        </xdr:to>
        <xdr:sp macro="" textlink="">
          <xdr:nvSpPr>
            <xdr:cNvPr id="199243" name="Spinner 587" hidden="1">
              <a:extLst>
                <a:ext uri="{63B3BB69-23CF-44E3-9099-C40C66FF867C}">
                  <a14:compatExt spid="_x0000_s199243"/>
                </a:ext>
                <a:ext uri="{FF2B5EF4-FFF2-40B4-BE49-F238E27FC236}">
                  <a16:creationId xmlns:a16="http://schemas.microsoft.com/office/drawing/2014/main" id="{00000000-0008-0000-0100-00004B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33</xdr:row>
          <xdr:rowOff>7620</xdr:rowOff>
        </xdr:from>
        <xdr:to>
          <xdr:col>10</xdr:col>
          <xdr:colOff>1295400</xdr:colOff>
          <xdr:row>33</xdr:row>
          <xdr:rowOff>236220</xdr:rowOff>
        </xdr:to>
        <xdr:sp macro="" textlink="">
          <xdr:nvSpPr>
            <xdr:cNvPr id="199244" name="Spinner 588" hidden="1">
              <a:extLst>
                <a:ext uri="{63B3BB69-23CF-44E3-9099-C40C66FF867C}">
                  <a14:compatExt spid="_x0000_s199244"/>
                </a:ext>
                <a:ext uri="{FF2B5EF4-FFF2-40B4-BE49-F238E27FC236}">
                  <a16:creationId xmlns:a16="http://schemas.microsoft.com/office/drawing/2014/main" id="{00000000-0008-0000-0100-00004C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33</xdr:row>
          <xdr:rowOff>22860</xdr:rowOff>
        </xdr:from>
        <xdr:to>
          <xdr:col>11</xdr:col>
          <xdr:colOff>784860</xdr:colOff>
          <xdr:row>33</xdr:row>
          <xdr:rowOff>251460</xdr:rowOff>
        </xdr:to>
        <xdr:sp macro="" textlink="">
          <xdr:nvSpPr>
            <xdr:cNvPr id="199245" name="Spinner 589" hidden="1">
              <a:extLst>
                <a:ext uri="{63B3BB69-23CF-44E3-9099-C40C66FF867C}">
                  <a14:compatExt spid="_x0000_s199245"/>
                </a:ext>
                <a:ext uri="{FF2B5EF4-FFF2-40B4-BE49-F238E27FC236}">
                  <a16:creationId xmlns:a16="http://schemas.microsoft.com/office/drawing/2014/main" id="{00000000-0008-0000-0100-00004D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33</xdr:row>
          <xdr:rowOff>7620</xdr:rowOff>
        </xdr:from>
        <xdr:to>
          <xdr:col>10</xdr:col>
          <xdr:colOff>1295400</xdr:colOff>
          <xdr:row>33</xdr:row>
          <xdr:rowOff>236220</xdr:rowOff>
        </xdr:to>
        <xdr:sp macro="" textlink="">
          <xdr:nvSpPr>
            <xdr:cNvPr id="199246" name="Spinner 590" hidden="1">
              <a:extLst>
                <a:ext uri="{63B3BB69-23CF-44E3-9099-C40C66FF867C}">
                  <a14:compatExt spid="_x0000_s199246"/>
                </a:ext>
                <a:ext uri="{FF2B5EF4-FFF2-40B4-BE49-F238E27FC236}">
                  <a16:creationId xmlns:a16="http://schemas.microsoft.com/office/drawing/2014/main" id="{00000000-0008-0000-0100-00004E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33</xdr:row>
          <xdr:rowOff>7620</xdr:rowOff>
        </xdr:from>
        <xdr:to>
          <xdr:col>10</xdr:col>
          <xdr:colOff>1295400</xdr:colOff>
          <xdr:row>33</xdr:row>
          <xdr:rowOff>236220</xdr:rowOff>
        </xdr:to>
        <xdr:sp macro="" textlink="">
          <xdr:nvSpPr>
            <xdr:cNvPr id="199247" name="Spinner 591" hidden="1">
              <a:extLst>
                <a:ext uri="{63B3BB69-23CF-44E3-9099-C40C66FF867C}">
                  <a14:compatExt spid="_x0000_s199247"/>
                </a:ext>
                <a:ext uri="{FF2B5EF4-FFF2-40B4-BE49-F238E27FC236}">
                  <a16:creationId xmlns:a16="http://schemas.microsoft.com/office/drawing/2014/main" id="{00000000-0008-0000-0100-00004F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33</xdr:row>
          <xdr:rowOff>22860</xdr:rowOff>
        </xdr:from>
        <xdr:to>
          <xdr:col>11</xdr:col>
          <xdr:colOff>784860</xdr:colOff>
          <xdr:row>33</xdr:row>
          <xdr:rowOff>251460</xdr:rowOff>
        </xdr:to>
        <xdr:sp macro="" textlink="">
          <xdr:nvSpPr>
            <xdr:cNvPr id="199248" name="Spinner 592" hidden="1">
              <a:extLst>
                <a:ext uri="{63B3BB69-23CF-44E3-9099-C40C66FF867C}">
                  <a14:compatExt spid="_x0000_s199248"/>
                </a:ext>
                <a:ext uri="{FF2B5EF4-FFF2-40B4-BE49-F238E27FC236}">
                  <a16:creationId xmlns:a16="http://schemas.microsoft.com/office/drawing/2014/main" id="{00000000-0008-0000-0100-000050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33</xdr:row>
          <xdr:rowOff>22860</xdr:rowOff>
        </xdr:from>
        <xdr:to>
          <xdr:col>11</xdr:col>
          <xdr:colOff>784860</xdr:colOff>
          <xdr:row>33</xdr:row>
          <xdr:rowOff>251460</xdr:rowOff>
        </xdr:to>
        <xdr:sp macro="" textlink="">
          <xdr:nvSpPr>
            <xdr:cNvPr id="199249" name="Spinner 593" hidden="1">
              <a:extLst>
                <a:ext uri="{63B3BB69-23CF-44E3-9099-C40C66FF867C}">
                  <a14:compatExt spid="_x0000_s199249"/>
                </a:ext>
                <a:ext uri="{FF2B5EF4-FFF2-40B4-BE49-F238E27FC236}">
                  <a16:creationId xmlns:a16="http://schemas.microsoft.com/office/drawing/2014/main" id="{00000000-0008-0000-0100-000051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33</xdr:row>
          <xdr:rowOff>22860</xdr:rowOff>
        </xdr:from>
        <xdr:to>
          <xdr:col>11</xdr:col>
          <xdr:colOff>784860</xdr:colOff>
          <xdr:row>33</xdr:row>
          <xdr:rowOff>251460</xdr:rowOff>
        </xdr:to>
        <xdr:sp macro="" textlink="">
          <xdr:nvSpPr>
            <xdr:cNvPr id="199250" name="Spinner 594" hidden="1">
              <a:extLst>
                <a:ext uri="{63B3BB69-23CF-44E3-9099-C40C66FF867C}">
                  <a14:compatExt spid="_x0000_s199250"/>
                </a:ext>
                <a:ext uri="{FF2B5EF4-FFF2-40B4-BE49-F238E27FC236}">
                  <a16:creationId xmlns:a16="http://schemas.microsoft.com/office/drawing/2014/main" id="{00000000-0008-0000-0100-000052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33</xdr:row>
          <xdr:rowOff>22860</xdr:rowOff>
        </xdr:from>
        <xdr:to>
          <xdr:col>11</xdr:col>
          <xdr:colOff>784860</xdr:colOff>
          <xdr:row>33</xdr:row>
          <xdr:rowOff>251460</xdr:rowOff>
        </xdr:to>
        <xdr:sp macro="" textlink="">
          <xdr:nvSpPr>
            <xdr:cNvPr id="199251" name="Spinner 595" hidden="1">
              <a:extLst>
                <a:ext uri="{63B3BB69-23CF-44E3-9099-C40C66FF867C}">
                  <a14:compatExt spid="_x0000_s199251"/>
                </a:ext>
                <a:ext uri="{FF2B5EF4-FFF2-40B4-BE49-F238E27FC236}">
                  <a16:creationId xmlns:a16="http://schemas.microsoft.com/office/drawing/2014/main" id="{00000000-0008-0000-0100-000053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33</xdr:row>
          <xdr:rowOff>22860</xdr:rowOff>
        </xdr:from>
        <xdr:to>
          <xdr:col>11</xdr:col>
          <xdr:colOff>784860</xdr:colOff>
          <xdr:row>33</xdr:row>
          <xdr:rowOff>251460</xdr:rowOff>
        </xdr:to>
        <xdr:sp macro="" textlink="">
          <xdr:nvSpPr>
            <xdr:cNvPr id="199252" name="Spinner 596" hidden="1">
              <a:extLst>
                <a:ext uri="{63B3BB69-23CF-44E3-9099-C40C66FF867C}">
                  <a14:compatExt spid="_x0000_s199252"/>
                </a:ext>
                <a:ext uri="{FF2B5EF4-FFF2-40B4-BE49-F238E27FC236}">
                  <a16:creationId xmlns:a16="http://schemas.microsoft.com/office/drawing/2014/main" id="{00000000-0008-0000-0100-000054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33</xdr:row>
          <xdr:rowOff>22860</xdr:rowOff>
        </xdr:from>
        <xdr:to>
          <xdr:col>11</xdr:col>
          <xdr:colOff>784860</xdr:colOff>
          <xdr:row>33</xdr:row>
          <xdr:rowOff>251460</xdr:rowOff>
        </xdr:to>
        <xdr:sp macro="" textlink="">
          <xdr:nvSpPr>
            <xdr:cNvPr id="199253" name="Spinner 597" hidden="1">
              <a:extLst>
                <a:ext uri="{63B3BB69-23CF-44E3-9099-C40C66FF867C}">
                  <a14:compatExt spid="_x0000_s199253"/>
                </a:ext>
                <a:ext uri="{FF2B5EF4-FFF2-40B4-BE49-F238E27FC236}">
                  <a16:creationId xmlns:a16="http://schemas.microsoft.com/office/drawing/2014/main" id="{00000000-0008-0000-0100-000055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33</xdr:row>
          <xdr:rowOff>22860</xdr:rowOff>
        </xdr:from>
        <xdr:to>
          <xdr:col>11</xdr:col>
          <xdr:colOff>784860</xdr:colOff>
          <xdr:row>33</xdr:row>
          <xdr:rowOff>251460</xdr:rowOff>
        </xdr:to>
        <xdr:sp macro="" textlink="">
          <xdr:nvSpPr>
            <xdr:cNvPr id="199254" name="Spinner 598" hidden="1">
              <a:extLst>
                <a:ext uri="{63B3BB69-23CF-44E3-9099-C40C66FF867C}">
                  <a14:compatExt spid="_x0000_s199254"/>
                </a:ext>
                <a:ext uri="{FF2B5EF4-FFF2-40B4-BE49-F238E27FC236}">
                  <a16:creationId xmlns:a16="http://schemas.microsoft.com/office/drawing/2014/main" id="{00000000-0008-0000-0100-000056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33</xdr:row>
          <xdr:rowOff>22860</xdr:rowOff>
        </xdr:from>
        <xdr:to>
          <xdr:col>11</xdr:col>
          <xdr:colOff>784860</xdr:colOff>
          <xdr:row>33</xdr:row>
          <xdr:rowOff>251460</xdr:rowOff>
        </xdr:to>
        <xdr:sp macro="" textlink="">
          <xdr:nvSpPr>
            <xdr:cNvPr id="199255" name="Spinner 599" hidden="1">
              <a:extLst>
                <a:ext uri="{63B3BB69-23CF-44E3-9099-C40C66FF867C}">
                  <a14:compatExt spid="_x0000_s199255"/>
                </a:ext>
                <a:ext uri="{FF2B5EF4-FFF2-40B4-BE49-F238E27FC236}">
                  <a16:creationId xmlns:a16="http://schemas.microsoft.com/office/drawing/2014/main" id="{00000000-0008-0000-0100-000057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34</xdr:row>
          <xdr:rowOff>22860</xdr:rowOff>
        </xdr:from>
        <xdr:to>
          <xdr:col>11</xdr:col>
          <xdr:colOff>784860</xdr:colOff>
          <xdr:row>34</xdr:row>
          <xdr:rowOff>251460</xdr:rowOff>
        </xdr:to>
        <xdr:sp macro="" textlink="">
          <xdr:nvSpPr>
            <xdr:cNvPr id="199256" name="Spinner 600" hidden="1">
              <a:extLst>
                <a:ext uri="{63B3BB69-23CF-44E3-9099-C40C66FF867C}">
                  <a14:compatExt spid="_x0000_s199256"/>
                </a:ext>
                <a:ext uri="{FF2B5EF4-FFF2-40B4-BE49-F238E27FC236}">
                  <a16:creationId xmlns:a16="http://schemas.microsoft.com/office/drawing/2014/main" id="{00000000-0008-0000-0100-000058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34</xdr:row>
          <xdr:rowOff>22860</xdr:rowOff>
        </xdr:from>
        <xdr:to>
          <xdr:col>11</xdr:col>
          <xdr:colOff>784860</xdr:colOff>
          <xdr:row>34</xdr:row>
          <xdr:rowOff>251460</xdr:rowOff>
        </xdr:to>
        <xdr:sp macro="" textlink="">
          <xdr:nvSpPr>
            <xdr:cNvPr id="199257" name="Spinner 601" hidden="1">
              <a:extLst>
                <a:ext uri="{63B3BB69-23CF-44E3-9099-C40C66FF867C}">
                  <a14:compatExt spid="_x0000_s199257"/>
                </a:ext>
                <a:ext uri="{FF2B5EF4-FFF2-40B4-BE49-F238E27FC236}">
                  <a16:creationId xmlns:a16="http://schemas.microsoft.com/office/drawing/2014/main" id="{00000000-0008-0000-0100-000059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34</xdr:row>
          <xdr:rowOff>22860</xdr:rowOff>
        </xdr:from>
        <xdr:to>
          <xdr:col>11</xdr:col>
          <xdr:colOff>784860</xdr:colOff>
          <xdr:row>34</xdr:row>
          <xdr:rowOff>251460</xdr:rowOff>
        </xdr:to>
        <xdr:sp macro="" textlink="">
          <xdr:nvSpPr>
            <xdr:cNvPr id="199258" name="Spinner 602" hidden="1">
              <a:extLst>
                <a:ext uri="{63B3BB69-23CF-44E3-9099-C40C66FF867C}">
                  <a14:compatExt spid="_x0000_s199258"/>
                </a:ext>
                <a:ext uri="{FF2B5EF4-FFF2-40B4-BE49-F238E27FC236}">
                  <a16:creationId xmlns:a16="http://schemas.microsoft.com/office/drawing/2014/main" id="{00000000-0008-0000-0100-00005A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34</xdr:row>
          <xdr:rowOff>7620</xdr:rowOff>
        </xdr:from>
        <xdr:to>
          <xdr:col>10</xdr:col>
          <xdr:colOff>1295400</xdr:colOff>
          <xdr:row>34</xdr:row>
          <xdr:rowOff>236220</xdr:rowOff>
        </xdr:to>
        <xdr:sp macro="" textlink="">
          <xdr:nvSpPr>
            <xdr:cNvPr id="199259" name="Spinner 603" hidden="1">
              <a:extLst>
                <a:ext uri="{63B3BB69-23CF-44E3-9099-C40C66FF867C}">
                  <a14:compatExt spid="_x0000_s199259"/>
                </a:ext>
                <a:ext uri="{FF2B5EF4-FFF2-40B4-BE49-F238E27FC236}">
                  <a16:creationId xmlns:a16="http://schemas.microsoft.com/office/drawing/2014/main" id="{00000000-0008-0000-0100-00005B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34</xdr:row>
          <xdr:rowOff>7620</xdr:rowOff>
        </xdr:from>
        <xdr:to>
          <xdr:col>10</xdr:col>
          <xdr:colOff>1295400</xdr:colOff>
          <xdr:row>34</xdr:row>
          <xdr:rowOff>236220</xdr:rowOff>
        </xdr:to>
        <xdr:sp macro="" textlink="">
          <xdr:nvSpPr>
            <xdr:cNvPr id="199260" name="Spinner 604" hidden="1">
              <a:extLst>
                <a:ext uri="{63B3BB69-23CF-44E3-9099-C40C66FF867C}">
                  <a14:compatExt spid="_x0000_s199260"/>
                </a:ext>
                <a:ext uri="{FF2B5EF4-FFF2-40B4-BE49-F238E27FC236}">
                  <a16:creationId xmlns:a16="http://schemas.microsoft.com/office/drawing/2014/main" id="{00000000-0008-0000-0100-00005C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34</xdr:row>
          <xdr:rowOff>7620</xdr:rowOff>
        </xdr:from>
        <xdr:to>
          <xdr:col>10</xdr:col>
          <xdr:colOff>1295400</xdr:colOff>
          <xdr:row>34</xdr:row>
          <xdr:rowOff>236220</xdr:rowOff>
        </xdr:to>
        <xdr:sp macro="" textlink="">
          <xdr:nvSpPr>
            <xdr:cNvPr id="199261" name="Spinner 605" hidden="1">
              <a:extLst>
                <a:ext uri="{63B3BB69-23CF-44E3-9099-C40C66FF867C}">
                  <a14:compatExt spid="_x0000_s199261"/>
                </a:ext>
                <a:ext uri="{FF2B5EF4-FFF2-40B4-BE49-F238E27FC236}">
                  <a16:creationId xmlns:a16="http://schemas.microsoft.com/office/drawing/2014/main" id="{00000000-0008-0000-0100-00005D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34</xdr:row>
          <xdr:rowOff>22860</xdr:rowOff>
        </xdr:from>
        <xdr:to>
          <xdr:col>11</xdr:col>
          <xdr:colOff>784860</xdr:colOff>
          <xdr:row>34</xdr:row>
          <xdr:rowOff>251460</xdr:rowOff>
        </xdr:to>
        <xdr:sp macro="" textlink="">
          <xdr:nvSpPr>
            <xdr:cNvPr id="199262" name="Spinner 606" hidden="1">
              <a:extLst>
                <a:ext uri="{63B3BB69-23CF-44E3-9099-C40C66FF867C}">
                  <a14:compatExt spid="_x0000_s199262"/>
                </a:ext>
                <a:ext uri="{FF2B5EF4-FFF2-40B4-BE49-F238E27FC236}">
                  <a16:creationId xmlns:a16="http://schemas.microsoft.com/office/drawing/2014/main" id="{00000000-0008-0000-0100-00005E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34</xdr:row>
          <xdr:rowOff>7620</xdr:rowOff>
        </xdr:from>
        <xdr:to>
          <xdr:col>10</xdr:col>
          <xdr:colOff>1295400</xdr:colOff>
          <xdr:row>34</xdr:row>
          <xdr:rowOff>236220</xdr:rowOff>
        </xdr:to>
        <xdr:sp macro="" textlink="">
          <xdr:nvSpPr>
            <xdr:cNvPr id="199263" name="Spinner 607" hidden="1">
              <a:extLst>
                <a:ext uri="{63B3BB69-23CF-44E3-9099-C40C66FF867C}">
                  <a14:compatExt spid="_x0000_s199263"/>
                </a:ext>
                <a:ext uri="{FF2B5EF4-FFF2-40B4-BE49-F238E27FC236}">
                  <a16:creationId xmlns:a16="http://schemas.microsoft.com/office/drawing/2014/main" id="{00000000-0008-0000-0100-00005F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34</xdr:row>
          <xdr:rowOff>7620</xdr:rowOff>
        </xdr:from>
        <xdr:to>
          <xdr:col>10</xdr:col>
          <xdr:colOff>1295400</xdr:colOff>
          <xdr:row>34</xdr:row>
          <xdr:rowOff>236220</xdr:rowOff>
        </xdr:to>
        <xdr:sp macro="" textlink="">
          <xdr:nvSpPr>
            <xdr:cNvPr id="199264" name="Spinner 608" hidden="1">
              <a:extLst>
                <a:ext uri="{63B3BB69-23CF-44E3-9099-C40C66FF867C}">
                  <a14:compatExt spid="_x0000_s199264"/>
                </a:ext>
                <a:ext uri="{FF2B5EF4-FFF2-40B4-BE49-F238E27FC236}">
                  <a16:creationId xmlns:a16="http://schemas.microsoft.com/office/drawing/2014/main" id="{00000000-0008-0000-0100-000060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34</xdr:row>
          <xdr:rowOff>22860</xdr:rowOff>
        </xdr:from>
        <xdr:to>
          <xdr:col>11</xdr:col>
          <xdr:colOff>784860</xdr:colOff>
          <xdr:row>34</xdr:row>
          <xdr:rowOff>251460</xdr:rowOff>
        </xdr:to>
        <xdr:sp macro="" textlink="">
          <xdr:nvSpPr>
            <xdr:cNvPr id="199265" name="Spinner 609" hidden="1">
              <a:extLst>
                <a:ext uri="{63B3BB69-23CF-44E3-9099-C40C66FF867C}">
                  <a14:compatExt spid="_x0000_s199265"/>
                </a:ext>
                <a:ext uri="{FF2B5EF4-FFF2-40B4-BE49-F238E27FC236}">
                  <a16:creationId xmlns:a16="http://schemas.microsoft.com/office/drawing/2014/main" id="{00000000-0008-0000-0100-000061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34</xdr:row>
          <xdr:rowOff>22860</xdr:rowOff>
        </xdr:from>
        <xdr:to>
          <xdr:col>11</xdr:col>
          <xdr:colOff>784860</xdr:colOff>
          <xdr:row>34</xdr:row>
          <xdr:rowOff>251460</xdr:rowOff>
        </xdr:to>
        <xdr:sp macro="" textlink="">
          <xdr:nvSpPr>
            <xdr:cNvPr id="199266" name="Spinner 610" hidden="1">
              <a:extLst>
                <a:ext uri="{63B3BB69-23CF-44E3-9099-C40C66FF867C}">
                  <a14:compatExt spid="_x0000_s199266"/>
                </a:ext>
                <a:ext uri="{FF2B5EF4-FFF2-40B4-BE49-F238E27FC236}">
                  <a16:creationId xmlns:a16="http://schemas.microsoft.com/office/drawing/2014/main" id="{00000000-0008-0000-0100-000062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34</xdr:row>
          <xdr:rowOff>22860</xdr:rowOff>
        </xdr:from>
        <xdr:to>
          <xdr:col>11</xdr:col>
          <xdr:colOff>784860</xdr:colOff>
          <xdr:row>34</xdr:row>
          <xdr:rowOff>251460</xdr:rowOff>
        </xdr:to>
        <xdr:sp macro="" textlink="">
          <xdr:nvSpPr>
            <xdr:cNvPr id="199267" name="Spinner 611" hidden="1">
              <a:extLst>
                <a:ext uri="{63B3BB69-23CF-44E3-9099-C40C66FF867C}">
                  <a14:compatExt spid="_x0000_s199267"/>
                </a:ext>
                <a:ext uri="{FF2B5EF4-FFF2-40B4-BE49-F238E27FC236}">
                  <a16:creationId xmlns:a16="http://schemas.microsoft.com/office/drawing/2014/main" id="{00000000-0008-0000-0100-000063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34</xdr:row>
          <xdr:rowOff>22860</xdr:rowOff>
        </xdr:from>
        <xdr:to>
          <xdr:col>11</xdr:col>
          <xdr:colOff>784860</xdr:colOff>
          <xdr:row>34</xdr:row>
          <xdr:rowOff>251460</xdr:rowOff>
        </xdr:to>
        <xdr:sp macro="" textlink="">
          <xdr:nvSpPr>
            <xdr:cNvPr id="199268" name="Spinner 612" hidden="1">
              <a:extLst>
                <a:ext uri="{63B3BB69-23CF-44E3-9099-C40C66FF867C}">
                  <a14:compatExt spid="_x0000_s199268"/>
                </a:ext>
                <a:ext uri="{FF2B5EF4-FFF2-40B4-BE49-F238E27FC236}">
                  <a16:creationId xmlns:a16="http://schemas.microsoft.com/office/drawing/2014/main" id="{00000000-0008-0000-0100-000064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34</xdr:row>
          <xdr:rowOff>22860</xdr:rowOff>
        </xdr:from>
        <xdr:to>
          <xdr:col>11</xdr:col>
          <xdr:colOff>784860</xdr:colOff>
          <xdr:row>34</xdr:row>
          <xdr:rowOff>251460</xdr:rowOff>
        </xdr:to>
        <xdr:sp macro="" textlink="">
          <xdr:nvSpPr>
            <xdr:cNvPr id="199269" name="Spinner 613" hidden="1">
              <a:extLst>
                <a:ext uri="{63B3BB69-23CF-44E3-9099-C40C66FF867C}">
                  <a14:compatExt spid="_x0000_s199269"/>
                </a:ext>
                <a:ext uri="{FF2B5EF4-FFF2-40B4-BE49-F238E27FC236}">
                  <a16:creationId xmlns:a16="http://schemas.microsoft.com/office/drawing/2014/main" id="{00000000-0008-0000-0100-000065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34</xdr:row>
          <xdr:rowOff>22860</xdr:rowOff>
        </xdr:from>
        <xdr:to>
          <xdr:col>11</xdr:col>
          <xdr:colOff>784860</xdr:colOff>
          <xdr:row>34</xdr:row>
          <xdr:rowOff>251460</xdr:rowOff>
        </xdr:to>
        <xdr:sp macro="" textlink="">
          <xdr:nvSpPr>
            <xdr:cNvPr id="199270" name="Spinner 614" hidden="1">
              <a:extLst>
                <a:ext uri="{63B3BB69-23CF-44E3-9099-C40C66FF867C}">
                  <a14:compatExt spid="_x0000_s199270"/>
                </a:ext>
                <a:ext uri="{FF2B5EF4-FFF2-40B4-BE49-F238E27FC236}">
                  <a16:creationId xmlns:a16="http://schemas.microsoft.com/office/drawing/2014/main" id="{00000000-0008-0000-0100-000066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34</xdr:row>
          <xdr:rowOff>22860</xdr:rowOff>
        </xdr:from>
        <xdr:to>
          <xdr:col>11</xdr:col>
          <xdr:colOff>784860</xdr:colOff>
          <xdr:row>34</xdr:row>
          <xdr:rowOff>251460</xdr:rowOff>
        </xdr:to>
        <xdr:sp macro="" textlink="">
          <xdr:nvSpPr>
            <xdr:cNvPr id="199271" name="Spinner 615" hidden="1">
              <a:extLst>
                <a:ext uri="{63B3BB69-23CF-44E3-9099-C40C66FF867C}">
                  <a14:compatExt spid="_x0000_s199271"/>
                </a:ext>
                <a:ext uri="{FF2B5EF4-FFF2-40B4-BE49-F238E27FC236}">
                  <a16:creationId xmlns:a16="http://schemas.microsoft.com/office/drawing/2014/main" id="{00000000-0008-0000-0100-000067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34</xdr:row>
          <xdr:rowOff>22860</xdr:rowOff>
        </xdr:from>
        <xdr:to>
          <xdr:col>11</xdr:col>
          <xdr:colOff>784860</xdr:colOff>
          <xdr:row>34</xdr:row>
          <xdr:rowOff>251460</xdr:rowOff>
        </xdr:to>
        <xdr:sp macro="" textlink="">
          <xdr:nvSpPr>
            <xdr:cNvPr id="199272" name="Spinner 616" hidden="1">
              <a:extLst>
                <a:ext uri="{63B3BB69-23CF-44E3-9099-C40C66FF867C}">
                  <a14:compatExt spid="_x0000_s199272"/>
                </a:ext>
                <a:ext uri="{FF2B5EF4-FFF2-40B4-BE49-F238E27FC236}">
                  <a16:creationId xmlns:a16="http://schemas.microsoft.com/office/drawing/2014/main" id="{00000000-0008-0000-0100-000068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35</xdr:row>
          <xdr:rowOff>22860</xdr:rowOff>
        </xdr:from>
        <xdr:to>
          <xdr:col>11</xdr:col>
          <xdr:colOff>784860</xdr:colOff>
          <xdr:row>35</xdr:row>
          <xdr:rowOff>251460</xdr:rowOff>
        </xdr:to>
        <xdr:sp macro="" textlink="">
          <xdr:nvSpPr>
            <xdr:cNvPr id="199273" name="Spinner 617" hidden="1">
              <a:extLst>
                <a:ext uri="{63B3BB69-23CF-44E3-9099-C40C66FF867C}">
                  <a14:compatExt spid="_x0000_s199273"/>
                </a:ext>
                <a:ext uri="{FF2B5EF4-FFF2-40B4-BE49-F238E27FC236}">
                  <a16:creationId xmlns:a16="http://schemas.microsoft.com/office/drawing/2014/main" id="{00000000-0008-0000-0100-000069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35</xdr:row>
          <xdr:rowOff>22860</xdr:rowOff>
        </xdr:from>
        <xdr:to>
          <xdr:col>11</xdr:col>
          <xdr:colOff>784860</xdr:colOff>
          <xdr:row>35</xdr:row>
          <xdr:rowOff>251460</xdr:rowOff>
        </xdr:to>
        <xdr:sp macro="" textlink="">
          <xdr:nvSpPr>
            <xdr:cNvPr id="199274" name="Spinner 618" hidden="1">
              <a:extLst>
                <a:ext uri="{63B3BB69-23CF-44E3-9099-C40C66FF867C}">
                  <a14:compatExt spid="_x0000_s199274"/>
                </a:ext>
                <a:ext uri="{FF2B5EF4-FFF2-40B4-BE49-F238E27FC236}">
                  <a16:creationId xmlns:a16="http://schemas.microsoft.com/office/drawing/2014/main" id="{00000000-0008-0000-0100-00006A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35</xdr:row>
          <xdr:rowOff>22860</xdr:rowOff>
        </xdr:from>
        <xdr:to>
          <xdr:col>11</xdr:col>
          <xdr:colOff>784860</xdr:colOff>
          <xdr:row>35</xdr:row>
          <xdr:rowOff>251460</xdr:rowOff>
        </xdr:to>
        <xdr:sp macro="" textlink="">
          <xdr:nvSpPr>
            <xdr:cNvPr id="199275" name="Spinner 619" hidden="1">
              <a:extLst>
                <a:ext uri="{63B3BB69-23CF-44E3-9099-C40C66FF867C}">
                  <a14:compatExt spid="_x0000_s199275"/>
                </a:ext>
                <a:ext uri="{FF2B5EF4-FFF2-40B4-BE49-F238E27FC236}">
                  <a16:creationId xmlns:a16="http://schemas.microsoft.com/office/drawing/2014/main" id="{00000000-0008-0000-0100-00006B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35</xdr:row>
          <xdr:rowOff>7620</xdr:rowOff>
        </xdr:from>
        <xdr:to>
          <xdr:col>10</xdr:col>
          <xdr:colOff>1295400</xdr:colOff>
          <xdr:row>35</xdr:row>
          <xdr:rowOff>236220</xdr:rowOff>
        </xdr:to>
        <xdr:sp macro="" textlink="">
          <xdr:nvSpPr>
            <xdr:cNvPr id="199276" name="Spinner 620" hidden="1">
              <a:extLst>
                <a:ext uri="{63B3BB69-23CF-44E3-9099-C40C66FF867C}">
                  <a14:compatExt spid="_x0000_s199276"/>
                </a:ext>
                <a:ext uri="{FF2B5EF4-FFF2-40B4-BE49-F238E27FC236}">
                  <a16:creationId xmlns:a16="http://schemas.microsoft.com/office/drawing/2014/main" id="{00000000-0008-0000-0100-00006C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35</xdr:row>
          <xdr:rowOff>7620</xdr:rowOff>
        </xdr:from>
        <xdr:to>
          <xdr:col>10</xdr:col>
          <xdr:colOff>1295400</xdr:colOff>
          <xdr:row>35</xdr:row>
          <xdr:rowOff>236220</xdr:rowOff>
        </xdr:to>
        <xdr:sp macro="" textlink="">
          <xdr:nvSpPr>
            <xdr:cNvPr id="199277" name="Spinner 621" hidden="1">
              <a:extLst>
                <a:ext uri="{63B3BB69-23CF-44E3-9099-C40C66FF867C}">
                  <a14:compatExt spid="_x0000_s199277"/>
                </a:ext>
                <a:ext uri="{FF2B5EF4-FFF2-40B4-BE49-F238E27FC236}">
                  <a16:creationId xmlns:a16="http://schemas.microsoft.com/office/drawing/2014/main" id="{00000000-0008-0000-0100-00006D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35</xdr:row>
          <xdr:rowOff>7620</xdr:rowOff>
        </xdr:from>
        <xdr:to>
          <xdr:col>10</xdr:col>
          <xdr:colOff>1295400</xdr:colOff>
          <xdr:row>35</xdr:row>
          <xdr:rowOff>236220</xdr:rowOff>
        </xdr:to>
        <xdr:sp macro="" textlink="">
          <xdr:nvSpPr>
            <xdr:cNvPr id="199278" name="Spinner 622" hidden="1">
              <a:extLst>
                <a:ext uri="{63B3BB69-23CF-44E3-9099-C40C66FF867C}">
                  <a14:compatExt spid="_x0000_s199278"/>
                </a:ext>
                <a:ext uri="{FF2B5EF4-FFF2-40B4-BE49-F238E27FC236}">
                  <a16:creationId xmlns:a16="http://schemas.microsoft.com/office/drawing/2014/main" id="{00000000-0008-0000-0100-00006E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35</xdr:row>
          <xdr:rowOff>22860</xdr:rowOff>
        </xdr:from>
        <xdr:to>
          <xdr:col>11</xdr:col>
          <xdr:colOff>784860</xdr:colOff>
          <xdr:row>35</xdr:row>
          <xdr:rowOff>251460</xdr:rowOff>
        </xdr:to>
        <xdr:sp macro="" textlink="">
          <xdr:nvSpPr>
            <xdr:cNvPr id="199279" name="Spinner 623" hidden="1">
              <a:extLst>
                <a:ext uri="{63B3BB69-23CF-44E3-9099-C40C66FF867C}">
                  <a14:compatExt spid="_x0000_s199279"/>
                </a:ext>
                <a:ext uri="{FF2B5EF4-FFF2-40B4-BE49-F238E27FC236}">
                  <a16:creationId xmlns:a16="http://schemas.microsoft.com/office/drawing/2014/main" id="{00000000-0008-0000-0100-00006F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35</xdr:row>
          <xdr:rowOff>7620</xdr:rowOff>
        </xdr:from>
        <xdr:to>
          <xdr:col>10</xdr:col>
          <xdr:colOff>1295400</xdr:colOff>
          <xdr:row>35</xdr:row>
          <xdr:rowOff>236220</xdr:rowOff>
        </xdr:to>
        <xdr:sp macro="" textlink="">
          <xdr:nvSpPr>
            <xdr:cNvPr id="199280" name="Spinner 624" hidden="1">
              <a:extLst>
                <a:ext uri="{63B3BB69-23CF-44E3-9099-C40C66FF867C}">
                  <a14:compatExt spid="_x0000_s199280"/>
                </a:ext>
                <a:ext uri="{FF2B5EF4-FFF2-40B4-BE49-F238E27FC236}">
                  <a16:creationId xmlns:a16="http://schemas.microsoft.com/office/drawing/2014/main" id="{00000000-0008-0000-0100-000070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35</xdr:row>
          <xdr:rowOff>7620</xdr:rowOff>
        </xdr:from>
        <xdr:to>
          <xdr:col>10</xdr:col>
          <xdr:colOff>1295400</xdr:colOff>
          <xdr:row>35</xdr:row>
          <xdr:rowOff>236220</xdr:rowOff>
        </xdr:to>
        <xdr:sp macro="" textlink="">
          <xdr:nvSpPr>
            <xdr:cNvPr id="199281" name="Spinner 625" hidden="1">
              <a:extLst>
                <a:ext uri="{63B3BB69-23CF-44E3-9099-C40C66FF867C}">
                  <a14:compatExt spid="_x0000_s199281"/>
                </a:ext>
                <a:ext uri="{FF2B5EF4-FFF2-40B4-BE49-F238E27FC236}">
                  <a16:creationId xmlns:a16="http://schemas.microsoft.com/office/drawing/2014/main" id="{00000000-0008-0000-0100-000071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35</xdr:row>
          <xdr:rowOff>22860</xdr:rowOff>
        </xdr:from>
        <xdr:to>
          <xdr:col>11</xdr:col>
          <xdr:colOff>784860</xdr:colOff>
          <xdr:row>35</xdr:row>
          <xdr:rowOff>251460</xdr:rowOff>
        </xdr:to>
        <xdr:sp macro="" textlink="">
          <xdr:nvSpPr>
            <xdr:cNvPr id="199282" name="Spinner 626" hidden="1">
              <a:extLst>
                <a:ext uri="{63B3BB69-23CF-44E3-9099-C40C66FF867C}">
                  <a14:compatExt spid="_x0000_s199282"/>
                </a:ext>
                <a:ext uri="{FF2B5EF4-FFF2-40B4-BE49-F238E27FC236}">
                  <a16:creationId xmlns:a16="http://schemas.microsoft.com/office/drawing/2014/main" id="{00000000-0008-0000-0100-000072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35</xdr:row>
          <xdr:rowOff>22860</xdr:rowOff>
        </xdr:from>
        <xdr:to>
          <xdr:col>11</xdr:col>
          <xdr:colOff>784860</xdr:colOff>
          <xdr:row>35</xdr:row>
          <xdr:rowOff>251460</xdr:rowOff>
        </xdr:to>
        <xdr:sp macro="" textlink="">
          <xdr:nvSpPr>
            <xdr:cNvPr id="199283" name="Spinner 627" hidden="1">
              <a:extLst>
                <a:ext uri="{63B3BB69-23CF-44E3-9099-C40C66FF867C}">
                  <a14:compatExt spid="_x0000_s199283"/>
                </a:ext>
                <a:ext uri="{FF2B5EF4-FFF2-40B4-BE49-F238E27FC236}">
                  <a16:creationId xmlns:a16="http://schemas.microsoft.com/office/drawing/2014/main" id="{00000000-0008-0000-0100-000073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35</xdr:row>
          <xdr:rowOff>22860</xdr:rowOff>
        </xdr:from>
        <xdr:to>
          <xdr:col>11</xdr:col>
          <xdr:colOff>784860</xdr:colOff>
          <xdr:row>35</xdr:row>
          <xdr:rowOff>251460</xdr:rowOff>
        </xdr:to>
        <xdr:sp macro="" textlink="">
          <xdr:nvSpPr>
            <xdr:cNvPr id="199284" name="Spinner 628" hidden="1">
              <a:extLst>
                <a:ext uri="{63B3BB69-23CF-44E3-9099-C40C66FF867C}">
                  <a14:compatExt spid="_x0000_s199284"/>
                </a:ext>
                <a:ext uri="{FF2B5EF4-FFF2-40B4-BE49-F238E27FC236}">
                  <a16:creationId xmlns:a16="http://schemas.microsoft.com/office/drawing/2014/main" id="{00000000-0008-0000-0100-000074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35</xdr:row>
          <xdr:rowOff>22860</xdr:rowOff>
        </xdr:from>
        <xdr:to>
          <xdr:col>11</xdr:col>
          <xdr:colOff>784860</xdr:colOff>
          <xdr:row>35</xdr:row>
          <xdr:rowOff>251460</xdr:rowOff>
        </xdr:to>
        <xdr:sp macro="" textlink="">
          <xdr:nvSpPr>
            <xdr:cNvPr id="199285" name="Spinner 629" hidden="1">
              <a:extLst>
                <a:ext uri="{63B3BB69-23CF-44E3-9099-C40C66FF867C}">
                  <a14:compatExt spid="_x0000_s199285"/>
                </a:ext>
                <a:ext uri="{FF2B5EF4-FFF2-40B4-BE49-F238E27FC236}">
                  <a16:creationId xmlns:a16="http://schemas.microsoft.com/office/drawing/2014/main" id="{00000000-0008-0000-0100-000075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35</xdr:row>
          <xdr:rowOff>22860</xdr:rowOff>
        </xdr:from>
        <xdr:to>
          <xdr:col>11</xdr:col>
          <xdr:colOff>784860</xdr:colOff>
          <xdr:row>35</xdr:row>
          <xdr:rowOff>251460</xdr:rowOff>
        </xdr:to>
        <xdr:sp macro="" textlink="">
          <xdr:nvSpPr>
            <xdr:cNvPr id="199286" name="Spinner 630" hidden="1">
              <a:extLst>
                <a:ext uri="{63B3BB69-23CF-44E3-9099-C40C66FF867C}">
                  <a14:compatExt spid="_x0000_s199286"/>
                </a:ext>
                <a:ext uri="{FF2B5EF4-FFF2-40B4-BE49-F238E27FC236}">
                  <a16:creationId xmlns:a16="http://schemas.microsoft.com/office/drawing/2014/main" id="{00000000-0008-0000-0100-000076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35</xdr:row>
          <xdr:rowOff>22860</xdr:rowOff>
        </xdr:from>
        <xdr:to>
          <xdr:col>11</xdr:col>
          <xdr:colOff>784860</xdr:colOff>
          <xdr:row>35</xdr:row>
          <xdr:rowOff>251460</xdr:rowOff>
        </xdr:to>
        <xdr:sp macro="" textlink="">
          <xdr:nvSpPr>
            <xdr:cNvPr id="199287" name="Spinner 631" hidden="1">
              <a:extLst>
                <a:ext uri="{63B3BB69-23CF-44E3-9099-C40C66FF867C}">
                  <a14:compatExt spid="_x0000_s199287"/>
                </a:ext>
                <a:ext uri="{FF2B5EF4-FFF2-40B4-BE49-F238E27FC236}">
                  <a16:creationId xmlns:a16="http://schemas.microsoft.com/office/drawing/2014/main" id="{00000000-0008-0000-0100-000077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35</xdr:row>
          <xdr:rowOff>22860</xdr:rowOff>
        </xdr:from>
        <xdr:to>
          <xdr:col>11</xdr:col>
          <xdr:colOff>784860</xdr:colOff>
          <xdr:row>35</xdr:row>
          <xdr:rowOff>251460</xdr:rowOff>
        </xdr:to>
        <xdr:sp macro="" textlink="">
          <xdr:nvSpPr>
            <xdr:cNvPr id="199288" name="Spinner 632" hidden="1">
              <a:extLst>
                <a:ext uri="{63B3BB69-23CF-44E3-9099-C40C66FF867C}">
                  <a14:compatExt spid="_x0000_s199288"/>
                </a:ext>
                <a:ext uri="{FF2B5EF4-FFF2-40B4-BE49-F238E27FC236}">
                  <a16:creationId xmlns:a16="http://schemas.microsoft.com/office/drawing/2014/main" id="{00000000-0008-0000-0100-000078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35</xdr:row>
          <xdr:rowOff>22860</xdr:rowOff>
        </xdr:from>
        <xdr:to>
          <xdr:col>11</xdr:col>
          <xdr:colOff>784860</xdr:colOff>
          <xdr:row>35</xdr:row>
          <xdr:rowOff>251460</xdr:rowOff>
        </xdr:to>
        <xdr:sp macro="" textlink="">
          <xdr:nvSpPr>
            <xdr:cNvPr id="199289" name="Spinner 633" hidden="1">
              <a:extLst>
                <a:ext uri="{63B3BB69-23CF-44E3-9099-C40C66FF867C}">
                  <a14:compatExt spid="_x0000_s199289"/>
                </a:ext>
                <a:ext uri="{FF2B5EF4-FFF2-40B4-BE49-F238E27FC236}">
                  <a16:creationId xmlns:a16="http://schemas.microsoft.com/office/drawing/2014/main" id="{00000000-0008-0000-0100-000079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35</xdr:row>
          <xdr:rowOff>22860</xdr:rowOff>
        </xdr:from>
        <xdr:to>
          <xdr:col>11</xdr:col>
          <xdr:colOff>784860</xdr:colOff>
          <xdr:row>35</xdr:row>
          <xdr:rowOff>251460</xdr:rowOff>
        </xdr:to>
        <xdr:sp macro="" textlink="">
          <xdr:nvSpPr>
            <xdr:cNvPr id="199303" name="Spinner 647" hidden="1">
              <a:extLst>
                <a:ext uri="{63B3BB69-23CF-44E3-9099-C40C66FF867C}">
                  <a14:compatExt spid="_x0000_s199303"/>
                </a:ext>
                <a:ext uri="{FF2B5EF4-FFF2-40B4-BE49-F238E27FC236}">
                  <a16:creationId xmlns:a16="http://schemas.microsoft.com/office/drawing/2014/main" id="{00000000-0008-0000-0100-000087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35</xdr:row>
          <xdr:rowOff>22860</xdr:rowOff>
        </xdr:from>
        <xdr:to>
          <xdr:col>11</xdr:col>
          <xdr:colOff>784860</xdr:colOff>
          <xdr:row>35</xdr:row>
          <xdr:rowOff>251460</xdr:rowOff>
        </xdr:to>
        <xdr:sp macro="" textlink="">
          <xdr:nvSpPr>
            <xdr:cNvPr id="199304" name="Spinner 648" hidden="1">
              <a:extLst>
                <a:ext uri="{63B3BB69-23CF-44E3-9099-C40C66FF867C}">
                  <a14:compatExt spid="_x0000_s199304"/>
                </a:ext>
                <a:ext uri="{FF2B5EF4-FFF2-40B4-BE49-F238E27FC236}">
                  <a16:creationId xmlns:a16="http://schemas.microsoft.com/office/drawing/2014/main" id="{00000000-0008-0000-0100-000088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35</xdr:row>
          <xdr:rowOff>22860</xdr:rowOff>
        </xdr:from>
        <xdr:to>
          <xdr:col>11</xdr:col>
          <xdr:colOff>784860</xdr:colOff>
          <xdr:row>35</xdr:row>
          <xdr:rowOff>251460</xdr:rowOff>
        </xdr:to>
        <xdr:sp macro="" textlink="">
          <xdr:nvSpPr>
            <xdr:cNvPr id="199305" name="Spinner 649" hidden="1">
              <a:extLst>
                <a:ext uri="{63B3BB69-23CF-44E3-9099-C40C66FF867C}">
                  <a14:compatExt spid="_x0000_s199305"/>
                </a:ext>
                <a:ext uri="{FF2B5EF4-FFF2-40B4-BE49-F238E27FC236}">
                  <a16:creationId xmlns:a16="http://schemas.microsoft.com/office/drawing/2014/main" id="{00000000-0008-0000-0100-000089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35</xdr:row>
          <xdr:rowOff>22860</xdr:rowOff>
        </xdr:from>
        <xdr:to>
          <xdr:col>11</xdr:col>
          <xdr:colOff>784860</xdr:colOff>
          <xdr:row>35</xdr:row>
          <xdr:rowOff>251460</xdr:rowOff>
        </xdr:to>
        <xdr:sp macro="" textlink="">
          <xdr:nvSpPr>
            <xdr:cNvPr id="199306" name="Spinner 650" hidden="1">
              <a:extLst>
                <a:ext uri="{63B3BB69-23CF-44E3-9099-C40C66FF867C}">
                  <a14:compatExt spid="_x0000_s199306"/>
                </a:ext>
                <a:ext uri="{FF2B5EF4-FFF2-40B4-BE49-F238E27FC236}">
                  <a16:creationId xmlns:a16="http://schemas.microsoft.com/office/drawing/2014/main" id="{00000000-0008-0000-0100-00008A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35</xdr:row>
          <xdr:rowOff>22860</xdr:rowOff>
        </xdr:from>
        <xdr:to>
          <xdr:col>11</xdr:col>
          <xdr:colOff>784860</xdr:colOff>
          <xdr:row>35</xdr:row>
          <xdr:rowOff>251460</xdr:rowOff>
        </xdr:to>
        <xdr:sp macro="" textlink="">
          <xdr:nvSpPr>
            <xdr:cNvPr id="199307" name="Spinner 651" hidden="1">
              <a:extLst>
                <a:ext uri="{63B3BB69-23CF-44E3-9099-C40C66FF867C}">
                  <a14:compatExt spid="_x0000_s199307"/>
                </a:ext>
                <a:ext uri="{FF2B5EF4-FFF2-40B4-BE49-F238E27FC236}">
                  <a16:creationId xmlns:a16="http://schemas.microsoft.com/office/drawing/2014/main" id="{00000000-0008-0000-0100-00008B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35</xdr:row>
          <xdr:rowOff>22860</xdr:rowOff>
        </xdr:from>
        <xdr:to>
          <xdr:col>11</xdr:col>
          <xdr:colOff>784860</xdr:colOff>
          <xdr:row>35</xdr:row>
          <xdr:rowOff>251460</xdr:rowOff>
        </xdr:to>
        <xdr:sp macro="" textlink="">
          <xdr:nvSpPr>
            <xdr:cNvPr id="199308" name="Spinner 652" hidden="1">
              <a:extLst>
                <a:ext uri="{63B3BB69-23CF-44E3-9099-C40C66FF867C}">
                  <a14:compatExt spid="_x0000_s199308"/>
                </a:ext>
                <a:ext uri="{FF2B5EF4-FFF2-40B4-BE49-F238E27FC236}">
                  <a16:creationId xmlns:a16="http://schemas.microsoft.com/office/drawing/2014/main" id="{00000000-0008-0000-0100-00008C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35</xdr:row>
          <xdr:rowOff>22860</xdr:rowOff>
        </xdr:from>
        <xdr:to>
          <xdr:col>11</xdr:col>
          <xdr:colOff>784860</xdr:colOff>
          <xdr:row>35</xdr:row>
          <xdr:rowOff>251460</xdr:rowOff>
        </xdr:to>
        <xdr:sp macro="" textlink="">
          <xdr:nvSpPr>
            <xdr:cNvPr id="199309" name="Spinner 653" hidden="1">
              <a:extLst>
                <a:ext uri="{63B3BB69-23CF-44E3-9099-C40C66FF867C}">
                  <a14:compatExt spid="_x0000_s199309"/>
                </a:ext>
                <a:ext uri="{FF2B5EF4-FFF2-40B4-BE49-F238E27FC236}">
                  <a16:creationId xmlns:a16="http://schemas.microsoft.com/office/drawing/2014/main" id="{00000000-0008-0000-0100-00008D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35</xdr:row>
          <xdr:rowOff>22860</xdr:rowOff>
        </xdr:from>
        <xdr:to>
          <xdr:col>11</xdr:col>
          <xdr:colOff>784860</xdr:colOff>
          <xdr:row>35</xdr:row>
          <xdr:rowOff>251460</xdr:rowOff>
        </xdr:to>
        <xdr:sp macro="" textlink="">
          <xdr:nvSpPr>
            <xdr:cNvPr id="199310" name="Spinner 654" hidden="1">
              <a:extLst>
                <a:ext uri="{63B3BB69-23CF-44E3-9099-C40C66FF867C}">
                  <a14:compatExt spid="_x0000_s199310"/>
                </a:ext>
                <a:ext uri="{FF2B5EF4-FFF2-40B4-BE49-F238E27FC236}">
                  <a16:creationId xmlns:a16="http://schemas.microsoft.com/office/drawing/2014/main" id="{00000000-0008-0000-0100-00008E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35</xdr:row>
          <xdr:rowOff>22860</xdr:rowOff>
        </xdr:from>
        <xdr:to>
          <xdr:col>11</xdr:col>
          <xdr:colOff>784860</xdr:colOff>
          <xdr:row>35</xdr:row>
          <xdr:rowOff>251460</xdr:rowOff>
        </xdr:to>
        <xdr:sp macro="" textlink="">
          <xdr:nvSpPr>
            <xdr:cNvPr id="199311" name="Spinner 655" hidden="1">
              <a:extLst>
                <a:ext uri="{63B3BB69-23CF-44E3-9099-C40C66FF867C}">
                  <a14:compatExt spid="_x0000_s199311"/>
                </a:ext>
                <a:ext uri="{FF2B5EF4-FFF2-40B4-BE49-F238E27FC236}">
                  <a16:creationId xmlns:a16="http://schemas.microsoft.com/office/drawing/2014/main" id="{00000000-0008-0000-0100-00008F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35</xdr:row>
          <xdr:rowOff>22860</xdr:rowOff>
        </xdr:from>
        <xdr:to>
          <xdr:col>11</xdr:col>
          <xdr:colOff>784860</xdr:colOff>
          <xdr:row>35</xdr:row>
          <xdr:rowOff>251460</xdr:rowOff>
        </xdr:to>
        <xdr:sp macro="" textlink="">
          <xdr:nvSpPr>
            <xdr:cNvPr id="199312" name="Spinner 656" hidden="1">
              <a:extLst>
                <a:ext uri="{63B3BB69-23CF-44E3-9099-C40C66FF867C}">
                  <a14:compatExt spid="_x0000_s199312"/>
                </a:ext>
                <a:ext uri="{FF2B5EF4-FFF2-40B4-BE49-F238E27FC236}">
                  <a16:creationId xmlns:a16="http://schemas.microsoft.com/office/drawing/2014/main" id="{00000000-0008-0000-0100-000090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35</xdr:row>
          <xdr:rowOff>22860</xdr:rowOff>
        </xdr:from>
        <xdr:to>
          <xdr:col>11</xdr:col>
          <xdr:colOff>784860</xdr:colOff>
          <xdr:row>35</xdr:row>
          <xdr:rowOff>251460</xdr:rowOff>
        </xdr:to>
        <xdr:sp macro="" textlink="">
          <xdr:nvSpPr>
            <xdr:cNvPr id="199313" name="Spinner 657" hidden="1">
              <a:extLst>
                <a:ext uri="{63B3BB69-23CF-44E3-9099-C40C66FF867C}">
                  <a14:compatExt spid="_x0000_s199313"/>
                </a:ext>
                <a:ext uri="{FF2B5EF4-FFF2-40B4-BE49-F238E27FC236}">
                  <a16:creationId xmlns:a16="http://schemas.microsoft.com/office/drawing/2014/main" id="{00000000-0008-0000-0100-000091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35</xdr:row>
          <xdr:rowOff>22860</xdr:rowOff>
        </xdr:from>
        <xdr:to>
          <xdr:col>11</xdr:col>
          <xdr:colOff>784860</xdr:colOff>
          <xdr:row>35</xdr:row>
          <xdr:rowOff>251460</xdr:rowOff>
        </xdr:to>
        <xdr:sp macro="" textlink="">
          <xdr:nvSpPr>
            <xdr:cNvPr id="199314" name="Spinner 658" hidden="1">
              <a:extLst>
                <a:ext uri="{63B3BB69-23CF-44E3-9099-C40C66FF867C}">
                  <a14:compatExt spid="_x0000_s199314"/>
                </a:ext>
                <a:ext uri="{FF2B5EF4-FFF2-40B4-BE49-F238E27FC236}">
                  <a16:creationId xmlns:a16="http://schemas.microsoft.com/office/drawing/2014/main" id="{00000000-0008-0000-0100-000092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36</xdr:row>
          <xdr:rowOff>22860</xdr:rowOff>
        </xdr:from>
        <xdr:to>
          <xdr:col>11</xdr:col>
          <xdr:colOff>784860</xdr:colOff>
          <xdr:row>36</xdr:row>
          <xdr:rowOff>251460</xdr:rowOff>
        </xdr:to>
        <xdr:sp macro="" textlink="">
          <xdr:nvSpPr>
            <xdr:cNvPr id="199315" name="Spinner 659" hidden="1">
              <a:extLst>
                <a:ext uri="{63B3BB69-23CF-44E3-9099-C40C66FF867C}">
                  <a14:compatExt spid="_x0000_s199315"/>
                </a:ext>
                <a:ext uri="{FF2B5EF4-FFF2-40B4-BE49-F238E27FC236}">
                  <a16:creationId xmlns:a16="http://schemas.microsoft.com/office/drawing/2014/main" id="{00000000-0008-0000-0100-000093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36</xdr:row>
          <xdr:rowOff>22860</xdr:rowOff>
        </xdr:from>
        <xdr:to>
          <xdr:col>11</xdr:col>
          <xdr:colOff>784860</xdr:colOff>
          <xdr:row>36</xdr:row>
          <xdr:rowOff>251460</xdr:rowOff>
        </xdr:to>
        <xdr:sp macro="" textlink="">
          <xdr:nvSpPr>
            <xdr:cNvPr id="199316" name="Spinner 660" hidden="1">
              <a:extLst>
                <a:ext uri="{63B3BB69-23CF-44E3-9099-C40C66FF867C}">
                  <a14:compatExt spid="_x0000_s199316"/>
                </a:ext>
                <a:ext uri="{FF2B5EF4-FFF2-40B4-BE49-F238E27FC236}">
                  <a16:creationId xmlns:a16="http://schemas.microsoft.com/office/drawing/2014/main" id="{00000000-0008-0000-0100-000094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36</xdr:row>
          <xdr:rowOff>22860</xdr:rowOff>
        </xdr:from>
        <xdr:to>
          <xdr:col>11</xdr:col>
          <xdr:colOff>784860</xdr:colOff>
          <xdr:row>36</xdr:row>
          <xdr:rowOff>251460</xdr:rowOff>
        </xdr:to>
        <xdr:sp macro="" textlink="">
          <xdr:nvSpPr>
            <xdr:cNvPr id="199317" name="Spinner 661" hidden="1">
              <a:extLst>
                <a:ext uri="{63B3BB69-23CF-44E3-9099-C40C66FF867C}">
                  <a14:compatExt spid="_x0000_s199317"/>
                </a:ext>
                <a:ext uri="{FF2B5EF4-FFF2-40B4-BE49-F238E27FC236}">
                  <a16:creationId xmlns:a16="http://schemas.microsoft.com/office/drawing/2014/main" id="{00000000-0008-0000-0100-000095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36</xdr:row>
          <xdr:rowOff>7620</xdr:rowOff>
        </xdr:from>
        <xdr:to>
          <xdr:col>10</xdr:col>
          <xdr:colOff>1295400</xdr:colOff>
          <xdr:row>36</xdr:row>
          <xdr:rowOff>236220</xdr:rowOff>
        </xdr:to>
        <xdr:sp macro="" textlink="">
          <xdr:nvSpPr>
            <xdr:cNvPr id="199318" name="Spinner 662" hidden="1">
              <a:extLst>
                <a:ext uri="{63B3BB69-23CF-44E3-9099-C40C66FF867C}">
                  <a14:compatExt spid="_x0000_s199318"/>
                </a:ext>
                <a:ext uri="{FF2B5EF4-FFF2-40B4-BE49-F238E27FC236}">
                  <a16:creationId xmlns:a16="http://schemas.microsoft.com/office/drawing/2014/main" id="{00000000-0008-0000-0100-000096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36</xdr:row>
          <xdr:rowOff>7620</xdr:rowOff>
        </xdr:from>
        <xdr:to>
          <xdr:col>10</xdr:col>
          <xdr:colOff>1295400</xdr:colOff>
          <xdr:row>36</xdr:row>
          <xdr:rowOff>236220</xdr:rowOff>
        </xdr:to>
        <xdr:sp macro="" textlink="">
          <xdr:nvSpPr>
            <xdr:cNvPr id="199319" name="Spinner 663" hidden="1">
              <a:extLst>
                <a:ext uri="{63B3BB69-23CF-44E3-9099-C40C66FF867C}">
                  <a14:compatExt spid="_x0000_s199319"/>
                </a:ext>
                <a:ext uri="{FF2B5EF4-FFF2-40B4-BE49-F238E27FC236}">
                  <a16:creationId xmlns:a16="http://schemas.microsoft.com/office/drawing/2014/main" id="{00000000-0008-0000-0100-000097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36</xdr:row>
          <xdr:rowOff>7620</xdr:rowOff>
        </xdr:from>
        <xdr:to>
          <xdr:col>10</xdr:col>
          <xdr:colOff>1295400</xdr:colOff>
          <xdr:row>36</xdr:row>
          <xdr:rowOff>236220</xdr:rowOff>
        </xdr:to>
        <xdr:sp macro="" textlink="">
          <xdr:nvSpPr>
            <xdr:cNvPr id="199320" name="Spinner 664" hidden="1">
              <a:extLst>
                <a:ext uri="{63B3BB69-23CF-44E3-9099-C40C66FF867C}">
                  <a14:compatExt spid="_x0000_s199320"/>
                </a:ext>
                <a:ext uri="{FF2B5EF4-FFF2-40B4-BE49-F238E27FC236}">
                  <a16:creationId xmlns:a16="http://schemas.microsoft.com/office/drawing/2014/main" id="{00000000-0008-0000-0100-000098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36</xdr:row>
          <xdr:rowOff>22860</xdr:rowOff>
        </xdr:from>
        <xdr:to>
          <xdr:col>11</xdr:col>
          <xdr:colOff>784860</xdr:colOff>
          <xdr:row>36</xdr:row>
          <xdr:rowOff>251460</xdr:rowOff>
        </xdr:to>
        <xdr:sp macro="" textlink="">
          <xdr:nvSpPr>
            <xdr:cNvPr id="199321" name="Spinner 665" hidden="1">
              <a:extLst>
                <a:ext uri="{63B3BB69-23CF-44E3-9099-C40C66FF867C}">
                  <a14:compatExt spid="_x0000_s199321"/>
                </a:ext>
                <a:ext uri="{FF2B5EF4-FFF2-40B4-BE49-F238E27FC236}">
                  <a16:creationId xmlns:a16="http://schemas.microsoft.com/office/drawing/2014/main" id="{00000000-0008-0000-0100-000099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36</xdr:row>
          <xdr:rowOff>7620</xdr:rowOff>
        </xdr:from>
        <xdr:to>
          <xdr:col>10</xdr:col>
          <xdr:colOff>1295400</xdr:colOff>
          <xdr:row>36</xdr:row>
          <xdr:rowOff>236220</xdr:rowOff>
        </xdr:to>
        <xdr:sp macro="" textlink="">
          <xdr:nvSpPr>
            <xdr:cNvPr id="199322" name="Spinner 666" hidden="1">
              <a:extLst>
                <a:ext uri="{63B3BB69-23CF-44E3-9099-C40C66FF867C}">
                  <a14:compatExt spid="_x0000_s199322"/>
                </a:ext>
                <a:ext uri="{FF2B5EF4-FFF2-40B4-BE49-F238E27FC236}">
                  <a16:creationId xmlns:a16="http://schemas.microsoft.com/office/drawing/2014/main" id="{00000000-0008-0000-0100-00009A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36</xdr:row>
          <xdr:rowOff>7620</xdr:rowOff>
        </xdr:from>
        <xdr:to>
          <xdr:col>10</xdr:col>
          <xdr:colOff>1295400</xdr:colOff>
          <xdr:row>36</xdr:row>
          <xdr:rowOff>236220</xdr:rowOff>
        </xdr:to>
        <xdr:sp macro="" textlink="">
          <xdr:nvSpPr>
            <xdr:cNvPr id="199323" name="Spinner 667" hidden="1">
              <a:extLst>
                <a:ext uri="{63B3BB69-23CF-44E3-9099-C40C66FF867C}">
                  <a14:compatExt spid="_x0000_s199323"/>
                </a:ext>
                <a:ext uri="{FF2B5EF4-FFF2-40B4-BE49-F238E27FC236}">
                  <a16:creationId xmlns:a16="http://schemas.microsoft.com/office/drawing/2014/main" id="{00000000-0008-0000-0100-00009B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36</xdr:row>
          <xdr:rowOff>22860</xdr:rowOff>
        </xdr:from>
        <xdr:to>
          <xdr:col>11</xdr:col>
          <xdr:colOff>784860</xdr:colOff>
          <xdr:row>36</xdr:row>
          <xdr:rowOff>251460</xdr:rowOff>
        </xdr:to>
        <xdr:sp macro="" textlink="">
          <xdr:nvSpPr>
            <xdr:cNvPr id="199324" name="Spinner 668" hidden="1">
              <a:extLst>
                <a:ext uri="{63B3BB69-23CF-44E3-9099-C40C66FF867C}">
                  <a14:compatExt spid="_x0000_s199324"/>
                </a:ext>
                <a:ext uri="{FF2B5EF4-FFF2-40B4-BE49-F238E27FC236}">
                  <a16:creationId xmlns:a16="http://schemas.microsoft.com/office/drawing/2014/main" id="{00000000-0008-0000-0100-00009C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36</xdr:row>
          <xdr:rowOff>22860</xdr:rowOff>
        </xdr:from>
        <xdr:to>
          <xdr:col>11</xdr:col>
          <xdr:colOff>784860</xdr:colOff>
          <xdr:row>36</xdr:row>
          <xdr:rowOff>251460</xdr:rowOff>
        </xdr:to>
        <xdr:sp macro="" textlink="">
          <xdr:nvSpPr>
            <xdr:cNvPr id="199325" name="Spinner 669" hidden="1">
              <a:extLst>
                <a:ext uri="{63B3BB69-23CF-44E3-9099-C40C66FF867C}">
                  <a14:compatExt spid="_x0000_s199325"/>
                </a:ext>
                <a:ext uri="{FF2B5EF4-FFF2-40B4-BE49-F238E27FC236}">
                  <a16:creationId xmlns:a16="http://schemas.microsoft.com/office/drawing/2014/main" id="{00000000-0008-0000-0100-00009D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36</xdr:row>
          <xdr:rowOff>22860</xdr:rowOff>
        </xdr:from>
        <xdr:to>
          <xdr:col>11</xdr:col>
          <xdr:colOff>784860</xdr:colOff>
          <xdr:row>36</xdr:row>
          <xdr:rowOff>251460</xdr:rowOff>
        </xdr:to>
        <xdr:sp macro="" textlink="">
          <xdr:nvSpPr>
            <xdr:cNvPr id="199326" name="Spinner 670" hidden="1">
              <a:extLst>
                <a:ext uri="{63B3BB69-23CF-44E3-9099-C40C66FF867C}">
                  <a14:compatExt spid="_x0000_s199326"/>
                </a:ext>
                <a:ext uri="{FF2B5EF4-FFF2-40B4-BE49-F238E27FC236}">
                  <a16:creationId xmlns:a16="http://schemas.microsoft.com/office/drawing/2014/main" id="{00000000-0008-0000-0100-00009E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36</xdr:row>
          <xdr:rowOff>22860</xdr:rowOff>
        </xdr:from>
        <xdr:to>
          <xdr:col>11</xdr:col>
          <xdr:colOff>784860</xdr:colOff>
          <xdr:row>36</xdr:row>
          <xdr:rowOff>251460</xdr:rowOff>
        </xdr:to>
        <xdr:sp macro="" textlink="">
          <xdr:nvSpPr>
            <xdr:cNvPr id="199327" name="Spinner 671" hidden="1">
              <a:extLst>
                <a:ext uri="{63B3BB69-23CF-44E3-9099-C40C66FF867C}">
                  <a14:compatExt spid="_x0000_s199327"/>
                </a:ext>
                <a:ext uri="{FF2B5EF4-FFF2-40B4-BE49-F238E27FC236}">
                  <a16:creationId xmlns:a16="http://schemas.microsoft.com/office/drawing/2014/main" id="{00000000-0008-0000-0100-00009F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36</xdr:row>
          <xdr:rowOff>22860</xdr:rowOff>
        </xdr:from>
        <xdr:to>
          <xdr:col>11</xdr:col>
          <xdr:colOff>784860</xdr:colOff>
          <xdr:row>36</xdr:row>
          <xdr:rowOff>251460</xdr:rowOff>
        </xdr:to>
        <xdr:sp macro="" textlink="">
          <xdr:nvSpPr>
            <xdr:cNvPr id="199328" name="Spinner 672" hidden="1">
              <a:extLst>
                <a:ext uri="{63B3BB69-23CF-44E3-9099-C40C66FF867C}">
                  <a14:compatExt spid="_x0000_s199328"/>
                </a:ext>
                <a:ext uri="{FF2B5EF4-FFF2-40B4-BE49-F238E27FC236}">
                  <a16:creationId xmlns:a16="http://schemas.microsoft.com/office/drawing/2014/main" id="{00000000-0008-0000-0100-0000A0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36</xdr:row>
          <xdr:rowOff>22860</xdr:rowOff>
        </xdr:from>
        <xdr:to>
          <xdr:col>11</xdr:col>
          <xdr:colOff>784860</xdr:colOff>
          <xdr:row>36</xdr:row>
          <xdr:rowOff>251460</xdr:rowOff>
        </xdr:to>
        <xdr:sp macro="" textlink="">
          <xdr:nvSpPr>
            <xdr:cNvPr id="199329" name="Spinner 673" hidden="1">
              <a:extLst>
                <a:ext uri="{63B3BB69-23CF-44E3-9099-C40C66FF867C}">
                  <a14:compatExt spid="_x0000_s199329"/>
                </a:ext>
                <a:ext uri="{FF2B5EF4-FFF2-40B4-BE49-F238E27FC236}">
                  <a16:creationId xmlns:a16="http://schemas.microsoft.com/office/drawing/2014/main" id="{00000000-0008-0000-0100-0000A1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36</xdr:row>
          <xdr:rowOff>22860</xdr:rowOff>
        </xdr:from>
        <xdr:to>
          <xdr:col>11</xdr:col>
          <xdr:colOff>784860</xdr:colOff>
          <xdr:row>36</xdr:row>
          <xdr:rowOff>251460</xdr:rowOff>
        </xdr:to>
        <xdr:sp macro="" textlink="">
          <xdr:nvSpPr>
            <xdr:cNvPr id="199330" name="Spinner 674" hidden="1">
              <a:extLst>
                <a:ext uri="{63B3BB69-23CF-44E3-9099-C40C66FF867C}">
                  <a14:compatExt spid="_x0000_s199330"/>
                </a:ext>
                <a:ext uri="{FF2B5EF4-FFF2-40B4-BE49-F238E27FC236}">
                  <a16:creationId xmlns:a16="http://schemas.microsoft.com/office/drawing/2014/main" id="{00000000-0008-0000-0100-0000A2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36</xdr:row>
          <xdr:rowOff>22860</xdr:rowOff>
        </xdr:from>
        <xdr:to>
          <xdr:col>11</xdr:col>
          <xdr:colOff>784860</xdr:colOff>
          <xdr:row>36</xdr:row>
          <xdr:rowOff>251460</xdr:rowOff>
        </xdr:to>
        <xdr:sp macro="" textlink="">
          <xdr:nvSpPr>
            <xdr:cNvPr id="199331" name="Spinner 675" hidden="1">
              <a:extLst>
                <a:ext uri="{63B3BB69-23CF-44E3-9099-C40C66FF867C}">
                  <a14:compatExt spid="_x0000_s199331"/>
                </a:ext>
                <a:ext uri="{FF2B5EF4-FFF2-40B4-BE49-F238E27FC236}">
                  <a16:creationId xmlns:a16="http://schemas.microsoft.com/office/drawing/2014/main" id="{00000000-0008-0000-0100-0000A3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36</xdr:row>
          <xdr:rowOff>22860</xdr:rowOff>
        </xdr:from>
        <xdr:to>
          <xdr:col>11</xdr:col>
          <xdr:colOff>784860</xdr:colOff>
          <xdr:row>36</xdr:row>
          <xdr:rowOff>251460</xdr:rowOff>
        </xdr:to>
        <xdr:sp macro="" textlink="">
          <xdr:nvSpPr>
            <xdr:cNvPr id="199332" name="Spinner 676" hidden="1">
              <a:extLst>
                <a:ext uri="{63B3BB69-23CF-44E3-9099-C40C66FF867C}">
                  <a14:compatExt spid="_x0000_s199332"/>
                </a:ext>
                <a:ext uri="{FF2B5EF4-FFF2-40B4-BE49-F238E27FC236}">
                  <a16:creationId xmlns:a16="http://schemas.microsoft.com/office/drawing/2014/main" id="{00000000-0008-0000-0100-0000A4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36</xdr:row>
          <xdr:rowOff>22860</xdr:rowOff>
        </xdr:from>
        <xdr:to>
          <xdr:col>11</xdr:col>
          <xdr:colOff>784860</xdr:colOff>
          <xdr:row>36</xdr:row>
          <xdr:rowOff>251460</xdr:rowOff>
        </xdr:to>
        <xdr:sp macro="" textlink="">
          <xdr:nvSpPr>
            <xdr:cNvPr id="199333" name="Spinner 677" hidden="1">
              <a:extLst>
                <a:ext uri="{63B3BB69-23CF-44E3-9099-C40C66FF867C}">
                  <a14:compatExt spid="_x0000_s199333"/>
                </a:ext>
                <a:ext uri="{FF2B5EF4-FFF2-40B4-BE49-F238E27FC236}">
                  <a16:creationId xmlns:a16="http://schemas.microsoft.com/office/drawing/2014/main" id="{00000000-0008-0000-0100-0000A5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36</xdr:row>
          <xdr:rowOff>22860</xdr:rowOff>
        </xdr:from>
        <xdr:to>
          <xdr:col>11</xdr:col>
          <xdr:colOff>784860</xdr:colOff>
          <xdr:row>36</xdr:row>
          <xdr:rowOff>251460</xdr:rowOff>
        </xdr:to>
        <xdr:sp macro="" textlink="">
          <xdr:nvSpPr>
            <xdr:cNvPr id="199334" name="Spinner 678" hidden="1">
              <a:extLst>
                <a:ext uri="{63B3BB69-23CF-44E3-9099-C40C66FF867C}">
                  <a14:compatExt spid="_x0000_s199334"/>
                </a:ext>
                <a:ext uri="{FF2B5EF4-FFF2-40B4-BE49-F238E27FC236}">
                  <a16:creationId xmlns:a16="http://schemas.microsoft.com/office/drawing/2014/main" id="{00000000-0008-0000-0100-0000A6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36</xdr:row>
          <xdr:rowOff>22860</xdr:rowOff>
        </xdr:from>
        <xdr:to>
          <xdr:col>11</xdr:col>
          <xdr:colOff>784860</xdr:colOff>
          <xdr:row>36</xdr:row>
          <xdr:rowOff>251460</xdr:rowOff>
        </xdr:to>
        <xdr:sp macro="" textlink="">
          <xdr:nvSpPr>
            <xdr:cNvPr id="199335" name="Spinner 679" hidden="1">
              <a:extLst>
                <a:ext uri="{63B3BB69-23CF-44E3-9099-C40C66FF867C}">
                  <a14:compatExt spid="_x0000_s199335"/>
                </a:ext>
                <a:ext uri="{FF2B5EF4-FFF2-40B4-BE49-F238E27FC236}">
                  <a16:creationId xmlns:a16="http://schemas.microsoft.com/office/drawing/2014/main" id="{00000000-0008-0000-0100-0000A7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36</xdr:row>
          <xdr:rowOff>22860</xdr:rowOff>
        </xdr:from>
        <xdr:to>
          <xdr:col>11</xdr:col>
          <xdr:colOff>784860</xdr:colOff>
          <xdr:row>36</xdr:row>
          <xdr:rowOff>251460</xdr:rowOff>
        </xdr:to>
        <xdr:sp macro="" textlink="">
          <xdr:nvSpPr>
            <xdr:cNvPr id="199336" name="Spinner 680" hidden="1">
              <a:extLst>
                <a:ext uri="{63B3BB69-23CF-44E3-9099-C40C66FF867C}">
                  <a14:compatExt spid="_x0000_s199336"/>
                </a:ext>
                <a:ext uri="{FF2B5EF4-FFF2-40B4-BE49-F238E27FC236}">
                  <a16:creationId xmlns:a16="http://schemas.microsoft.com/office/drawing/2014/main" id="{00000000-0008-0000-0100-0000A8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36</xdr:row>
          <xdr:rowOff>22860</xdr:rowOff>
        </xdr:from>
        <xdr:to>
          <xdr:col>11</xdr:col>
          <xdr:colOff>784860</xdr:colOff>
          <xdr:row>36</xdr:row>
          <xdr:rowOff>251460</xdr:rowOff>
        </xdr:to>
        <xdr:sp macro="" textlink="">
          <xdr:nvSpPr>
            <xdr:cNvPr id="199337" name="Spinner 681" hidden="1">
              <a:extLst>
                <a:ext uri="{63B3BB69-23CF-44E3-9099-C40C66FF867C}">
                  <a14:compatExt spid="_x0000_s199337"/>
                </a:ext>
                <a:ext uri="{FF2B5EF4-FFF2-40B4-BE49-F238E27FC236}">
                  <a16:creationId xmlns:a16="http://schemas.microsoft.com/office/drawing/2014/main" id="{00000000-0008-0000-0100-0000A9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36</xdr:row>
          <xdr:rowOff>22860</xdr:rowOff>
        </xdr:from>
        <xdr:to>
          <xdr:col>11</xdr:col>
          <xdr:colOff>784860</xdr:colOff>
          <xdr:row>36</xdr:row>
          <xdr:rowOff>251460</xdr:rowOff>
        </xdr:to>
        <xdr:sp macro="" textlink="">
          <xdr:nvSpPr>
            <xdr:cNvPr id="199338" name="Spinner 682" hidden="1">
              <a:extLst>
                <a:ext uri="{63B3BB69-23CF-44E3-9099-C40C66FF867C}">
                  <a14:compatExt spid="_x0000_s199338"/>
                </a:ext>
                <a:ext uri="{FF2B5EF4-FFF2-40B4-BE49-F238E27FC236}">
                  <a16:creationId xmlns:a16="http://schemas.microsoft.com/office/drawing/2014/main" id="{00000000-0008-0000-0100-0000AA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36</xdr:row>
          <xdr:rowOff>22860</xdr:rowOff>
        </xdr:from>
        <xdr:to>
          <xdr:col>11</xdr:col>
          <xdr:colOff>784860</xdr:colOff>
          <xdr:row>36</xdr:row>
          <xdr:rowOff>251460</xdr:rowOff>
        </xdr:to>
        <xdr:sp macro="" textlink="">
          <xdr:nvSpPr>
            <xdr:cNvPr id="199339" name="Spinner 683" hidden="1">
              <a:extLst>
                <a:ext uri="{63B3BB69-23CF-44E3-9099-C40C66FF867C}">
                  <a14:compatExt spid="_x0000_s199339"/>
                </a:ext>
                <a:ext uri="{FF2B5EF4-FFF2-40B4-BE49-F238E27FC236}">
                  <a16:creationId xmlns:a16="http://schemas.microsoft.com/office/drawing/2014/main" id="{00000000-0008-0000-0100-0000AB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36</xdr:row>
          <xdr:rowOff>22860</xdr:rowOff>
        </xdr:from>
        <xdr:to>
          <xdr:col>11</xdr:col>
          <xdr:colOff>784860</xdr:colOff>
          <xdr:row>36</xdr:row>
          <xdr:rowOff>251460</xdr:rowOff>
        </xdr:to>
        <xdr:sp macro="" textlink="">
          <xdr:nvSpPr>
            <xdr:cNvPr id="199340" name="Spinner 684" hidden="1">
              <a:extLst>
                <a:ext uri="{63B3BB69-23CF-44E3-9099-C40C66FF867C}">
                  <a14:compatExt spid="_x0000_s199340"/>
                </a:ext>
                <a:ext uri="{FF2B5EF4-FFF2-40B4-BE49-F238E27FC236}">
                  <a16:creationId xmlns:a16="http://schemas.microsoft.com/office/drawing/2014/main" id="{00000000-0008-0000-0100-0000AC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36</xdr:row>
          <xdr:rowOff>22860</xdr:rowOff>
        </xdr:from>
        <xdr:to>
          <xdr:col>11</xdr:col>
          <xdr:colOff>784860</xdr:colOff>
          <xdr:row>36</xdr:row>
          <xdr:rowOff>251460</xdr:rowOff>
        </xdr:to>
        <xdr:sp macro="" textlink="">
          <xdr:nvSpPr>
            <xdr:cNvPr id="199341" name="Spinner 685" hidden="1">
              <a:extLst>
                <a:ext uri="{63B3BB69-23CF-44E3-9099-C40C66FF867C}">
                  <a14:compatExt spid="_x0000_s199341"/>
                </a:ext>
                <a:ext uri="{FF2B5EF4-FFF2-40B4-BE49-F238E27FC236}">
                  <a16:creationId xmlns:a16="http://schemas.microsoft.com/office/drawing/2014/main" id="{00000000-0008-0000-0100-0000AD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36</xdr:row>
          <xdr:rowOff>22860</xdr:rowOff>
        </xdr:from>
        <xdr:to>
          <xdr:col>11</xdr:col>
          <xdr:colOff>784860</xdr:colOff>
          <xdr:row>36</xdr:row>
          <xdr:rowOff>251460</xdr:rowOff>
        </xdr:to>
        <xdr:sp macro="" textlink="">
          <xdr:nvSpPr>
            <xdr:cNvPr id="199342" name="Spinner 686" hidden="1">
              <a:extLst>
                <a:ext uri="{63B3BB69-23CF-44E3-9099-C40C66FF867C}">
                  <a14:compatExt spid="_x0000_s199342"/>
                </a:ext>
                <a:ext uri="{FF2B5EF4-FFF2-40B4-BE49-F238E27FC236}">
                  <a16:creationId xmlns:a16="http://schemas.microsoft.com/office/drawing/2014/main" id="{00000000-0008-0000-0100-0000AE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36</xdr:row>
          <xdr:rowOff>22860</xdr:rowOff>
        </xdr:from>
        <xdr:to>
          <xdr:col>11</xdr:col>
          <xdr:colOff>784860</xdr:colOff>
          <xdr:row>36</xdr:row>
          <xdr:rowOff>251460</xdr:rowOff>
        </xdr:to>
        <xdr:sp macro="" textlink="">
          <xdr:nvSpPr>
            <xdr:cNvPr id="199343" name="Spinner 687" hidden="1">
              <a:extLst>
                <a:ext uri="{63B3BB69-23CF-44E3-9099-C40C66FF867C}">
                  <a14:compatExt spid="_x0000_s199343"/>
                </a:ext>
                <a:ext uri="{FF2B5EF4-FFF2-40B4-BE49-F238E27FC236}">
                  <a16:creationId xmlns:a16="http://schemas.microsoft.com/office/drawing/2014/main" id="{00000000-0008-0000-0100-0000AF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37</xdr:row>
          <xdr:rowOff>22860</xdr:rowOff>
        </xdr:from>
        <xdr:to>
          <xdr:col>11</xdr:col>
          <xdr:colOff>784860</xdr:colOff>
          <xdr:row>37</xdr:row>
          <xdr:rowOff>251460</xdr:rowOff>
        </xdr:to>
        <xdr:sp macro="" textlink="">
          <xdr:nvSpPr>
            <xdr:cNvPr id="199344" name="Spinner 688" hidden="1">
              <a:extLst>
                <a:ext uri="{63B3BB69-23CF-44E3-9099-C40C66FF867C}">
                  <a14:compatExt spid="_x0000_s199344"/>
                </a:ext>
                <a:ext uri="{FF2B5EF4-FFF2-40B4-BE49-F238E27FC236}">
                  <a16:creationId xmlns:a16="http://schemas.microsoft.com/office/drawing/2014/main" id="{00000000-0008-0000-0100-0000B0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37</xdr:row>
          <xdr:rowOff>22860</xdr:rowOff>
        </xdr:from>
        <xdr:to>
          <xdr:col>11</xdr:col>
          <xdr:colOff>784860</xdr:colOff>
          <xdr:row>37</xdr:row>
          <xdr:rowOff>251460</xdr:rowOff>
        </xdr:to>
        <xdr:sp macro="" textlink="">
          <xdr:nvSpPr>
            <xdr:cNvPr id="199345" name="Spinner 689" hidden="1">
              <a:extLst>
                <a:ext uri="{63B3BB69-23CF-44E3-9099-C40C66FF867C}">
                  <a14:compatExt spid="_x0000_s199345"/>
                </a:ext>
                <a:ext uri="{FF2B5EF4-FFF2-40B4-BE49-F238E27FC236}">
                  <a16:creationId xmlns:a16="http://schemas.microsoft.com/office/drawing/2014/main" id="{00000000-0008-0000-0100-0000B1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37</xdr:row>
          <xdr:rowOff>22860</xdr:rowOff>
        </xdr:from>
        <xdr:to>
          <xdr:col>11</xdr:col>
          <xdr:colOff>784860</xdr:colOff>
          <xdr:row>37</xdr:row>
          <xdr:rowOff>251460</xdr:rowOff>
        </xdr:to>
        <xdr:sp macro="" textlink="">
          <xdr:nvSpPr>
            <xdr:cNvPr id="199346" name="Spinner 690" hidden="1">
              <a:extLst>
                <a:ext uri="{63B3BB69-23CF-44E3-9099-C40C66FF867C}">
                  <a14:compatExt spid="_x0000_s199346"/>
                </a:ext>
                <a:ext uri="{FF2B5EF4-FFF2-40B4-BE49-F238E27FC236}">
                  <a16:creationId xmlns:a16="http://schemas.microsoft.com/office/drawing/2014/main" id="{00000000-0008-0000-0100-0000B2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37</xdr:row>
          <xdr:rowOff>7620</xdr:rowOff>
        </xdr:from>
        <xdr:to>
          <xdr:col>10</xdr:col>
          <xdr:colOff>1295400</xdr:colOff>
          <xdr:row>37</xdr:row>
          <xdr:rowOff>236220</xdr:rowOff>
        </xdr:to>
        <xdr:sp macro="" textlink="">
          <xdr:nvSpPr>
            <xdr:cNvPr id="199347" name="Spinner 691" hidden="1">
              <a:extLst>
                <a:ext uri="{63B3BB69-23CF-44E3-9099-C40C66FF867C}">
                  <a14:compatExt spid="_x0000_s199347"/>
                </a:ext>
                <a:ext uri="{FF2B5EF4-FFF2-40B4-BE49-F238E27FC236}">
                  <a16:creationId xmlns:a16="http://schemas.microsoft.com/office/drawing/2014/main" id="{00000000-0008-0000-0100-0000B3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37</xdr:row>
          <xdr:rowOff>7620</xdr:rowOff>
        </xdr:from>
        <xdr:to>
          <xdr:col>10</xdr:col>
          <xdr:colOff>1295400</xdr:colOff>
          <xdr:row>37</xdr:row>
          <xdr:rowOff>236220</xdr:rowOff>
        </xdr:to>
        <xdr:sp macro="" textlink="">
          <xdr:nvSpPr>
            <xdr:cNvPr id="199348" name="Spinner 692" hidden="1">
              <a:extLst>
                <a:ext uri="{63B3BB69-23CF-44E3-9099-C40C66FF867C}">
                  <a14:compatExt spid="_x0000_s199348"/>
                </a:ext>
                <a:ext uri="{FF2B5EF4-FFF2-40B4-BE49-F238E27FC236}">
                  <a16:creationId xmlns:a16="http://schemas.microsoft.com/office/drawing/2014/main" id="{00000000-0008-0000-0100-0000B4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37</xdr:row>
          <xdr:rowOff>7620</xdr:rowOff>
        </xdr:from>
        <xdr:to>
          <xdr:col>10</xdr:col>
          <xdr:colOff>1295400</xdr:colOff>
          <xdr:row>37</xdr:row>
          <xdr:rowOff>236220</xdr:rowOff>
        </xdr:to>
        <xdr:sp macro="" textlink="">
          <xdr:nvSpPr>
            <xdr:cNvPr id="199349" name="Spinner 693" hidden="1">
              <a:extLst>
                <a:ext uri="{63B3BB69-23CF-44E3-9099-C40C66FF867C}">
                  <a14:compatExt spid="_x0000_s199349"/>
                </a:ext>
                <a:ext uri="{FF2B5EF4-FFF2-40B4-BE49-F238E27FC236}">
                  <a16:creationId xmlns:a16="http://schemas.microsoft.com/office/drawing/2014/main" id="{00000000-0008-0000-0100-0000B5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37</xdr:row>
          <xdr:rowOff>22860</xdr:rowOff>
        </xdr:from>
        <xdr:to>
          <xdr:col>11</xdr:col>
          <xdr:colOff>784860</xdr:colOff>
          <xdr:row>37</xdr:row>
          <xdr:rowOff>251460</xdr:rowOff>
        </xdr:to>
        <xdr:sp macro="" textlink="">
          <xdr:nvSpPr>
            <xdr:cNvPr id="199350" name="Spinner 694" hidden="1">
              <a:extLst>
                <a:ext uri="{63B3BB69-23CF-44E3-9099-C40C66FF867C}">
                  <a14:compatExt spid="_x0000_s199350"/>
                </a:ext>
                <a:ext uri="{FF2B5EF4-FFF2-40B4-BE49-F238E27FC236}">
                  <a16:creationId xmlns:a16="http://schemas.microsoft.com/office/drawing/2014/main" id="{00000000-0008-0000-0100-0000B6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37</xdr:row>
          <xdr:rowOff>7620</xdr:rowOff>
        </xdr:from>
        <xdr:to>
          <xdr:col>10</xdr:col>
          <xdr:colOff>1295400</xdr:colOff>
          <xdr:row>37</xdr:row>
          <xdr:rowOff>236220</xdr:rowOff>
        </xdr:to>
        <xdr:sp macro="" textlink="">
          <xdr:nvSpPr>
            <xdr:cNvPr id="199351" name="Spinner 695" hidden="1">
              <a:extLst>
                <a:ext uri="{63B3BB69-23CF-44E3-9099-C40C66FF867C}">
                  <a14:compatExt spid="_x0000_s199351"/>
                </a:ext>
                <a:ext uri="{FF2B5EF4-FFF2-40B4-BE49-F238E27FC236}">
                  <a16:creationId xmlns:a16="http://schemas.microsoft.com/office/drawing/2014/main" id="{00000000-0008-0000-0100-0000B7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37</xdr:row>
          <xdr:rowOff>7620</xdr:rowOff>
        </xdr:from>
        <xdr:to>
          <xdr:col>10</xdr:col>
          <xdr:colOff>1295400</xdr:colOff>
          <xdr:row>37</xdr:row>
          <xdr:rowOff>236220</xdr:rowOff>
        </xdr:to>
        <xdr:sp macro="" textlink="">
          <xdr:nvSpPr>
            <xdr:cNvPr id="199352" name="Spinner 696" hidden="1">
              <a:extLst>
                <a:ext uri="{63B3BB69-23CF-44E3-9099-C40C66FF867C}">
                  <a14:compatExt spid="_x0000_s199352"/>
                </a:ext>
                <a:ext uri="{FF2B5EF4-FFF2-40B4-BE49-F238E27FC236}">
                  <a16:creationId xmlns:a16="http://schemas.microsoft.com/office/drawing/2014/main" id="{00000000-0008-0000-0100-0000B8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37</xdr:row>
          <xdr:rowOff>22860</xdr:rowOff>
        </xdr:from>
        <xdr:to>
          <xdr:col>11</xdr:col>
          <xdr:colOff>784860</xdr:colOff>
          <xdr:row>37</xdr:row>
          <xdr:rowOff>251460</xdr:rowOff>
        </xdr:to>
        <xdr:sp macro="" textlink="">
          <xdr:nvSpPr>
            <xdr:cNvPr id="199353" name="Spinner 697" hidden="1">
              <a:extLst>
                <a:ext uri="{63B3BB69-23CF-44E3-9099-C40C66FF867C}">
                  <a14:compatExt spid="_x0000_s199353"/>
                </a:ext>
                <a:ext uri="{FF2B5EF4-FFF2-40B4-BE49-F238E27FC236}">
                  <a16:creationId xmlns:a16="http://schemas.microsoft.com/office/drawing/2014/main" id="{00000000-0008-0000-0100-0000B9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37</xdr:row>
          <xdr:rowOff>22860</xdr:rowOff>
        </xdr:from>
        <xdr:to>
          <xdr:col>11</xdr:col>
          <xdr:colOff>784860</xdr:colOff>
          <xdr:row>37</xdr:row>
          <xdr:rowOff>251460</xdr:rowOff>
        </xdr:to>
        <xdr:sp macro="" textlink="">
          <xdr:nvSpPr>
            <xdr:cNvPr id="199354" name="Spinner 698" hidden="1">
              <a:extLst>
                <a:ext uri="{63B3BB69-23CF-44E3-9099-C40C66FF867C}">
                  <a14:compatExt spid="_x0000_s199354"/>
                </a:ext>
                <a:ext uri="{FF2B5EF4-FFF2-40B4-BE49-F238E27FC236}">
                  <a16:creationId xmlns:a16="http://schemas.microsoft.com/office/drawing/2014/main" id="{00000000-0008-0000-0100-0000BA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37</xdr:row>
          <xdr:rowOff>22860</xdr:rowOff>
        </xdr:from>
        <xdr:to>
          <xdr:col>11</xdr:col>
          <xdr:colOff>784860</xdr:colOff>
          <xdr:row>37</xdr:row>
          <xdr:rowOff>251460</xdr:rowOff>
        </xdr:to>
        <xdr:sp macro="" textlink="">
          <xdr:nvSpPr>
            <xdr:cNvPr id="199355" name="Spinner 699" hidden="1">
              <a:extLst>
                <a:ext uri="{63B3BB69-23CF-44E3-9099-C40C66FF867C}">
                  <a14:compatExt spid="_x0000_s199355"/>
                </a:ext>
                <a:ext uri="{FF2B5EF4-FFF2-40B4-BE49-F238E27FC236}">
                  <a16:creationId xmlns:a16="http://schemas.microsoft.com/office/drawing/2014/main" id="{00000000-0008-0000-0100-0000BB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37</xdr:row>
          <xdr:rowOff>22860</xdr:rowOff>
        </xdr:from>
        <xdr:to>
          <xdr:col>11</xdr:col>
          <xdr:colOff>784860</xdr:colOff>
          <xdr:row>37</xdr:row>
          <xdr:rowOff>251460</xdr:rowOff>
        </xdr:to>
        <xdr:sp macro="" textlink="">
          <xdr:nvSpPr>
            <xdr:cNvPr id="199356" name="Spinner 700" hidden="1">
              <a:extLst>
                <a:ext uri="{63B3BB69-23CF-44E3-9099-C40C66FF867C}">
                  <a14:compatExt spid="_x0000_s199356"/>
                </a:ext>
                <a:ext uri="{FF2B5EF4-FFF2-40B4-BE49-F238E27FC236}">
                  <a16:creationId xmlns:a16="http://schemas.microsoft.com/office/drawing/2014/main" id="{00000000-0008-0000-0100-0000BC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37</xdr:row>
          <xdr:rowOff>22860</xdr:rowOff>
        </xdr:from>
        <xdr:to>
          <xdr:col>11</xdr:col>
          <xdr:colOff>784860</xdr:colOff>
          <xdr:row>37</xdr:row>
          <xdr:rowOff>251460</xdr:rowOff>
        </xdr:to>
        <xdr:sp macro="" textlink="">
          <xdr:nvSpPr>
            <xdr:cNvPr id="199357" name="Spinner 701" hidden="1">
              <a:extLst>
                <a:ext uri="{63B3BB69-23CF-44E3-9099-C40C66FF867C}">
                  <a14:compatExt spid="_x0000_s199357"/>
                </a:ext>
                <a:ext uri="{FF2B5EF4-FFF2-40B4-BE49-F238E27FC236}">
                  <a16:creationId xmlns:a16="http://schemas.microsoft.com/office/drawing/2014/main" id="{00000000-0008-0000-0100-0000BD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37</xdr:row>
          <xdr:rowOff>22860</xdr:rowOff>
        </xdr:from>
        <xdr:to>
          <xdr:col>11</xdr:col>
          <xdr:colOff>784860</xdr:colOff>
          <xdr:row>37</xdr:row>
          <xdr:rowOff>251460</xdr:rowOff>
        </xdr:to>
        <xdr:sp macro="" textlink="">
          <xdr:nvSpPr>
            <xdr:cNvPr id="199358" name="Spinner 702" hidden="1">
              <a:extLst>
                <a:ext uri="{63B3BB69-23CF-44E3-9099-C40C66FF867C}">
                  <a14:compatExt spid="_x0000_s199358"/>
                </a:ext>
                <a:ext uri="{FF2B5EF4-FFF2-40B4-BE49-F238E27FC236}">
                  <a16:creationId xmlns:a16="http://schemas.microsoft.com/office/drawing/2014/main" id="{00000000-0008-0000-0100-0000BE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37</xdr:row>
          <xdr:rowOff>22860</xdr:rowOff>
        </xdr:from>
        <xdr:to>
          <xdr:col>11</xdr:col>
          <xdr:colOff>784860</xdr:colOff>
          <xdr:row>37</xdr:row>
          <xdr:rowOff>251460</xdr:rowOff>
        </xdr:to>
        <xdr:sp macro="" textlink="">
          <xdr:nvSpPr>
            <xdr:cNvPr id="199359" name="Spinner 703" hidden="1">
              <a:extLst>
                <a:ext uri="{63B3BB69-23CF-44E3-9099-C40C66FF867C}">
                  <a14:compatExt spid="_x0000_s199359"/>
                </a:ext>
                <a:ext uri="{FF2B5EF4-FFF2-40B4-BE49-F238E27FC236}">
                  <a16:creationId xmlns:a16="http://schemas.microsoft.com/office/drawing/2014/main" id="{00000000-0008-0000-0100-0000BF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37</xdr:row>
          <xdr:rowOff>22860</xdr:rowOff>
        </xdr:from>
        <xdr:to>
          <xdr:col>11</xdr:col>
          <xdr:colOff>784860</xdr:colOff>
          <xdr:row>37</xdr:row>
          <xdr:rowOff>251460</xdr:rowOff>
        </xdr:to>
        <xdr:sp macro="" textlink="">
          <xdr:nvSpPr>
            <xdr:cNvPr id="199360" name="Spinner 704" hidden="1">
              <a:extLst>
                <a:ext uri="{63B3BB69-23CF-44E3-9099-C40C66FF867C}">
                  <a14:compatExt spid="_x0000_s199360"/>
                </a:ext>
                <a:ext uri="{FF2B5EF4-FFF2-40B4-BE49-F238E27FC236}">
                  <a16:creationId xmlns:a16="http://schemas.microsoft.com/office/drawing/2014/main" id="{00000000-0008-0000-0100-0000C0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37</xdr:row>
          <xdr:rowOff>22860</xdr:rowOff>
        </xdr:from>
        <xdr:to>
          <xdr:col>11</xdr:col>
          <xdr:colOff>784860</xdr:colOff>
          <xdr:row>37</xdr:row>
          <xdr:rowOff>251460</xdr:rowOff>
        </xdr:to>
        <xdr:sp macro="" textlink="">
          <xdr:nvSpPr>
            <xdr:cNvPr id="199361" name="Spinner 705" hidden="1">
              <a:extLst>
                <a:ext uri="{63B3BB69-23CF-44E3-9099-C40C66FF867C}">
                  <a14:compatExt spid="_x0000_s199361"/>
                </a:ext>
                <a:ext uri="{FF2B5EF4-FFF2-40B4-BE49-F238E27FC236}">
                  <a16:creationId xmlns:a16="http://schemas.microsoft.com/office/drawing/2014/main" id="{00000000-0008-0000-0100-0000C1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37</xdr:row>
          <xdr:rowOff>22860</xdr:rowOff>
        </xdr:from>
        <xdr:to>
          <xdr:col>11</xdr:col>
          <xdr:colOff>784860</xdr:colOff>
          <xdr:row>37</xdr:row>
          <xdr:rowOff>251460</xdr:rowOff>
        </xdr:to>
        <xdr:sp macro="" textlink="">
          <xdr:nvSpPr>
            <xdr:cNvPr id="199362" name="Spinner 706" hidden="1">
              <a:extLst>
                <a:ext uri="{63B3BB69-23CF-44E3-9099-C40C66FF867C}">
                  <a14:compatExt spid="_x0000_s199362"/>
                </a:ext>
                <a:ext uri="{FF2B5EF4-FFF2-40B4-BE49-F238E27FC236}">
                  <a16:creationId xmlns:a16="http://schemas.microsoft.com/office/drawing/2014/main" id="{00000000-0008-0000-0100-0000C2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37</xdr:row>
          <xdr:rowOff>22860</xdr:rowOff>
        </xdr:from>
        <xdr:to>
          <xdr:col>11</xdr:col>
          <xdr:colOff>784860</xdr:colOff>
          <xdr:row>37</xdr:row>
          <xdr:rowOff>251460</xdr:rowOff>
        </xdr:to>
        <xdr:sp macro="" textlink="">
          <xdr:nvSpPr>
            <xdr:cNvPr id="199363" name="Spinner 707" hidden="1">
              <a:extLst>
                <a:ext uri="{63B3BB69-23CF-44E3-9099-C40C66FF867C}">
                  <a14:compatExt spid="_x0000_s199363"/>
                </a:ext>
                <a:ext uri="{FF2B5EF4-FFF2-40B4-BE49-F238E27FC236}">
                  <a16:creationId xmlns:a16="http://schemas.microsoft.com/office/drawing/2014/main" id="{00000000-0008-0000-0100-0000C3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37</xdr:row>
          <xdr:rowOff>22860</xdr:rowOff>
        </xdr:from>
        <xdr:to>
          <xdr:col>11</xdr:col>
          <xdr:colOff>784860</xdr:colOff>
          <xdr:row>37</xdr:row>
          <xdr:rowOff>251460</xdr:rowOff>
        </xdr:to>
        <xdr:sp macro="" textlink="">
          <xdr:nvSpPr>
            <xdr:cNvPr id="199364" name="Spinner 708" hidden="1">
              <a:extLst>
                <a:ext uri="{63B3BB69-23CF-44E3-9099-C40C66FF867C}">
                  <a14:compatExt spid="_x0000_s199364"/>
                </a:ext>
                <a:ext uri="{FF2B5EF4-FFF2-40B4-BE49-F238E27FC236}">
                  <a16:creationId xmlns:a16="http://schemas.microsoft.com/office/drawing/2014/main" id="{00000000-0008-0000-0100-0000C4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37</xdr:row>
          <xdr:rowOff>22860</xdr:rowOff>
        </xdr:from>
        <xdr:to>
          <xdr:col>11</xdr:col>
          <xdr:colOff>784860</xdr:colOff>
          <xdr:row>37</xdr:row>
          <xdr:rowOff>251460</xdr:rowOff>
        </xdr:to>
        <xdr:sp macro="" textlink="">
          <xdr:nvSpPr>
            <xdr:cNvPr id="199365" name="Spinner 709" hidden="1">
              <a:extLst>
                <a:ext uri="{63B3BB69-23CF-44E3-9099-C40C66FF867C}">
                  <a14:compatExt spid="_x0000_s199365"/>
                </a:ext>
                <a:ext uri="{FF2B5EF4-FFF2-40B4-BE49-F238E27FC236}">
                  <a16:creationId xmlns:a16="http://schemas.microsoft.com/office/drawing/2014/main" id="{00000000-0008-0000-0100-0000C5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37</xdr:row>
          <xdr:rowOff>22860</xdr:rowOff>
        </xdr:from>
        <xdr:to>
          <xdr:col>11</xdr:col>
          <xdr:colOff>784860</xdr:colOff>
          <xdr:row>37</xdr:row>
          <xdr:rowOff>251460</xdr:rowOff>
        </xdr:to>
        <xdr:sp macro="" textlink="">
          <xdr:nvSpPr>
            <xdr:cNvPr id="199366" name="Spinner 710" hidden="1">
              <a:extLst>
                <a:ext uri="{63B3BB69-23CF-44E3-9099-C40C66FF867C}">
                  <a14:compatExt spid="_x0000_s199366"/>
                </a:ext>
                <a:ext uri="{FF2B5EF4-FFF2-40B4-BE49-F238E27FC236}">
                  <a16:creationId xmlns:a16="http://schemas.microsoft.com/office/drawing/2014/main" id="{00000000-0008-0000-0100-0000C6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37</xdr:row>
          <xdr:rowOff>22860</xdr:rowOff>
        </xdr:from>
        <xdr:to>
          <xdr:col>11</xdr:col>
          <xdr:colOff>784860</xdr:colOff>
          <xdr:row>37</xdr:row>
          <xdr:rowOff>251460</xdr:rowOff>
        </xdr:to>
        <xdr:sp macro="" textlink="">
          <xdr:nvSpPr>
            <xdr:cNvPr id="199367" name="Spinner 711" hidden="1">
              <a:extLst>
                <a:ext uri="{63B3BB69-23CF-44E3-9099-C40C66FF867C}">
                  <a14:compatExt spid="_x0000_s199367"/>
                </a:ext>
                <a:ext uri="{FF2B5EF4-FFF2-40B4-BE49-F238E27FC236}">
                  <a16:creationId xmlns:a16="http://schemas.microsoft.com/office/drawing/2014/main" id="{00000000-0008-0000-0100-0000C7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37</xdr:row>
          <xdr:rowOff>22860</xdr:rowOff>
        </xdr:from>
        <xdr:to>
          <xdr:col>11</xdr:col>
          <xdr:colOff>784860</xdr:colOff>
          <xdr:row>37</xdr:row>
          <xdr:rowOff>251460</xdr:rowOff>
        </xdr:to>
        <xdr:sp macro="" textlink="">
          <xdr:nvSpPr>
            <xdr:cNvPr id="199368" name="Spinner 712" hidden="1">
              <a:extLst>
                <a:ext uri="{63B3BB69-23CF-44E3-9099-C40C66FF867C}">
                  <a14:compatExt spid="_x0000_s199368"/>
                </a:ext>
                <a:ext uri="{FF2B5EF4-FFF2-40B4-BE49-F238E27FC236}">
                  <a16:creationId xmlns:a16="http://schemas.microsoft.com/office/drawing/2014/main" id="{00000000-0008-0000-0100-0000C8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37</xdr:row>
          <xdr:rowOff>22860</xdr:rowOff>
        </xdr:from>
        <xdr:to>
          <xdr:col>11</xdr:col>
          <xdr:colOff>784860</xdr:colOff>
          <xdr:row>37</xdr:row>
          <xdr:rowOff>251460</xdr:rowOff>
        </xdr:to>
        <xdr:sp macro="" textlink="">
          <xdr:nvSpPr>
            <xdr:cNvPr id="199369" name="Spinner 713" hidden="1">
              <a:extLst>
                <a:ext uri="{63B3BB69-23CF-44E3-9099-C40C66FF867C}">
                  <a14:compatExt spid="_x0000_s199369"/>
                </a:ext>
                <a:ext uri="{FF2B5EF4-FFF2-40B4-BE49-F238E27FC236}">
                  <a16:creationId xmlns:a16="http://schemas.microsoft.com/office/drawing/2014/main" id="{00000000-0008-0000-0100-0000C9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37</xdr:row>
          <xdr:rowOff>22860</xdr:rowOff>
        </xdr:from>
        <xdr:to>
          <xdr:col>11</xdr:col>
          <xdr:colOff>784860</xdr:colOff>
          <xdr:row>37</xdr:row>
          <xdr:rowOff>251460</xdr:rowOff>
        </xdr:to>
        <xdr:sp macro="" textlink="">
          <xdr:nvSpPr>
            <xdr:cNvPr id="199370" name="Spinner 714" hidden="1">
              <a:extLst>
                <a:ext uri="{63B3BB69-23CF-44E3-9099-C40C66FF867C}">
                  <a14:compatExt spid="_x0000_s199370"/>
                </a:ext>
                <a:ext uri="{FF2B5EF4-FFF2-40B4-BE49-F238E27FC236}">
                  <a16:creationId xmlns:a16="http://schemas.microsoft.com/office/drawing/2014/main" id="{00000000-0008-0000-0100-0000CA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37</xdr:row>
          <xdr:rowOff>22860</xdr:rowOff>
        </xdr:from>
        <xdr:to>
          <xdr:col>11</xdr:col>
          <xdr:colOff>784860</xdr:colOff>
          <xdr:row>37</xdr:row>
          <xdr:rowOff>251460</xdr:rowOff>
        </xdr:to>
        <xdr:sp macro="" textlink="">
          <xdr:nvSpPr>
            <xdr:cNvPr id="199371" name="Spinner 715" hidden="1">
              <a:extLst>
                <a:ext uri="{63B3BB69-23CF-44E3-9099-C40C66FF867C}">
                  <a14:compatExt spid="_x0000_s199371"/>
                </a:ext>
                <a:ext uri="{FF2B5EF4-FFF2-40B4-BE49-F238E27FC236}">
                  <a16:creationId xmlns:a16="http://schemas.microsoft.com/office/drawing/2014/main" id="{00000000-0008-0000-0100-0000CB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37</xdr:row>
          <xdr:rowOff>22860</xdr:rowOff>
        </xdr:from>
        <xdr:to>
          <xdr:col>11</xdr:col>
          <xdr:colOff>784860</xdr:colOff>
          <xdr:row>37</xdr:row>
          <xdr:rowOff>251460</xdr:rowOff>
        </xdr:to>
        <xdr:sp macro="" textlink="">
          <xdr:nvSpPr>
            <xdr:cNvPr id="199372" name="Spinner 716" hidden="1">
              <a:extLst>
                <a:ext uri="{63B3BB69-23CF-44E3-9099-C40C66FF867C}">
                  <a14:compatExt spid="_x0000_s199372"/>
                </a:ext>
                <a:ext uri="{FF2B5EF4-FFF2-40B4-BE49-F238E27FC236}">
                  <a16:creationId xmlns:a16="http://schemas.microsoft.com/office/drawing/2014/main" id="{00000000-0008-0000-0100-0000CC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37</xdr:row>
          <xdr:rowOff>22860</xdr:rowOff>
        </xdr:from>
        <xdr:to>
          <xdr:col>11</xdr:col>
          <xdr:colOff>784860</xdr:colOff>
          <xdr:row>37</xdr:row>
          <xdr:rowOff>251460</xdr:rowOff>
        </xdr:to>
        <xdr:sp macro="" textlink="">
          <xdr:nvSpPr>
            <xdr:cNvPr id="199373" name="Spinner 717" hidden="1">
              <a:extLst>
                <a:ext uri="{63B3BB69-23CF-44E3-9099-C40C66FF867C}">
                  <a14:compatExt spid="_x0000_s199373"/>
                </a:ext>
                <a:ext uri="{FF2B5EF4-FFF2-40B4-BE49-F238E27FC236}">
                  <a16:creationId xmlns:a16="http://schemas.microsoft.com/office/drawing/2014/main" id="{00000000-0008-0000-0100-0000CD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37</xdr:row>
          <xdr:rowOff>22860</xdr:rowOff>
        </xdr:from>
        <xdr:to>
          <xdr:col>11</xdr:col>
          <xdr:colOff>784860</xdr:colOff>
          <xdr:row>37</xdr:row>
          <xdr:rowOff>251460</xdr:rowOff>
        </xdr:to>
        <xdr:sp macro="" textlink="">
          <xdr:nvSpPr>
            <xdr:cNvPr id="199374" name="Spinner 718" hidden="1">
              <a:extLst>
                <a:ext uri="{63B3BB69-23CF-44E3-9099-C40C66FF867C}">
                  <a14:compatExt spid="_x0000_s199374"/>
                </a:ext>
                <a:ext uri="{FF2B5EF4-FFF2-40B4-BE49-F238E27FC236}">
                  <a16:creationId xmlns:a16="http://schemas.microsoft.com/office/drawing/2014/main" id="{00000000-0008-0000-0100-0000CE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37</xdr:row>
          <xdr:rowOff>22860</xdr:rowOff>
        </xdr:from>
        <xdr:to>
          <xdr:col>11</xdr:col>
          <xdr:colOff>784860</xdr:colOff>
          <xdr:row>37</xdr:row>
          <xdr:rowOff>251460</xdr:rowOff>
        </xdr:to>
        <xdr:sp macro="" textlink="">
          <xdr:nvSpPr>
            <xdr:cNvPr id="199375" name="Spinner 719" hidden="1">
              <a:extLst>
                <a:ext uri="{63B3BB69-23CF-44E3-9099-C40C66FF867C}">
                  <a14:compatExt spid="_x0000_s199375"/>
                </a:ext>
                <a:ext uri="{FF2B5EF4-FFF2-40B4-BE49-F238E27FC236}">
                  <a16:creationId xmlns:a16="http://schemas.microsoft.com/office/drawing/2014/main" id="{00000000-0008-0000-0100-0000CF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37</xdr:row>
          <xdr:rowOff>22860</xdr:rowOff>
        </xdr:from>
        <xdr:to>
          <xdr:col>11</xdr:col>
          <xdr:colOff>784860</xdr:colOff>
          <xdr:row>37</xdr:row>
          <xdr:rowOff>251460</xdr:rowOff>
        </xdr:to>
        <xdr:sp macro="" textlink="">
          <xdr:nvSpPr>
            <xdr:cNvPr id="199376" name="Spinner 720" hidden="1">
              <a:extLst>
                <a:ext uri="{63B3BB69-23CF-44E3-9099-C40C66FF867C}">
                  <a14:compatExt spid="_x0000_s199376"/>
                </a:ext>
                <a:ext uri="{FF2B5EF4-FFF2-40B4-BE49-F238E27FC236}">
                  <a16:creationId xmlns:a16="http://schemas.microsoft.com/office/drawing/2014/main" id="{00000000-0008-0000-0100-0000D0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37</xdr:row>
          <xdr:rowOff>22860</xdr:rowOff>
        </xdr:from>
        <xdr:to>
          <xdr:col>11</xdr:col>
          <xdr:colOff>784860</xdr:colOff>
          <xdr:row>37</xdr:row>
          <xdr:rowOff>251460</xdr:rowOff>
        </xdr:to>
        <xdr:sp macro="" textlink="">
          <xdr:nvSpPr>
            <xdr:cNvPr id="199377" name="Spinner 721" hidden="1">
              <a:extLst>
                <a:ext uri="{63B3BB69-23CF-44E3-9099-C40C66FF867C}">
                  <a14:compatExt spid="_x0000_s199377"/>
                </a:ext>
                <a:ext uri="{FF2B5EF4-FFF2-40B4-BE49-F238E27FC236}">
                  <a16:creationId xmlns:a16="http://schemas.microsoft.com/office/drawing/2014/main" id="{00000000-0008-0000-0100-0000D1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37</xdr:row>
          <xdr:rowOff>22860</xdr:rowOff>
        </xdr:from>
        <xdr:to>
          <xdr:col>11</xdr:col>
          <xdr:colOff>784860</xdr:colOff>
          <xdr:row>37</xdr:row>
          <xdr:rowOff>251460</xdr:rowOff>
        </xdr:to>
        <xdr:sp macro="" textlink="">
          <xdr:nvSpPr>
            <xdr:cNvPr id="199378" name="Spinner 722" hidden="1">
              <a:extLst>
                <a:ext uri="{63B3BB69-23CF-44E3-9099-C40C66FF867C}">
                  <a14:compatExt spid="_x0000_s199378"/>
                </a:ext>
                <a:ext uri="{FF2B5EF4-FFF2-40B4-BE49-F238E27FC236}">
                  <a16:creationId xmlns:a16="http://schemas.microsoft.com/office/drawing/2014/main" id="{00000000-0008-0000-0100-0000D2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37</xdr:row>
          <xdr:rowOff>22860</xdr:rowOff>
        </xdr:from>
        <xdr:to>
          <xdr:col>11</xdr:col>
          <xdr:colOff>784860</xdr:colOff>
          <xdr:row>37</xdr:row>
          <xdr:rowOff>251460</xdr:rowOff>
        </xdr:to>
        <xdr:sp macro="" textlink="">
          <xdr:nvSpPr>
            <xdr:cNvPr id="199379" name="Spinner 723" hidden="1">
              <a:extLst>
                <a:ext uri="{63B3BB69-23CF-44E3-9099-C40C66FF867C}">
                  <a14:compatExt spid="_x0000_s199379"/>
                </a:ext>
                <a:ext uri="{FF2B5EF4-FFF2-40B4-BE49-F238E27FC236}">
                  <a16:creationId xmlns:a16="http://schemas.microsoft.com/office/drawing/2014/main" id="{00000000-0008-0000-0100-0000D3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37</xdr:row>
          <xdr:rowOff>22860</xdr:rowOff>
        </xdr:from>
        <xdr:to>
          <xdr:col>11</xdr:col>
          <xdr:colOff>784860</xdr:colOff>
          <xdr:row>37</xdr:row>
          <xdr:rowOff>251460</xdr:rowOff>
        </xdr:to>
        <xdr:sp macro="" textlink="">
          <xdr:nvSpPr>
            <xdr:cNvPr id="199380" name="Spinner 724" hidden="1">
              <a:extLst>
                <a:ext uri="{63B3BB69-23CF-44E3-9099-C40C66FF867C}">
                  <a14:compatExt spid="_x0000_s199380"/>
                </a:ext>
                <a:ext uri="{FF2B5EF4-FFF2-40B4-BE49-F238E27FC236}">
                  <a16:creationId xmlns:a16="http://schemas.microsoft.com/office/drawing/2014/main" id="{00000000-0008-0000-0100-0000D4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37</xdr:row>
          <xdr:rowOff>22860</xdr:rowOff>
        </xdr:from>
        <xdr:to>
          <xdr:col>11</xdr:col>
          <xdr:colOff>784860</xdr:colOff>
          <xdr:row>37</xdr:row>
          <xdr:rowOff>251460</xdr:rowOff>
        </xdr:to>
        <xdr:sp macro="" textlink="">
          <xdr:nvSpPr>
            <xdr:cNvPr id="199381" name="Spinner 725" hidden="1">
              <a:extLst>
                <a:ext uri="{63B3BB69-23CF-44E3-9099-C40C66FF867C}">
                  <a14:compatExt spid="_x0000_s199381"/>
                </a:ext>
                <a:ext uri="{FF2B5EF4-FFF2-40B4-BE49-F238E27FC236}">
                  <a16:creationId xmlns:a16="http://schemas.microsoft.com/office/drawing/2014/main" id="{00000000-0008-0000-0100-0000D5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37</xdr:row>
          <xdr:rowOff>22860</xdr:rowOff>
        </xdr:from>
        <xdr:to>
          <xdr:col>11</xdr:col>
          <xdr:colOff>784860</xdr:colOff>
          <xdr:row>37</xdr:row>
          <xdr:rowOff>251460</xdr:rowOff>
        </xdr:to>
        <xdr:sp macro="" textlink="">
          <xdr:nvSpPr>
            <xdr:cNvPr id="199382" name="Spinner 726" hidden="1">
              <a:extLst>
                <a:ext uri="{63B3BB69-23CF-44E3-9099-C40C66FF867C}">
                  <a14:compatExt spid="_x0000_s199382"/>
                </a:ext>
                <a:ext uri="{FF2B5EF4-FFF2-40B4-BE49-F238E27FC236}">
                  <a16:creationId xmlns:a16="http://schemas.microsoft.com/office/drawing/2014/main" id="{00000000-0008-0000-0100-0000D6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37</xdr:row>
          <xdr:rowOff>22860</xdr:rowOff>
        </xdr:from>
        <xdr:to>
          <xdr:col>11</xdr:col>
          <xdr:colOff>784860</xdr:colOff>
          <xdr:row>37</xdr:row>
          <xdr:rowOff>251460</xdr:rowOff>
        </xdr:to>
        <xdr:sp macro="" textlink="">
          <xdr:nvSpPr>
            <xdr:cNvPr id="199383" name="Spinner 727" hidden="1">
              <a:extLst>
                <a:ext uri="{63B3BB69-23CF-44E3-9099-C40C66FF867C}">
                  <a14:compatExt spid="_x0000_s199383"/>
                </a:ext>
                <a:ext uri="{FF2B5EF4-FFF2-40B4-BE49-F238E27FC236}">
                  <a16:creationId xmlns:a16="http://schemas.microsoft.com/office/drawing/2014/main" id="{00000000-0008-0000-0100-0000D7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37</xdr:row>
          <xdr:rowOff>22860</xdr:rowOff>
        </xdr:from>
        <xdr:to>
          <xdr:col>11</xdr:col>
          <xdr:colOff>784860</xdr:colOff>
          <xdr:row>37</xdr:row>
          <xdr:rowOff>251460</xdr:rowOff>
        </xdr:to>
        <xdr:sp macro="" textlink="">
          <xdr:nvSpPr>
            <xdr:cNvPr id="199384" name="Spinner 728" hidden="1">
              <a:extLst>
                <a:ext uri="{63B3BB69-23CF-44E3-9099-C40C66FF867C}">
                  <a14:compatExt spid="_x0000_s199384"/>
                </a:ext>
                <a:ext uri="{FF2B5EF4-FFF2-40B4-BE49-F238E27FC236}">
                  <a16:creationId xmlns:a16="http://schemas.microsoft.com/office/drawing/2014/main" id="{00000000-0008-0000-0100-0000D8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38</xdr:row>
          <xdr:rowOff>22860</xdr:rowOff>
        </xdr:from>
        <xdr:to>
          <xdr:col>11</xdr:col>
          <xdr:colOff>784860</xdr:colOff>
          <xdr:row>38</xdr:row>
          <xdr:rowOff>251460</xdr:rowOff>
        </xdr:to>
        <xdr:sp macro="" textlink="">
          <xdr:nvSpPr>
            <xdr:cNvPr id="199385" name="Spinner 729" hidden="1">
              <a:extLst>
                <a:ext uri="{63B3BB69-23CF-44E3-9099-C40C66FF867C}">
                  <a14:compatExt spid="_x0000_s199385"/>
                </a:ext>
                <a:ext uri="{FF2B5EF4-FFF2-40B4-BE49-F238E27FC236}">
                  <a16:creationId xmlns:a16="http://schemas.microsoft.com/office/drawing/2014/main" id="{00000000-0008-0000-0100-0000D9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38</xdr:row>
          <xdr:rowOff>22860</xdr:rowOff>
        </xdr:from>
        <xdr:to>
          <xdr:col>11</xdr:col>
          <xdr:colOff>784860</xdr:colOff>
          <xdr:row>38</xdr:row>
          <xdr:rowOff>251460</xdr:rowOff>
        </xdr:to>
        <xdr:sp macro="" textlink="">
          <xdr:nvSpPr>
            <xdr:cNvPr id="199386" name="Spinner 730" hidden="1">
              <a:extLst>
                <a:ext uri="{63B3BB69-23CF-44E3-9099-C40C66FF867C}">
                  <a14:compatExt spid="_x0000_s199386"/>
                </a:ext>
                <a:ext uri="{FF2B5EF4-FFF2-40B4-BE49-F238E27FC236}">
                  <a16:creationId xmlns:a16="http://schemas.microsoft.com/office/drawing/2014/main" id="{00000000-0008-0000-0100-0000DA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38</xdr:row>
          <xdr:rowOff>22860</xdr:rowOff>
        </xdr:from>
        <xdr:to>
          <xdr:col>11</xdr:col>
          <xdr:colOff>784860</xdr:colOff>
          <xdr:row>38</xdr:row>
          <xdr:rowOff>251460</xdr:rowOff>
        </xdr:to>
        <xdr:sp macro="" textlink="">
          <xdr:nvSpPr>
            <xdr:cNvPr id="199387" name="Spinner 731" hidden="1">
              <a:extLst>
                <a:ext uri="{63B3BB69-23CF-44E3-9099-C40C66FF867C}">
                  <a14:compatExt spid="_x0000_s199387"/>
                </a:ext>
                <a:ext uri="{FF2B5EF4-FFF2-40B4-BE49-F238E27FC236}">
                  <a16:creationId xmlns:a16="http://schemas.microsoft.com/office/drawing/2014/main" id="{00000000-0008-0000-0100-0000DB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38</xdr:row>
          <xdr:rowOff>7620</xdr:rowOff>
        </xdr:from>
        <xdr:to>
          <xdr:col>10</xdr:col>
          <xdr:colOff>1295400</xdr:colOff>
          <xdr:row>38</xdr:row>
          <xdr:rowOff>236220</xdr:rowOff>
        </xdr:to>
        <xdr:sp macro="" textlink="">
          <xdr:nvSpPr>
            <xdr:cNvPr id="199388" name="Spinner 732" hidden="1">
              <a:extLst>
                <a:ext uri="{63B3BB69-23CF-44E3-9099-C40C66FF867C}">
                  <a14:compatExt spid="_x0000_s199388"/>
                </a:ext>
                <a:ext uri="{FF2B5EF4-FFF2-40B4-BE49-F238E27FC236}">
                  <a16:creationId xmlns:a16="http://schemas.microsoft.com/office/drawing/2014/main" id="{00000000-0008-0000-0100-0000DC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38</xdr:row>
          <xdr:rowOff>7620</xdr:rowOff>
        </xdr:from>
        <xdr:to>
          <xdr:col>10</xdr:col>
          <xdr:colOff>1295400</xdr:colOff>
          <xdr:row>38</xdr:row>
          <xdr:rowOff>236220</xdr:rowOff>
        </xdr:to>
        <xdr:sp macro="" textlink="">
          <xdr:nvSpPr>
            <xdr:cNvPr id="199389" name="Spinner 733" hidden="1">
              <a:extLst>
                <a:ext uri="{63B3BB69-23CF-44E3-9099-C40C66FF867C}">
                  <a14:compatExt spid="_x0000_s199389"/>
                </a:ext>
                <a:ext uri="{FF2B5EF4-FFF2-40B4-BE49-F238E27FC236}">
                  <a16:creationId xmlns:a16="http://schemas.microsoft.com/office/drawing/2014/main" id="{00000000-0008-0000-0100-0000DD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38</xdr:row>
          <xdr:rowOff>7620</xdr:rowOff>
        </xdr:from>
        <xdr:to>
          <xdr:col>10</xdr:col>
          <xdr:colOff>1295400</xdr:colOff>
          <xdr:row>38</xdr:row>
          <xdr:rowOff>236220</xdr:rowOff>
        </xdr:to>
        <xdr:sp macro="" textlink="">
          <xdr:nvSpPr>
            <xdr:cNvPr id="199390" name="Spinner 734" hidden="1">
              <a:extLst>
                <a:ext uri="{63B3BB69-23CF-44E3-9099-C40C66FF867C}">
                  <a14:compatExt spid="_x0000_s199390"/>
                </a:ext>
                <a:ext uri="{FF2B5EF4-FFF2-40B4-BE49-F238E27FC236}">
                  <a16:creationId xmlns:a16="http://schemas.microsoft.com/office/drawing/2014/main" id="{00000000-0008-0000-0100-0000DE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38</xdr:row>
          <xdr:rowOff>22860</xdr:rowOff>
        </xdr:from>
        <xdr:to>
          <xdr:col>11</xdr:col>
          <xdr:colOff>784860</xdr:colOff>
          <xdr:row>38</xdr:row>
          <xdr:rowOff>251460</xdr:rowOff>
        </xdr:to>
        <xdr:sp macro="" textlink="">
          <xdr:nvSpPr>
            <xdr:cNvPr id="199391" name="Spinner 735" hidden="1">
              <a:extLst>
                <a:ext uri="{63B3BB69-23CF-44E3-9099-C40C66FF867C}">
                  <a14:compatExt spid="_x0000_s199391"/>
                </a:ext>
                <a:ext uri="{FF2B5EF4-FFF2-40B4-BE49-F238E27FC236}">
                  <a16:creationId xmlns:a16="http://schemas.microsoft.com/office/drawing/2014/main" id="{00000000-0008-0000-0100-0000DF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38</xdr:row>
          <xdr:rowOff>7620</xdr:rowOff>
        </xdr:from>
        <xdr:to>
          <xdr:col>10</xdr:col>
          <xdr:colOff>1295400</xdr:colOff>
          <xdr:row>38</xdr:row>
          <xdr:rowOff>236220</xdr:rowOff>
        </xdr:to>
        <xdr:sp macro="" textlink="">
          <xdr:nvSpPr>
            <xdr:cNvPr id="199392" name="Spinner 736" hidden="1">
              <a:extLst>
                <a:ext uri="{63B3BB69-23CF-44E3-9099-C40C66FF867C}">
                  <a14:compatExt spid="_x0000_s199392"/>
                </a:ext>
                <a:ext uri="{FF2B5EF4-FFF2-40B4-BE49-F238E27FC236}">
                  <a16:creationId xmlns:a16="http://schemas.microsoft.com/office/drawing/2014/main" id="{00000000-0008-0000-0100-0000E0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38</xdr:row>
          <xdr:rowOff>7620</xdr:rowOff>
        </xdr:from>
        <xdr:to>
          <xdr:col>10</xdr:col>
          <xdr:colOff>1295400</xdr:colOff>
          <xdr:row>38</xdr:row>
          <xdr:rowOff>236220</xdr:rowOff>
        </xdr:to>
        <xdr:sp macro="" textlink="">
          <xdr:nvSpPr>
            <xdr:cNvPr id="199393" name="Spinner 737" hidden="1">
              <a:extLst>
                <a:ext uri="{63B3BB69-23CF-44E3-9099-C40C66FF867C}">
                  <a14:compatExt spid="_x0000_s199393"/>
                </a:ext>
                <a:ext uri="{FF2B5EF4-FFF2-40B4-BE49-F238E27FC236}">
                  <a16:creationId xmlns:a16="http://schemas.microsoft.com/office/drawing/2014/main" id="{00000000-0008-0000-0100-0000E1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38</xdr:row>
          <xdr:rowOff>22860</xdr:rowOff>
        </xdr:from>
        <xdr:to>
          <xdr:col>11</xdr:col>
          <xdr:colOff>784860</xdr:colOff>
          <xdr:row>38</xdr:row>
          <xdr:rowOff>251460</xdr:rowOff>
        </xdr:to>
        <xdr:sp macro="" textlink="">
          <xdr:nvSpPr>
            <xdr:cNvPr id="199394" name="Spinner 738" hidden="1">
              <a:extLst>
                <a:ext uri="{63B3BB69-23CF-44E3-9099-C40C66FF867C}">
                  <a14:compatExt spid="_x0000_s199394"/>
                </a:ext>
                <a:ext uri="{FF2B5EF4-FFF2-40B4-BE49-F238E27FC236}">
                  <a16:creationId xmlns:a16="http://schemas.microsoft.com/office/drawing/2014/main" id="{00000000-0008-0000-0100-0000E2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38</xdr:row>
          <xdr:rowOff>22860</xdr:rowOff>
        </xdr:from>
        <xdr:to>
          <xdr:col>11</xdr:col>
          <xdr:colOff>784860</xdr:colOff>
          <xdr:row>38</xdr:row>
          <xdr:rowOff>251460</xdr:rowOff>
        </xdr:to>
        <xdr:sp macro="" textlink="">
          <xdr:nvSpPr>
            <xdr:cNvPr id="199395" name="Spinner 739" hidden="1">
              <a:extLst>
                <a:ext uri="{63B3BB69-23CF-44E3-9099-C40C66FF867C}">
                  <a14:compatExt spid="_x0000_s199395"/>
                </a:ext>
                <a:ext uri="{FF2B5EF4-FFF2-40B4-BE49-F238E27FC236}">
                  <a16:creationId xmlns:a16="http://schemas.microsoft.com/office/drawing/2014/main" id="{00000000-0008-0000-0100-0000E3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38</xdr:row>
          <xdr:rowOff>22860</xdr:rowOff>
        </xdr:from>
        <xdr:to>
          <xdr:col>11</xdr:col>
          <xdr:colOff>784860</xdr:colOff>
          <xdr:row>38</xdr:row>
          <xdr:rowOff>251460</xdr:rowOff>
        </xdr:to>
        <xdr:sp macro="" textlink="">
          <xdr:nvSpPr>
            <xdr:cNvPr id="199396" name="Spinner 740" hidden="1">
              <a:extLst>
                <a:ext uri="{63B3BB69-23CF-44E3-9099-C40C66FF867C}">
                  <a14:compatExt spid="_x0000_s199396"/>
                </a:ext>
                <a:ext uri="{FF2B5EF4-FFF2-40B4-BE49-F238E27FC236}">
                  <a16:creationId xmlns:a16="http://schemas.microsoft.com/office/drawing/2014/main" id="{00000000-0008-0000-0100-0000E4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38</xdr:row>
          <xdr:rowOff>22860</xdr:rowOff>
        </xdr:from>
        <xdr:to>
          <xdr:col>11</xdr:col>
          <xdr:colOff>784860</xdr:colOff>
          <xdr:row>38</xdr:row>
          <xdr:rowOff>251460</xdr:rowOff>
        </xdr:to>
        <xdr:sp macro="" textlink="">
          <xdr:nvSpPr>
            <xdr:cNvPr id="199397" name="Spinner 741" hidden="1">
              <a:extLst>
                <a:ext uri="{63B3BB69-23CF-44E3-9099-C40C66FF867C}">
                  <a14:compatExt spid="_x0000_s199397"/>
                </a:ext>
                <a:ext uri="{FF2B5EF4-FFF2-40B4-BE49-F238E27FC236}">
                  <a16:creationId xmlns:a16="http://schemas.microsoft.com/office/drawing/2014/main" id="{00000000-0008-0000-0100-0000E5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38</xdr:row>
          <xdr:rowOff>22860</xdr:rowOff>
        </xdr:from>
        <xdr:to>
          <xdr:col>11</xdr:col>
          <xdr:colOff>784860</xdr:colOff>
          <xdr:row>38</xdr:row>
          <xdr:rowOff>251460</xdr:rowOff>
        </xdr:to>
        <xdr:sp macro="" textlink="">
          <xdr:nvSpPr>
            <xdr:cNvPr id="199398" name="Spinner 742" hidden="1">
              <a:extLst>
                <a:ext uri="{63B3BB69-23CF-44E3-9099-C40C66FF867C}">
                  <a14:compatExt spid="_x0000_s199398"/>
                </a:ext>
                <a:ext uri="{FF2B5EF4-FFF2-40B4-BE49-F238E27FC236}">
                  <a16:creationId xmlns:a16="http://schemas.microsoft.com/office/drawing/2014/main" id="{00000000-0008-0000-0100-0000E6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38</xdr:row>
          <xdr:rowOff>22860</xdr:rowOff>
        </xdr:from>
        <xdr:to>
          <xdr:col>11</xdr:col>
          <xdr:colOff>784860</xdr:colOff>
          <xdr:row>38</xdr:row>
          <xdr:rowOff>251460</xdr:rowOff>
        </xdr:to>
        <xdr:sp macro="" textlink="">
          <xdr:nvSpPr>
            <xdr:cNvPr id="199399" name="Spinner 743" hidden="1">
              <a:extLst>
                <a:ext uri="{63B3BB69-23CF-44E3-9099-C40C66FF867C}">
                  <a14:compatExt spid="_x0000_s199399"/>
                </a:ext>
                <a:ext uri="{FF2B5EF4-FFF2-40B4-BE49-F238E27FC236}">
                  <a16:creationId xmlns:a16="http://schemas.microsoft.com/office/drawing/2014/main" id="{00000000-0008-0000-0100-0000E7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38</xdr:row>
          <xdr:rowOff>22860</xdr:rowOff>
        </xdr:from>
        <xdr:to>
          <xdr:col>11</xdr:col>
          <xdr:colOff>784860</xdr:colOff>
          <xdr:row>38</xdr:row>
          <xdr:rowOff>251460</xdr:rowOff>
        </xdr:to>
        <xdr:sp macro="" textlink="">
          <xdr:nvSpPr>
            <xdr:cNvPr id="199400" name="Spinner 744" hidden="1">
              <a:extLst>
                <a:ext uri="{63B3BB69-23CF-44E3-9099-C40C66FF867C}">
                  <a14:compatExt spid="_x0000_s199400"/>
                </a:ext>
                <a:ext uri="{FF2B5EF4-FFF2-40B4-BE49-F238E27FC236}">
                  <a16:creationId xmlns:a16="http://schemas.microsoft.com/office/drawing/2014/main" id="{00000000-0008-0000-0100-0000E8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38</xdr:row>
          <xdr:rowOff>22860</xdr:rowOff>
        </xdr:from>
        <xdr:to>
          <xdr:col>11</xdr:col>
          <xdr:colOff>784860</xdr:colOff>
          <xdr:row>38</xdr:row>
          <xdr:rowOff>251460</xdr:rowOff>
        </xdr:to>
        <xdr:sp macro="" textlink="">
          <xdr:nvSpPr>
            <xdr:cNvPr id="199401" name="Spinner 745" hidden="1">
              <a:extLst>
                <a:ext uri="{63B3BB69-23CF-44E3-9099-C40C66FF867C}">
                  <a14:compatExt spid="_x0000_s199401"/>
                </a:ext>
                <a:ext uri="{FF2B5EF4-FFF2-40B4-BE49-F238E27FC236}">
                  <a16:creationId xmlns:a16="http://schemas.microsoft.com/office/drawing/2014/main" id="{00000000-0008-0000-0100-0000E9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38</xdr:row>
          <xdr:rowOff>22860</xdr:rowOff>
        </xdr:from>
        <xdr:to>
          <xdr:col>11</xdr:col>
          <xdr:colOff>784860</xdr:colOff>
          <xdr:row>38</xdr:row>
          <xdr:rowOff>251460</xdr:rowOff>
        </xdr:to>
        <xdr:sp macro="" textlink="">
          <xdr:nvSpPr>
            <xdr:cNvPr id="199402" name="Spinner 746" hidden="1">
              <a:extLst>
                <a:ext uri="{63B3BB69-23CF-44E3-9099-C40C66FF867C}">
                  <a14:compatExt spid="_x0000_s199402"/>
                </a:ext>
                <a:ext uri="{FF2B5EF4-FFF2-40B4-BE49-F238E27FC236}">
                  <a16:creationId xmlns:a16="http://schemas.microsoft.com/office/drawing/2014/main" id="{00000000-0008-0000-0100-0000EA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38</xdr:row>
          <xdr:rowOff>22860</xdr:rowOff>
        </xdr:from>
        <xdr:to>
          <xdr:col>11</xdr:col>
          <xdr:colOff>784860</xdr:colOff>
          <xdr:row>38</xdr:row>
          <xdr:rowOff>251460</xdr:rowOff>
        </xdr:to>
        <xdr:sp macro="" textlink="">
          <xdr:nvSpPr>
            <xdr:cNvPr id="199403" name="Spinner 747" hidden="1">
              <a:extLst>
                <a:ext uri="{63B3BB69-23CF-44E3-9099-C40C66FF867C}">
                  <a14:compatExt spid="_x0000_s199403"/>
                </a:ext>
                <a:ext uri="{FF2B5EF4-FFF2-40B4-BE49-F238E27FC236}">
                  <a16:creationId xmlns:a16="http://schemas.microsoft.com/office/drawing/2014/main" id="{00000000-0008-0000-0100-0000EB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38</xdr:row>
          <xdr:rowOff>22860</xdr:rowOff>
        </xdr:from>
        <xdr:to>
          <xdr:col>11</xdr:col>
          <xdr:colOff>784860</xdr:colOff>
          <xdr:row>38</xdr:row>
          <xdr:rowOff>251460</xdr:rowOff>
        </xdr:to>
        <xdr:sp macro="" textlink="">
          <xdr:nvSpPr>
            <xdr:cNvPr id="199404" name="Spinner 748" hidden="1">
              <a:extLst>
                <a:ext uri="{63B3BB69-23CF-44E3-9099-C40C66FF867C}">
                  <a14:compatExt spid="_x0000_s199404"/>
                </a:ext>
                <a:ext uri="{FF2B5EF4-FFF2-40B4-BE49-F238E27FC236}">
                  <a16:creationId xmlns:a16="http://schemas.microsoft.com/office/drawing/2014/main" id="{00000000-0008-0000-0100-0000EC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38</xdr:row>
          <xdr:rowOff>22860</xdr:rowOff>
        </xdr:from>
        <xdr:to>
          <xdr:col>11</xdr:col>
          <xdr:colOff>784860</xdr:colOff>
          <xdr:row>38</xdr:row>
          <xdr:rowOff>251460</xdr:rowOff>
        </xdr:to>
        <xdr:sp macro="" textlink="">
          <xdr:nvSpPr>
            <xdr:cNvPr id="199405" name="Spinner 749" hidden="1">
              <a:extLst>
                <a:ext uri="{63B3BB69-23CF-44E3-9099-C40C66FF867C}">
                  <a14:compatExt spid="_x0000_s199405"/>
                </a:ext>
                <a:ext uri="{FF2B5EF4-FFF2-40B4-BE49-F238E27FC236}">
                  <a16:creationId xmlns:a16="http://schemas.microsoft.com/office/drawing/2014/main" id="{00000000-0008-0000-0100-0000ED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38</xdr:row>
          <xdr:rowOff>22860</xdr:rowOff>
        </xdr:from>
        <xdr:to>
          <xdr:col>11</xdr:col>
          <xdr:colOff>784860</xdr:colOff>
          <xdr:row>38</xdr:row>
          <xdr:rowOff>251460</xdr:rowOff>
        </xdr:to>
        <xdr:sp macro="" textlink="">
          <xdr:nvSpPr>
            <xdr:cNvPr id="199406" name="Spinner 750" hidden="1">
              <a:extLst>
                <a:ext uri="{63B3BB69-23CF-44E3-9099-C40C66FF867C}">
                  <a14:compatExt spid="_x0000_s199406"/>
                </a:ext>
                <a:ext uri="{FF2B5EF4-FFF2-40B4-BE49-F238E27FC236}">
                  <a16:creationId xmlns:a16="http://schemas.microsoft.com/office/drawing/2014/main" id="{00000000-0008-0000-0100-0000EE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38</xdr:row>
          <xdr:rowOff>22860</xdr:rowOff>
        </xdr:from>
        <xdr:to>
          <xdr:col>11</xdr:col>
          <xdr:colOff>784860</xdr:colOff>
          <xdr:row>38</xdr:row>
          <xdr:rowOff>251460</xdr:rowOff>
        </xdr:to>
        <xdr:sp macro="" textlink="">
          <xdr:nvSpPr>
            <xdr:cNvPr id="199407" name="Spinner 751" hidden="1">
              <a:extLst>
                <a:ext uri="{63B3BB69-23CF-44E3-9099-C40C66FF867C}">
                  <a14:compatExt spid="_x0000_s199407"/>
                </a:ext>
                <a:ext uri="{FF2B5EF4-FFF2-40B4-BE49-F238E27FC236}">
                  <a16:creationId xmlns:a16="http://schemas.microsoft.com/office/drawing/2014/main" id="{00000000-0008-0000-0100-0000EF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38</xdr:row>
          <xdr:rowOff>22860</xdr:rowOff>
        </xdr:from>
        <xdr:to>
          <xdr:col>11</xdr:col>
          <xdr:colOff>784860</xdr:colOff>
          <xdr:row>38</xdr:row>
          <xdr:rowOff>251460</xdr:rowOff>
        </xdr:to>
        <xdr:sp macro="" textlink="">
          <xdr:nvSpPr>
            <xdr:cNvPr id="199408" name="Spinner 752" hidden="1">
              <a:extLst>
                <a:ext uri="{63B3BB69-23CF-44E3-9099-C40C66FF867C}">
                  <a14:compatExt spid="_x0000_s199408"/>
                </a:ext>
                <a:ext uri="{FF2B5EF4-FFF2-40B4-BE49-F238E27FC236}">
                  <a16:creationId xmlns:a16="http://schemas.microsoft.com/office/drawing/2014/main" id="{00000000-0008-0000-0100-0000F0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38</xdr:row>
          <xdr:rowOff>22860</xdr:rowOff>
        </xdr:from>
        <xdr:to>
          <xdr:col>11</xdr:col>
          <xdr:colOff>784860</xdr:colOff>
          <xdr:row>38</xdr:row>
          <xdr:rowOff>251460</xdr:rowOff>
        </xdr:to>
        <xdr:sp macro="" textlink="">
          <xdr:nvSpPr>
            <xdr:cNvPr id="199409" name="Spinner 753" hidden="1">
              <a:extLst>
                <a:ext uri="{63B3BB69-23CF-44E3-9099-C40C66FF867C}">
                  <a14:compatExt spid="_x0000_s199409"/>
                </a:ext>
                <a:ext uri="{FF2B5EF4-FFF2-40B4-BE49-F238E27FC236}">
                  <a16:creationId xmlns:a16="http://schemas.microsoft.com/office/drawing/2014/main" id="{00000000-0008-0000-0100-0000F1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38</xdr:row>
          <xdr:rowOff>22860</xdr:rowOff>
        </xdr:from>
        <xdr:to>
          <xdr:col>11</xdr:col>
          <xdr:colOff>784860</xdr:colOff>
          <xdr:row>38</xdr:row>
          <xdr:rowOff>251460</xdr:rowOff>
        </xdr:to>
        <xdr:sp macro="" textlink="">
          <xdr:nvSpPr>
            <xdr:cNvPr id="199410" name="Spinner 754" hidden="1">
              <a:extLst>
                <a:ext uri="{63B3BB69-23CF-44E3-9099-C40C66FF867C}">
                  <a14:compatExt spid="_x0000_s199410"/>
                </a:ext>
                <a:ext uri="{FF2B5EF4-FFF2-40B4-BE49-F238E27FC236}">
                  <a16:creationId xmlns:a16="http://schemas.microsoft.com/office/drawing/2014/main" id="{00000000-0008-0000-0100-0000F2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38</xdr:row>
          <xdr:rowOff>22860</xdr:rowOff>
        </xdr:from>
        <xdr:to>
          <xdr:col>11</xdr:col>
          <xdr:colOff>784860</xdr:colOff>
          <xdr:row>38</xdr:row>
          <xdr:rowOff>251460</xdr:rowOff>
        </xdr:to>
        <xdr:sp macro="" textlink="">
          <xdr:nvSpPr>
            <xdr:cNvPr id="199411" name="Spinner 755" hidden="1">
              <a:extLst>
                <a:ext uri="{63B3BB69-23CF-44E3-9099-C40C66FF867C}">
                  <a14:compatExt spid="_x0000_s199411"/>
                </a:ext>
                <a:ext uri="{FF2B5EF4-FFF2-40B4-BE49-F238E27FC236}">
                  <a16:creationId xmlns:a16="http://schemas.microsoft.com/office/drawing/2014/main" id="{00000000-0008-0000-0100-0000F3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38</xdr:row>
          <xdr:rowOff>22860</xdr:rowOff>
        </xdr:from>
        <xdr:to>
          <xdr:col>11</xdr:col>
          <xdr:colOff>784860</xdr:colOff>
          <xdr:row>38</xdr:row>
          <xdr:rowOff>251460</xdr:rowOff>
        </xdr:to>
        <xdr:sp macro="" textlink="">
          <xdr:nvSpPr>
            <xdr:cNvPr id="199412" name="Spinner 756" hidden="1">
              <a:extLst>
                <a:ext uri="{63B3BB69-23CF-44E3-9099-C40C66FF867C}">
                  <a14:compatExt spid="_x0000_s199412"/>
                </a:ext>
                <a:ext uri="{FF2B5EF4-FFF2-40B4-BE49-F238E27FC236}">
                  <a16:creationId xmlns:a16="http://schemas.microsoft.com/office/drawing/2014/main" id="{00000000-0008-0000-0100-0000F4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38</xdr:row>
          <xdr:rowOff>22860</xdr:rowOff>
        </xdr:from>
        <xdr:to>
          <xdr:col>11</xdr:col>
          <xdr:colOff>784860</xdr:colOff>
          <xdr:row>38</xdr:row>
          <xdr:rowOff>251460</xdr:rowOff>
        </xdr:to>
        <xdr:sp macro="" textlink="">
          <xdr:nvSpPr>
            <xdr:cNvPr id="199413" name="Spinner 757" hidden="1">
              <a:extLst>
                <a:ext uri="{63B3BB69-23CF-44E3-9099-C40C66FF867C}">
                  <a14:compatExt spid="_x0000_s199413"/>
                </a:ext>
                <a:ext uri="{FF2B5EF4-FFF2-40B4-BE49-F238E27FC236}">
                  <a16:creationId xmlns:a16="http://schemas.microsoft.com/office/drawing/2014/main" id="{00000000-0008-0000-0100-0000F5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38</xdr:row>
          <xdr:rowOff>22860</xdr:rowOff>
        </xdr:from>
        <xdr:to>
          <xdr:col>11</xdr:col>
          <xdr:colOff>784860</xdr:colOff>
          <xdr:row>38</xdr:row>
          <xdr:rowOff>251460</xdr:rowOff>
        </xdr:to>
        <xdr:sp macro="" textlink="">
          <xdr:nvSpPr>
            <xdr:cNvPr id="199414" name="Spinner 758" hidden="1">
              <a:extLst>
                <a:ext uri="{63B3BB69-23CF-44E3-9099-C40C66FF867C}">
                  <a14:compatExt spid="_x0000_s199414"/>
                </a:ext>
                <a:ext uri="{FF2B5EF4-FFF2-40B4-BE49-F238E27FC236}">
                  <a16:creationId xmlns:a16="http://schemas.microsoft.com/office/drawing/2014/main" id="{00000000-0008-0000-0100-0000F6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38</xdr:row>
          <xdr:rowOff>22860</xdr:rowOff>
        </xdr:from>
        <xdr:to>
          <xdr:col>11</xdr:col>
          <xdr:colOff>784860</xdr:colOff>
          <xdr:row>38</xdr:row>
          <xdr:rowOff>251460</xdr:rowOff>
        </xdr:to>
        <xdr:sp macro="" textlink="">
          <xdr:nvSpPr>
            <xdr:cNvPr id="199415" name="Spinner 759" hidden="1">
              <a:extLst>
                <a:ext uri="{63B3BB69-23CF-44E3-9099-C40C66FF867C}">
                  <a14:compatExt spid="_x0000_s199415"/>
                </a:ext>
                <a:ext uri="{FF2B5EF4-FFF2-40B4-BE49-F238E27FC236}">
                  <a16:creationId xmlns:a16="http://schemas.microsoft.com/office/drawing/2014/main" id="{00000000-0008-0000-0100-0000F7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38</xdr:row>
          <xdr:rowOff>22860</xdr:rowOff>
        </xdr:from>
        <xdr:to>
          <xdr:col>11</xdr:col>
          <xdr:colOff>784860</xdr:colOff>
          <xdr:row>38</xdr:row>
          <xdr:rowOff>251460</xdr:rowOff>
        </xdr:to>
        <xdr:sp macro="" textlink="">
          <xdr:nvSpPr>
            <xdr:cNvPr id="199416" name="Spinner 760" hidden="1">
              <a:extLst>
                <a:ext uri="{63B3BB69-23CF-44E3-9099-C40C66FF867C}">
                  <a14:compatExt spid="_x0000_s199416"/>
                </a:ext>
                <a:ext uri="{FF2B5EF4-FFF2-40B4-BE49-F238E27FC236}">
                  <a16:creationId xmlns:a16="http://schemas.microsoft.com/office/drawing/2014/main" id="{00000000-0008-0000-0100-0000F8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38</xdr:row>
          <xdr:rowOff>22860</xdr:rowOff>
        </xdr:from>
        <xdr:to>
          <xdr:col>11</xdr:col>
          <xdr:colOff>784860</xdr:colOff>
          <xdr:row>38</xdr:row>
          <xdr:rowOff>251460</xdr:rowOff>
        </xdr:to>
        <xdr:sp macro="" textlink="">
          <xdr:nvSpPr>
            <xdr:cNvPr id="199417" name="Spinner 761" hidden="1">
              <a:extLst>
                <a:ext uri="{63B3BB69-23CF-44E3-9099-C40C66FF867C}">
                  <a14:compatExt spid="_x0000_s199417"/>
                </a:ext>
                <a:ext uri="{FF2B5EF4-FFF2-40B4-BE49-F238E27FC236}">
                  <a16:creationId xmlns:a16="http://schemas.microsoft.com/office/drawing/2014/main" id="{00000000-0008-0000-0100-0000F9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38</xdr:row>
          <xdr:rowOff>22860</xdr:rowOff>
        </xdr:from>
        <xdr:to>
          <xdr:col>11</xdr:col>
          <xdr:colOff>784860</xdr:colOff>
          <xdr:row>38</xdr:row>
          <xdr:rowOff>251460</xdr:rowOff>
        </xdr:to>
        <xdr:sp macro="" textlink="">
          <xdr:nvSpPr>
            <xdr:cNvPr id="199418" name="Spinner 762" hidden="1">
              <a:extLst>
                <a:ext uri="{63B3BB69-23CF-44E3-9099-C40C66FF867C}">
                  <a14:compatExt spid="_x0000_s199418"/>
                </a:ext>
                <a:ext uri="{FF2B5EF4-FFF2-40B4-BE49-F238E27FC236}">
                  <a16:creationId xmlns:a16="http://schemas.microsoft.com/office/drawing/2014/main" id="{00000000-0008-0000-0100-0000FA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38</xdr:row>
          <xdr:rowOff>22860</xdr:rowOff>
        </xdr:from>
        <xdr:to>
          <xdr:col>11</xdr:col>
          <xdr:colOff>784860</xdr:colOff>
          <xdr:row>38</xdr:row>
          <xdr:rowOff>251460</xdr:rowOff>
        </xdr:to>
        <xdr:sp macro="" textlink="">
          <xdr:nvSpPr>
            <xdr:cNvPr id="199419" name="Spinner 763" hidden="1">
              <a:extLst>
                <a:ext uri="{63B3BB69-23CF-44E3-9099-C40C66FF867C}">
                  <a14:compatExt spid="_x0000_s199419"/>
                </a:ext>
                <a:ext uri="{FF2B5EF4-FFF2-40B4-BE49-F238E27FC236}">
                  <a16:creationId xmlns:a16="http://schemas.microsoft.com/office/drawing/2014/main" id="{00000000-0008-0000-0100-0000FB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38</xdr:row>
          <xdr:rowOff>22860</xdr:rowOff>
        </xdr:from>
        <xdr:to>
          <xdr:col>11</xdr:col>
          <xdr:colOff>784860</xdr:colOff>
          <xdr:row>38</xdr:row>
          <xdr:rowOff>251460</xdr:rowOff>
        </xdr:to>
        <xdr:sp macro="" textlink="">
          <xdr:nvSpPr>
            <xdr:cNvPr id="199420" name="Spinner 764" hidden="1">
              <a:extLst>
                <a:ext uri="{63B3BB69-23CF-44E3-9099-C40C66FF867C}">
                  <a14:compatExt spid="_x0000_s199420"/>
                </a:ext>
                <a:ext uri="{FF2B5EF4-FFF2-40B4-BE49-F238E27FC236}">
                  <a16:creationId xmlns:a16="http://schemas.microsoft.com/office/drawing/2014/main" id="{00000000-0008-0000-0100-0000FC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38</xdr:row>
          <xdr:rowOff>22860</xdr:rowOff>
        </xdr:from>
        <xdr:to>
          <xdr:col>11</xdr:col>
          <xdr:colOff>784860</xdr:colOff>
          <xdr:row>38</xdr:row>
          <xdr:rowOff>251460</xdr:rowOff>
        </xdr:to>
        <xdr:sp macro="" textlink="">
          <xdr:nvSpPr>
            <xdr:cNvPr id="199421" name="Spinner 765" hidden="1">
              <a:extLst>
                <a:ext uri="{63B3BB69-23CF-44E3-9099-C40C66FF867C}">
                  <a14:compatExt spid="_x0000_s199421"/>
                </a:ext>
                <a:ext uri="{FF2B5EF4-FFF2-40B4-BE49-F238E27FC236}">
                  <a16:creationId xmlns:a16="http://schemas.microsoft.com/office/drawing/2014/main" id="{00000000-0008-0000-0100-0000FD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38</xdr:row>
          <xdr:rowOff>22860</xdr:rowOff>
        </xdr:from>
        <xdr:to>
          <xdr:col>11</xdr:col>
          <xdr:colOff>784860</xdr:colOff>
          <xdr:row>38</xdr:row>
          <xdr:rowOff>251460</xdr:rowOff>
        </xdr:to>
        <xdr:sp macro="" textlink="">
          <xdr:nvSpPr>
            <xdr:cNvPr id="199422" name="Spinner 766" hidden="1">
              <a:extLst>
                <a:ext uri="{63B3BB69-23CF-44E3-9099-C40C66FF867C}">
                  <a14:compatExt spid="_x0000_s199422"/>
                </a:ext>
                <a:ext uri="{FF2B5EF4-FFF2-40B4-BE49-F238E27FC236}">
                  <a16:creationId xmlns:a16="http://schemas.microsoft.com/office/drawing/2014/main" id="{00000000-0008-0000-0100-0000FE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38</xdr:row>
          <xdr:rowOff>22860</xdr:rowOff>
        </xdr:from>
        <xdr:to>
          <xdr:col>11</xdr:col>
          <xdr:colOff>784860</xdr:colOff>
          <xdr:row>38</xdr:row>
          <xdr:rowOff>251460</xdr:rowOff>
        </xdr:to>
        <xdr:sp macro="" textlink="">
          <xdr:nvSpPr>
            <xdr:cNvPr id="199423" name="Spinner 767" hidden="1">
              <a:extLst>
                <a:ext uri="{63B3BB69-23CF-44E3-9099-C40C66FF867C}">
                  <a14:compatExt spid="_x0000_s199423"/>
                </a:ext>
                <a:ext uri="{FF2B5EF4-FFF2-40B4-BE49-F238E27FC236}">
                  <a16:creationId xmlns:a16="http://schemas.microsoft.com/office/drawing/2014/main" id="{00000000-0008-0000-0100-0000FF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38</xdr:row>
          <xdr:rowOff>22860</xdr:rowOff>
        </xdr:from>
        <xdr:to>
          <xdr:col>11</xdr:col>
          <xdr:colOff>784860</xdr:colOff>
          <xdr:row>38</xdr:row>
          <xdr:rowOff>251460</xdr:rowOff>
        </xdr:to>
        <xdr:sp macro="" textlink="">
          <xdr:nvSpPr>
            <xdr:cNvPr id="199424" name="Spinner 768" hidden="1">
              <a:extLst>
                <a:ext uri="{63B3BB69-23CF-44E3-9099-C40C66FF867C}">
                  <a14:compatExt spid="_x0000_s199424"/>
                </a:ext>
                <a:ext uri="{FF2B5EF4-FFF2-40B4-BE49-F238E27FC236}">
                  <a16:creationId xmlns:a16="http://schemas.microsoft.com/office/drawing/2014/main" id="{00000000-0008-0000-0100-000000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38</xdr:row>
          <xdr:rowOff>22860</xdr:rowOff>
        </xdr:from>
        <xdr:to>
          <xdr:col>11</xdr:col>
          <xdr:colOff>784860</xdr:colOff>
          <xdr:row>38</xdr:row>
          <xdr:rowOff>251460</xdr:rowOff>
        </xdr:to>
        <xdr:sp macro="" textlink="">
          <xdr:nvSpPr>
            <xdr:cNvPr id="199425" name="Spinner 769" hidden="1">
              <a:extLst>
                <a:ext uri="{63B3BB69-23CF-44E3-9099-C40C66FF867C}">
                  <a14:compatExt spid="_x0000_s199425"/>
                </a:ext>
                <a:ext uri="{FF2B5EF4-FFF2-40B4-BE49-F238E27FC236}">
                  <a16:creationId xmlns:a16="http://schemas.microsoft.com/office/drawing/2014/main" id="{00000000-0008-0000-0100-000001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39</xdr:row>
          <xdr:rowOff>22860</xdr:rowOff>
        </xdr:from>
        <xdr:to>
          <xdr:col>11</xdr:col>
          <xdr:colOff>784860</xdr:colOff>
          <xdr:row>39</xdr:row>
          <xdr:rowOff>251460</xdr:rowOff>
        </xdr:to>
        <xdr:sp macro="" textlink="">
          <xdr:nvSpPr>
            <xdr:cNvPr id="199426" name="Spinner 770" hidden="1">
              <a:extLst>
                <a:ext uri="{63B3BB69-23CF-44E3-9099-C40C66FF867C}">
                  <a14:compatExt spid="_x0000_s199426"/>
                </a:ext>
                <a:ext uri="{FF2B5EF4-FFF2-40B4-BE49-F238E27FC236}">
                  <a16:creationId xmlns:a16="http://schemas.microsoft.com/office/drawing/2014/main" id="{00000000-0008-0000-0100-000002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39</xdr:row>
          <xdr:rowOff>22860</xdr:rowOff>
        </xdr:from>
        <xdr:to>
          <xdr:col>11</xdr:col>
          <xdr:colOff>784860</xdr:colOff>
          <xdr:row>39</xdr:row>
          <xdr:rowOff>251460</xdr:rowOff>
        </xdr:to>
        <xdr:sp macro="" textlink="">
          <xdr:nvSpPr>
            <xdr:cNvPr id="199427" name="Spinner 771" hidden="1">
              <a:extLst>
                <a:ext uri="{63B3BB69-23CF-44E3-9099-C40C66FF867C}">
                  <a14:compatExt spid="_x0000_s199427"/>
                </a:ext>
                <a:ext uri="{FF2B5EF4-FFF2-40B4-BE49-F238E27FC236}">
                  <a16:creationId xmlns:a16="http://schemas.microsoft.com/office/drawing/2014/main" id="{00000000-0008-0000-0100-000003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39</xdr:row>
          <xdr:rowOff>22860</xdr:rowOff>
        </xdr:from>
        <xdr:to>
          <xdr:col>11</xdr:col>
          <xdr:colOff>784860</xdr:colOff>
          <xdr:row>39</xdr:row>
          <xdr:rowOff>251460</xdr:rowOff>
        </xdr:to>
        <xdr:sp macro="" textlink="">
          <xdr:nvSpPr>
            <xdr:cNvPr id="199428" name="Spinner 772" hidden="1">
              <a:extLst>
                <a:ext uri="{63B3BB69-23CF-44E3-9099-C40C66FF867C}">
                  <a14:compatExt spid="_x0000_s199428"/>
                </a:ext>
                <a:ext uri="{FF2B5EF4-FFF2-40B4-BE49-F238E27FC236}">
                  <a16:creationId xmlns:a16="http://schemas.microsoft.com/office/drawing/2014/main" id="{00000000-0008-0000-0100-000004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39</xdr:row>
          <xdr:rowOff>7620</xdr:rowOff>
        </xdr:from>
        <xdr:to>
          <xdr:col>10</xdr:col>
          <xdr:colOff>1295400</xdr:colOff>
          <xdr:row>39</xdr:row>
          <xdr:rowOff>236220</xdr:rowOff>
        </xdr:to>
        <xdr:sp macro="" textlink="">
          <xdr:nvSpPr>
            <xdr:cNvPr id="199429" name="Spinner 773" hidden="1">
              <a:extLst>
                <a:ext uri="{63B3BB69-23CF-44E3-9099-C40C66FF867C}">
                  <a14:compatExt spid="_x0000_s199429"/>
                </a:ext>
                <a:ext uri="{FF2B5EF4-FFF2-40B4-BE49-F238E27FC236}">
                  <a16:creationId xmlns:a16="http://schemas.microsoft.com/office/drawing/2014/main" id="{00000000-0008-0000-0100-000005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39</xdr:row>
          <xdr:rowOff>7620</xdr:rowOff>
        </xdr:from>
        <xdr:to>
          <xdr:col>10</xdr:col>
          <xdr:colOff>1295400</xdr:colOff>
          <xdr:row>39</xdr:row>
          <xdr:rowOff>236220</xdr:rowOff>
        </xdr:to>
        <xdr:sp macro="" textlink="">
          <xdr:nvSpPr>
            <xdr:cNvPr id="199430" name="Spinner 774" hidden="1">
              <a:extLst>
                <a:ext uri="{63B3BB69-23CF-44E3-9099-C40C66FF867C}">
                  <a14:compatExt spid="_x0000_s199430"/>
                </a:ext>
                <a:ext uri="{FF2B5EF4-FFF2-40B4-BE49-F238E27FC236}">
                  <a16:creationId xmlns:a16="http://schemas.microsoft.com/office/drawing/2014/main" id="{00000000-0008-0000-0100-000006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39</xdr:row>
          <xdr:rowOff>7620</xdr:rowOff>
        </xdr:from>
        <xdr:to>
          <xdr:col>10</xdr:col>
          <xdr:colOff>1295400</xdr:colOff>
          <xdr:row>39</xdr:row>
          <xdr:rowOff>236220</xdr:rowOff>
        </xdr:to>
        <xdr:sp macro="" textlink="">
          <xdr:nvSpPr>
            <xdr:cNvPr id="199431" name="Spinner 775" hidden="1">
              <a:extLst>
                <a:ext uri="{63B3BB69-23CF-44E3-9099-C40C66FF867C}">
                  <a14:compatExt spid="_x0000_s199431"/>
                </a:ext>
                <a:ext uri="{FF2B5EF4-FFF2-40B4-BE49-F238E27FC236}">
                  <a16:creationId xmlns:a16="http://schemas.microsoft.com/office/drawing/2014/main" id="{00000000-0008-0000-0100-000007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39</xdr:row>
          <xdr:rowOff>22860</xdr:rowOff>
        </xdr:from>
        <xdr:to>
          <xdr:col>11</xdr:col>
          <xdr:colOff>784860</xdr:colOff>
          <xdr:row>39</xdr:row>
          <xdr:rowOff>251460</xdr:rowOff>
        </xdr:to>
        <xdr:sp macro="" textlink="">
          <xdr:nvSpPr>
            <xdr:cNvPr id="199432" name="Spinner 776" hidden="1">
              <a:extLst>
                <a:ext uri="{63B3BB69-23CF-44E3-9099-C40C66FF867C}">
                  <a14:compatExt spid="_x0000_s199432"/>
                </a:ext>
                <a:ext uri="{FF2B5EF4-FFF2-40B4-BE49-F238E27FC236}">
                  <a16:creationId xmlns:a16="http://schemas.microsoft.com/office/drawing/2014/main" id="{00000000-0008-0000-0100-000008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39</xdr:row>
          <xdr:rowOff>7620</xdr:rowOff>
        </xdr:from>
        <xdr:to>
          <xdr:col>10</xdr:col>
          <xdr:colOff>1295400</xdr:colOff>
          <xdr:row>39</xdr:row>
          <xdr:rowOff>236220</xdr:rowOff>
        </xdr:to>
        <xdr:sp macro="" textlink="">
          <xdr:nvSpPr>
            <xdr:cNvPr id="199433" name="Spinner 777" hidden="1">
              <a:extLst>
                <a:ext uri="{63B3BB69-23CF-44E3-9099-C40C66FF867C}">
                  <a14:compatExt spid="_x0000_s199433"/>
                </a:ext>
                <a:ext uri="{FF2B5EF4-FFF2-40B4-BE49-F238E27FC236}">
                  <a16:creationId xmlns:a16="http://schemas.microsoft.com/office/drawing/2014/main" id="{00000000-0008-0000-0100-000009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39</xdr:row>
          <xdr:rowOff>7620</xdr:rowOff>
        </xdr:from>
        <xdr:to>
          <xdr:col>10</xdr:col>
          <xdr:colOff>1295400</xdr:colOff>
          <xdr:row>39</xdr:row>
          <xdr:rowOff>236220</xdr:rowOff>
        </xdr:to>
        <xdr:sp macro="" textlink="">
          <xdr:nvSpPr>
            <xdr:cNvPr id="199434" name="Spinner 778" hidden="1">
              <a:extLst>
                <a:ext uri="{63B3BB69-23CF-44E3-9099-C40C66FF867C}">
                  <a14:compatExt spid="_x0000_s199434"/>
                </a:ext>
                <a:ext uri="{FF2B5EF4-FFF2-40B4-BE49-F238E27FC236}">
                  <a16:creationId xmlns:a16="http://schemas.microsoft.com/office/drawing/2014/main" id="{00000000-0008-0000-0100-00000A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39</xdr:row>
          <xdr:rowOff>22860</xdr:rowOff>
        </xdr:from>
        <xdr:to>
          <xdr:col>11</xdr:col>
          <xdr:colOff>784860</xdr:colOff>
          <xdr:row>39</xdr:row>
          <xdr:rowOff>251460</xdr:rowOff>
        </xdr:to>
        <xdr:sp macro="" textlink="">
          <xdr:nvSpPr>
            <xdr:cNvPr id="199435" name="Spinner 779" hidden="1">
              <a:extLst>
                <a:ext uri="{63B3BB69-23CF-44E3-9099-C40C66FF867C}">
                  <a14:compatExt spid="_x0000_s199435"/>
                </a:ext>
                <a:ext uri="{FF2B5EF4-FFF2-40B4-BE49-F238E27FC236}">
                  <a16:creationId xmlns:a16="http://schemas.microsoft.com/office/drawing/2014/main" id="{00000000-0008-0000-0100-00000B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39</xdr:row>
          <xdr:rowOff>22860</xdr:rowOff>
        </xdr:from>
        <xdr:to>
          <xdr:col>11</xdr:col>
          <xdr:colOff>784860</xdr:colOff>
          <xdr:row>39</xdr:row>
          <xdr:rowOff>251460</xdr:rowOff>
        </xdr:to>
        <xdr:sp macro="" textlink="">
          <xdr:nvSpPr>
            <xdr:cNvPr id="199436" name="Spinner 780" hidden="1">
              <a:extLst>
                <a:ext uri="{63B3BB69-23CF-44E3-9099-C40C66FF867C}">
                  <a14:compatExt spid="_x0000_s199436"/>
                </a:ext>
                <a:ext uri="{FF2B5EF4-FFF2-40B4-BE49-F238E27FC236}">
                  <a16:creationId xmlns:a16="http://schemas.microsoft.com/office/drawing/2014/main" id="{00000000-0008-0000-0100-00000C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39</xdr:row>
          <xdr:rowOff>22860</xdr:rowOff>
        </xdr:from>
        <xdr:to>
          <xdr:col>11</xdr:col>
          <xdr:colOff>784860</xdr:colOff>
          <xdr:row>39</xdr:row>
          <xdr:rowOff>251460</xdr:rowOff>
        </xdr:to>
        <xdr:sp macro="" textlink="">
          <xdr:nvSpPr>
            <xdr:cNvPr id="199437" name="Spinner 781" hidden="1">
              <a:extLst>
                <a:ext uri="{63B3BB69-23CF-44E3-9099-C40C66FF867C}">
                  <a14:compatExt spid="_x0000_s199437"/>
                </a:ext>
                <a:ext uri="{FF2B5EF4-FFF2-40B4-BE49-F238E27FC236}">
                  <a16:creationId xmlns:a16="http://schemas.microsoft.com/office/drawing/2014/main" id="{00000000-0008-0000-0100-00000D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39</xdr:row>
          <xdr:rowOff>22860</xdr:rowOff>
        </xdr:from>
        <xdr:to>
          <xdr:col>11</xdr:col>
          <xdr:colOff>784860</xdr:colOff>
          <xdr:row>39</xdr:row>
          <xdr:rowOff>251460</xdr:rowOff>
        </xdr:to>
        <xdr:sp macro="" textlink="">
          <xdr:nvSpPr>
            <xdr:cNvPr id="199438" name="Spinner 782" hidden="1">
              <a:extLst>
                <a:ext uri="{63B3BB69-23CF-44E3-9099-C40C66FF867C}">
                  <a14:compatExt spid="_x0000_s199438"/>
                </a:ext>
                <a:ext uri="{FF2B5EF4-FFF2-40B4-BE49-F238E27FC236}">
                  <a16:creationId xmlns:a16="http://schemas.microsoft.com/office/drawing/2014/main" id="{00000000-0008-0000-0100-00000E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39</xdr:row>
          <xdr:rowOff>22860</xdr:rowOff>
        </xdr:from>
        <xdr:to>
          <xdr:col>11</xdr:col>
          <xdr:colOff>784860</xdr:colOff>
          <xdr:row>39</xdr:row>
          <xdr:rowOff>251460</xdr:rowOff>
        </xdr:to>
        <xdr:sp macro="" textlink="">
          <xdr:nvSpPr>
            <xdr:cNvPr id="199439" name="Spinner 783" hidden="1">
              <a:extLst>
                <a:ext uri="{63B3BB69-23CF-44E3-9099-C40C66FF867C}">
                  <a14:compatExt spid="_x0000_s199439"/>
                </a:ext>
                <a:ext uri="{FF2B5EF4-FFF2-40B4-BE49-F238E27FC236}">
                  <a16:creationId xmlns:a16="http://schemas.microsoft.com/office/drawing/2014/main" id="{00000000-0008-0000-0100-00000F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39</xdr:row>
          <xdr:rowOff>22860</xdr:rowOff>
        </xdr:from>
        <xdr:to>
          <xdr:col>11</xdr:col>
          <xdr:colOff>784860</xdr:colOff>
          <xdr:row>39</xdr:row>
          <xdr:rowOff>251460</xdr:rowOff>
        </xdr:to>
        <xdr:sp macro="" textlink="">
          <xdr:nvSpPr>
            <xdr:cNvPr id="199440" name="Spinner 784" hidden="1">
              <a:extLst>
                <a:ext uri="{63B3BB69-23CF-44E3-9099-C40C66FF867C}">
                  <a14:compatExt spid="_x0000_s199440"/>
                </a:ext>
                <a:ext uri="{FF2B5EF4-FFF2-40B4-BE49-F238E27FC236}">
                  <a16:creationId xmlns:a16="http://schemas.microsoft.com/office/drawing/2014/main" id="{00000000-0008-0000-0100-000010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39</xdr:row>
          <xdr:rowOff>22860</xdr:rowOff>
        </xdr:from>
        <xdr:to>
          <xdr:col>11</xdr:col>
          <xdr:colOff>784860</xdr:colOff>
          <xdr:row>39</xdr:row>
          <xdr:rowOff>251460</xdr:rowOff>
        </xdr:to>
        <xdr:sp macro="" textlink="">
          <xdr:nvSpPr>
            <xdr:cNvPr id="199441" name="Spinner 785" hidden="1">
              <a:extLst>
                <a:ext uri="{63B3BB69-23CF-44E3-9099-C40C66FF867C}">
                  <a14:compatExt spid="_x0000_s199441"/>
                </a:ext>
                <a:ext uri="{FF2B5EF4-FFF2-40B4-BE49-F238E27FC236}">
                  <a16:creationId xmlns:a16="http://schemas.microsoft.com/office/drawing/2014/main" id="{00000000-0008-0000-0100-000011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39</xdr:row>
          <xdr:rowOff>22860</xdr:rowOff>
        </xdr:from>
        <xdr:to>
          <xdr:col>11</xdr:col>
          <xdr:colOff>784860</xdr:colOff>
          <xdr:row>39</xdr:row>
          <xdr:rowOff>251460</xdr:rowOff>
        </xdr:to>
        <xdr:sp macro="" textlink="">
          <xdr:nvSpPr>
            <xdr:cNvPr id="199442" name="Spinner 786" hidden="1">
              <a:extLst>
                <a:ext uri="{63B3BB69-23CF-44E3-9099-C40C66FF867C}">
                  <a14:compatExt spid="_x0000_s199442"/>
                </a:ext>
                <a:ext uri="{FF2B5EF4-FFF2-40B4-BE49-F238E27FC236}">
                  <a16:creationId xmlns:a16="http://schemas.microsoft.com/office/drawing/2014/main" id="{00000000-0008-0000-0100-000012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39</xdr:row>
          <xdr:rowOff>22860</xdr:rowOff>
        </xdr:from>
        <xdr:to>
          <xdr:col>11</xdr:col>
          <xdr:colOff>784860</xdr:colOff>
          <xdr:row>39</xdr:row>
          <xdr:rowOff>251460</xdr:rowOff>
        </xdr:to>
        <xdr:sp macro="" textlink="">
          <xdr:nvSpPr>
            <xdr:cNvPr id="199443" name="Spinner 787" hidden="1">
              <a:extLst>
                <a:ext uri="{63B3BB69-23CF-44E3-9099-C40C66FF867C}">
                  <a14:compatExt spid="_x0000_s199443"/>
                </a:ext>
                <a:ext uri="{FF2B5EF4-FFF2-40B4-BE49-F238E27FC236}">
                  <a16:creationId xmlns:a16="http://schemas.microsoft.com/office/drawing/2014/main" id="{00000000-0008-0000-0100-000013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39</xdr:row>
          <xdr:rowOff>22860</xdr:rowOff>
        </xdr:from>
        <xdr:to>
          <xdr:col>11</xdr:col>
          <xdr:colOff>784860</xdr:colOff>
          <xdr:row>39</xdr:row>
          <xdr:rowOff>251460</xdr:rowOff>
        </xdr:to>
        <xdr:sp macro="" textlink="">
          <xdr:nvSpPr>
            <xdr:cNvPr id="199444" name="Spinner 788" hidden="1">
              <a:extLst>
                <a:ext uri="{63B3BB69-23CF-44E3-9099-C40C66FF867C}">
                  <a14:compatExt spid="_x0000_s199444"/>
                </a:ext>
                <a:ext uri="{FF2B5EF4-FFF2-40B4-BE49-F238E27FC236}">
                  <a16:creationId xmlns:a16="http://schemas.microsoft.com/office/drawing/2014/main" id="{00000000-0008-0000-0100-000014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39</xdr:row>
          <xdr:rowOff>22860</xdr:rowOff>
        </xdr:from>
        <xdr:to>
          <xdr:col>11</xdr:col>
          <xdr:colOff>784860</xdr:colOff>
          <xdr:row>39</xdr:row>
          <xdr:rowOff>251460</xdr:rowOff>
        </xdr:to>
        <xdr:sp macro="" textlink="">
          <xdr:nvSpPr>
            <xdr:cNvPr id="199445" name="Spinner 789" hidden="1">
              <a:extLst>
                <a:ext uri="{63B3BB69-23CF-44E3-9099-C40C66FF867C}">
                  <a14:compatExt spid="_x0000_s199445"/>
                </a:ext>
                <a:ext uri="{FF2B5EF4-FFF2-40B4-BE49-F238E27FC236}">
                  <a16:creationId xmlns:a16="http://schemas.microsoft.com/office/drawing/2014/main" id="{00000000-0008-0000-0100-000015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39</xdr:row>
          <xdr:rowOff>22860</xdr:rowOff>
        </xdr:from>
        <xdr:to>
          <xdr:col>11</xdr:col>
          <xdr:colOff>784860</xdr:colOff>
          <xdr:row>39</xdr:row>
          <xdr:rowOff>251460</xdr:rowOff>
        </xdr:to>
        <xdr:sp macro="" textlink="">
          <xdr:nvSpPr>
            <xdr:cNvPr id="199446" name="Spinner 790" hidden="1">
              <a:extLst>
                <a:ext uri="{63B3BB69-23CF-44E3-9099-C40C66FF867C}">
                  <a14:compatExt spid="_x0000_s199446"/>
                </a:ext>
                <a:ext uri="{FF2B5EF4-FFF2-40B4-BE49-F238E27FC236}">
                  <a16:creationId xmlns:a16="http://schemas.microsoft.com/office/drawing/2014/main" id="{00000000-0008-0000-0100-000016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39</xdr:row>
          <xdr:rowOff>22860</xdr:rowOff>
        </xdr:from>
        <xdr:to>
          <xdr:col>11</xdr:col>
          <xdr:colOff>784860</xdr:colOff>
          <xdr:row>39</xdr:row>
          <xdr:rowOff>251460</xdr:rowOff>
        </xdr:to>
        <xdr:sp macro="" textlink="">
          <xdr:nvSpPr>
            <xdr:cNvPr id="199447" name="Spinner 791" hidden="1">
              <a:extLst>
                <a:ext uri="{63B3BB69-23CF-44E3-9099-C40C66FF867C}">
                  <a14:compatExt spid="_x0000_s199447"/>
                </a:ext>
                <a:ext uri="{FF2B5EF4-FFF2-40B4-BE49-F238E27FC236}">
                  <a16:creationId xmlns:a16="http://schemas.microsoft.com/office/drawing/2014/main" id="{00000000-0008-0000-0100-000017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39</xdr:row>
          <xdr:rowOff>22860</xdr:rowOff>
        </xdr:from>
        <xdr:to>
          <xdr:col>11</xdr:col>
          <xdr:colOff>784860</xdr:colOff>
          <xdr:row>39</xdr:row>
          <xdr:rowOff>251460</xdr:rowOff>
        </xdr:to>
        <xdr:sp macro="" textlink="">
          <xdr:nvSpPr>
            <xdr:cNvPr id="199448" name="Spinner 792" hidden="1">
              <a:extLst>
                <a:ext uri="{63B3BB69-23CF-44E3-9099-C40C66FF867C}">
                  <a14:compatExt spid="_x0000_s199448"/>
                </a:ext>
                <a:ext uri="{FF2B5EF4-FFF2-40B4-BE49-F238E27FC236}">
                  <a16:creationId xmlns:a16="http://schemas.microsoft.com/office/drawing/2014/main" id="{00000000-0008-0000-0100-000018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39</xdr:row>
          <xdr:rowOff>22860</xdr:rowOff>
        </xdr:from>
        <xdr:to>
          <xdr:col>11</xdr:col>
          <xdr:colOff>784860</xdr:colOff>
          <xdr:row>39</xdr:row>
          <xdr:rowOff>251460</xdr:rowOff>
        </xdr:to>
        <xdr:sp macro="" textlink="">
          <xdr:nvSpPr>
            <xdr:cNvPr id="199449" name="Spinner 793" hidden="1">
              <a:extLst>
                <a:ext uri="{63B3BB69-23CF-44E3-9099-C40C66FF867C}">
                  <a14:compatExt spid="_x0000_s199449"/>
                </a:ext>
                <a:ext uri="{FF2B5EF4-FFF2-40B4-BE49-F238E27FC236}">
                  <a16:creationId xmlns:a16="http://schemas.microsoft.com/office/drawing/2014/main" id="{00000000-0008-0000-0100-000019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39</xdr:row>
          <xdr:rowOff>22860</xdr:rowOff>
        </xdr:from>
        <xdr:to>
          <xdr:col>11</xdr:col>
          <xdr:colOff>784860</xdr:colOff>
          <xdr:row>39</xdr:row>
          <xdr:rowOff>251460</xdr:rowOff>
        </xdr:to>
        <xdr:sp macro="" textlink="">
          <xdr:nvSpPr>
            <xdr:cNvPr id="199450" name="Spinner 794" hidden="1">
              <a:extLst>
                <a:ext uri="{63B3BB69-23CF-44E3-9099-C40C66FF867C}">
                  <a14:compatExt spid="_x0000_s199450"/>
                </a:ext>
                <a:ext uri="{FF2B5EF4-FFF2-40B4-BE49-F238E27FC236}">
                  <a16:creationId xmlns:a16="http://schemas.microsoft.com/office/drawing/2014/main" id="{00000000-0008-0000-0100-00001A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39</xdr:row>
          <xdr:rowOff>22860</xdr:rowOff>
        </xdr:from>
        <xdr:to>
          <xdr:col>11</xdr:col>
          <xdr:colOff>784860</xdr:colOff>
          <xdr:row>39</xdr:row>
          <xdr:rowOff>251460</xdr:rowOff>
        </xdr:to>
        <xdr:sp macro="" textlink="">
          <xdr:nvSpPr>
            <xdr:cNvPr id="199451" name="Spinner 795" hidden="1">
              <a:extLst>
                <a:ext uri="{63B3BB69-23CF-44E3-9099-C40C66FF867C}">
                  <a14:compatExt spid="_x0000_s199451"/>
                </a:ext>
                <a:ext uri="{FF2B5EF4-FFF2-40B4-BE49-F238E27FC236}">
                  <a16:creationId xmlns:a16="http://schemas.microsoft.com/office/drawing/2014/main" id="{00000000-0008-0000-0100-00001B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39</xdr:row>
          <xdr:rowOff>22860</xdr:rowOff>
        </xdr:from>
        <xdr:to>
          <xdr:col>11</xdr:col>
          <xdr:colOff>784860</xdr:colOff>
          <xdr:row>39</xdr:row>
          <xdr:rowOff>251460</xdr:rowOff>
        </xdr:to>
        <xdr:sp macro="" textlink="">
          <xdr:nvSpPr>
            <xdr:cNvPr id="199452" name="Spinner 796" hidden="1">
              <a:extLst>
                <a:ext uri="{63B3BB69-23CF-44E3-9099-C40C66FF867C}">
                  <a14:compatExt spid="_x0000_s199452"/>
                </a:ext>
                <a:ext uri="{FF2B5EF4-FFF2-40B4-BE49-F238E27FC236}">
                  <a16:creationId xmlns:a16="http://schemas.microsoft.com/office/drawing/2014/main" id="{00000000-0008-0000-0100-00001C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39</xdr:row>
          <xdr:rowOff>22860</xdr:rowOff>
        </xdr:from>
        <xdr:to>
          <xdr:col>11</xdr:col>
          <xdr:colOff>784860</xdr:colOff>
          <xdr:row>39</xdr:row>
          <xdr:rowOff>251460</xdr:rowOff>
        </xdr:to>
        <xdr:sp macro="" textlink="">
          <xdr:nvSpPr>
            <xdr:cNvPr id="199453" name="Spinner 797" hidden="1">
              <a:extLst>
                <a:ext uri="{63B3BB69-23CF-44E3-9099-C40C66FF867C}">
                  <a14:compatExt spid="_x0000_s199453"/>
                </a:ext>
                <a:ext uri="{FF2B5EF4-FFF2-40B4-BE49-F238E27FC236}">
                  <a16:creationId xmlns:a16="http://schemas.microsoft.com/office/drawing/2014/main" id="{00000000-0008-0000-0100-00001D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39</xdr:row>
          <xdr:rowOff>22860</xdr:rowOff>
        </xdr:from>
        <xdr:to>
          <xdr:col>11</xdr:col>
          <xdr:colOff>784860</xdr:colOff>
          <xdr:row>39</xdr:row>
          <xdr:rowOff>251460</xdr:rowOff>
        </xdr:to>
        <xdr:sp macro="" textlink="">
          <xdr:nvSpPr>
            <xdr:cNvPr id="199454" name="Spinner 798" hidden="1">
              <a:extLst>
                <a:ext uri="{63B3BB69-23CF-44E3-9099-C40C66FF867C}">
                  <a14:compatExt spid="_x0000_s199454"/>
                </a:ext>
                <a:ext uri="{FF2B5EF4-FFF2-40B4-BE49-F238E27FC236}">
                  <a16:creationId xmlns:a16="http://schemas.microsoft.com/office/drawing/2014/main" id="{00000000-0008-0000-0100-00001E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39</xdr:row>
          <xdr:rowOff>22860</xdr:rowOff>
        </xdr:from>
        <xdr:to>
          <xdr:col>11</xdr:col>
          <xdr:colOff>784860</xdr:colOff>
          <xdr:row>39</xdr:row>
          <xdr:rowOff>251460</xdr:rowOff>
        </xdr:to>
        <xdr:sp macro="" textlink="">
          <xdr:nvSpPr>
            <xdr:cNvPr id="199455" name="Spinner 799" hidden="1">
              <a:extLst>
                <a:ext uri="{63B3BB69-23CF-44E3-9099-C40C66FF867C}">
                  <a14:compatExt spid="_x0000_s199455"/>
                </a:ext>
                <a:ext uri="{FF2B5EF4-FFF2-40B4-BE49-F238E27FC236}">
                  <a16:creationId xmlns:a16="http://schemas.microsoft.com/office/drawing/2014/main" id="{00000000-0008-0000-0100-00001F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39</xdr:row>
          <xdr:rowOff>22860</xdr:rowOff>
        </xdr:from>
        <xdr:to>
          <xdr:col>11</xdr:col>
          <xdr:colOff>784860</xdr:colOff>
          <xdr:row>39</xdr:row>
          <xdr:rowOff>251460</xdr:rowOff>
        </xdr:to>
        <xdr:sp macro="" textlink="">
          <xdr:nvSpPr>
            <xdr:cNvPr id="199456" name="Spinner 800" hidden="1">
              <a:extLst>
                <a:ext uri="{63B3BB69-23CF-44E3-9099-C40C66FF867C}">
                  <a14:compatExt spid="_x0000_s199456"/>
                </a:ext>
                <a:ext uri="{FF2B5EF4-FFF2-40B4-BE49-F238E27FC236}">
                  <a16:creationId xmlns:a16="http://schemas.microsoft.com/office/drawing/2014/main" id="{00000000-0008-0000-0100-000020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39</xdr:row>
          <xdr:rowOff>22860</xdr:rowOff>
        </xdr:from>
        <xdr:to>
          <xdr:col>11</xdr:col>
          <xdr:colOff>784860</xdr:colOff>
          <xdr:row>39</xdr:row>
          <xdr:rowOff>251460</xdr:rowOff>
        </xdr:to>
        <xdr:sp macro="" textlink="">
          <xdr:nvSpPr>
            <xdr:cNvPr id="199457" name="Spinner 801" hidden="1">
              <a:extLst>
                <a:ext uri="{63B3BB69-23CF-44E3-9099-C40C66FF867C}">
                  <a14:compatExt spid="_x0000_s199457"/>
                </a:ext>
                <a:ext uri="{FF2B5EF4-FFF2-40B4-BE49-F238E27FC236}">
                  <a16:creationId xmlns:a16="http://schemas.microsoft.com/office/drawing/2014/main" id="{00000000-0008-0000-0100-000021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39</xdr:row>
          <xdr:rowOff>22860</xdr:rowOff>
        </xdr:from>
        <xdr:to>
          <xdr:col>11</xdr:col>
          <xdr:colOff>784860</xdr:colOff>
          <xdr:row>39</xdr:row>
          <xdr:rowOff>251460</xdr:rowOff>
        </xdr:to>
        <xdr:sp macro="" textlink="">
          <xdr:nvSpPr>
            <xdr:cNvPr id="199458" name="Spinner 802" hidden="1">
              <a:extLst>
                <a:ext uri="{63B3BB69-23CF-44E3-9099-C40C66FF867C}">
                  <a14:compatExt spid="_x0000_s199458"/>
                </a:ext>
                <a:ext uri="{FF2B5EF4-FFF2-40B4-BE49-F238E27FC236}">
                  <a16:creationId xmlns:a16="http://schemas.microsoft.com/office/drawing/2014/main" id="{00000000-0008-0000-0100-000022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39</xdr:row>
          <xdr:rowOff>22860</xdr:rowOff>
        </xdr:from>
        <xdr:to>
          <xdr:col>11</xdr:col>
          <xdr:colOff>784860</xdr:colOff>
          <xdr:row>39</xdr:row>
          <xdr:rowOff>251460</xdr:rowOff>
        </xdr:to>
        <xdr:sp macro="" textlink="">
          <xdr:nvSpPr>
            <xdr:cNvPr id="199459" name="Spinner 803" hidden="1">
              <a:extLst>
                <a:ext uri="{63B3BB69-23CF-44E3-9099-C40C66FF867C}">
                  <a14:compatExt spid="_x0000_s199459"/>
                </a:ext>
                <a:ext uri="{FF2B5EF4-FFF2-40B4-BE49-F238E27FC236}">
                  <a16:creationId xmlns:a16="http://schemas.microsoft.com/office/drawing/2014/main" id="{00000000-0008-0000-0100-000023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39</xdr:row>
          <xdr:rowOff>22860</xdr:rowOff>
        </xdr:from>
        <xdr:to>
          <xdr:col>11</xdr:col>
          <xdr:colOff>784860</xdr:colOff>
          <xdr:row>39</xdr:row>
          <xdr:rowOff>251460</xdr:rowOff>
        </xdr:to>
        <xdr:sp macro="" textlink="">
          <xdr:nvSpPr>
            <xdr:cNvPr id="199460" name="Spinner 804" hidden="1">
              <a:extLst>
                <a:ext uri="{63B3BB69-23CF-44E3-9099-C40C66FF867C}">
                  <a14:compatExt spid="_x0000_s199460"/>
                </a:ext>
                <a:ext uri="{FF2B5EF4-FFF2-40B4-BE49-F238E27FC236}">
                  <a16:creationId xmlns:a16="http://schemas.microsoft.com/office/drawing/2014/main" id="{00000000-0008-0000-0100-000024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39</xdr:row>
          <xdr:rowOff>22860</xdr:rowOff>
        </xdr:from>
        <xdr:to>
          <xdr:col>11</xdr:col>
          <xdr:colOff>784860</xdr:colOff>
          <xdr:row>39</xdr:row>
          <xdr:rowOff>251460</xdr:rowOff>
        </xdr:to>
        <xdr:sp macro="" textlink="">
          <xdr:nvSpPr>
            <xdr:cNvPr id="199461" name="Spinner 805" hidden="1">
              <a:extLst>
                <a:ext uri="{63B3BB69-23CF-44E3-9099-C40C66FF867C}">
                  <a14:compatExt spid="_x0000_s199461"/>
                </a:ext>
                <a:ext uri="{FF2B5EF4-FFF2-40B4-BE49-F238E27FC236}">
                  <a16:creationId xmlns:a16="http://schemas.microsoft.com/office/drawing/2014/main" id="{00000000-0008-0000-0100-000025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39</xdr:row>
          <xdr:rowOff>22860</xdr:rowOff>
        </xdr:from>
        <xdr:to>
          <xdr:col>11</xdr:col>
          <xdr:colOff>784860</xdr:colOff>
          <xdr:row>39</xdr:row>
          <xdr:rowOff>251460</xdr:rowOff>
        </xdr:to>
        <xdr:sp macro="" textlink="">
          <xdr:nvSpPr>
            <xdr:cNvPr id="199462" name="Spinner 806" hidden="1">
              <a:extLst>
                <a:ext uri="{63B3BB69-23CF-44E3-9099-C40C66FF867C}">
                  <a14:compatExt spid="_x0000_s199462"/>
                </a:ext>
                <a:ext uri="{FF2B5EF4-FFF2-40B4-BE49-F238E27FC236}">
                  <a16:creationId xmlns:a16="http://schemas.microsoft.com/office/drawing/2014/main" id="{00000000-0008-0000-0100-000026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39</xdr:row>
          <xdr:rowOff>22860</xdr:rowOff>
        </xdr:from>
        <xdr:to>
          <xdr:col>11</xdr:col>
          <xdr:colOff>784860</xdr:colOff>
          <xdr:row>39</xdr:row>
          <xdr:rowOff>251460</xdr:rowOff>
        </xdr:to>
        <xdr:sp macro="" textlink="">
          <xdr:nvSpPr>
            <xdr:cNvPr id="199463" name="Spinner 807" hidden="1">
              <a:extLst>
                <a:ext uri="{63B3BB69-23CF-44E3-9099-C40C66FF867C}">
                  <a14:compatExt spid="_x0000_s199463"/>
                </a:ext>
                <a:ext uri="{FF2B5EF4-FFF2-40B4-BE49-F238E27FC236}">
                  <a16:creationId xmlns:a16="http://schemas.microsoft.com/office/drawing/2014/main" id="{00000000-0008-0000-0100-000027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39</xdr:row>
          <xdr:rowOff>22860</xdr:rowOff>
        </xdr:from>
        <xdr:to>
          <xdr:col>11</xdr:col>
          <xdr:colOff>784860</xdr:colOff>
          <xdr:row>39</xdr:row>
          <xdr:rowOff>251460</xdr:rowOff>
        </xdr:to>
        <xdr:sp macro="" textlink="">
          <xdr:nvSpPr>
            <xdr:cNvPr id="199464" name="Spinner 808" hidden="1">
              <a:extLst>
                <a:ext uri="{63B3BB69-23CF-44E3-9099-C40C66FF867C}">
                  <a14:compatExt spid="_x0000_s199464"/>
                </a:ext>
                <a:ext uri="{FF2B5EF4-FFF2-40B4-BE49-F238E27FC236}">
                  <a16:creationId xmlns:a16="http://schemas.microsoft.com/office/drawing/2014/main" id="{00000000-0008-0000-0100-000028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39</xdr:row>
          <xdr:rowOff>22860</xdr:rowOff>
        </xdr:from>
        <xdr:to>
          <xdr:col>11</xdr:col>
          <xdr:colOff>784860</xdr:colOff>
          <xdr:row>39</xdr:row>
          <xdr:rowOff>251460</xdr:rowOff>
        </xdr:to>
        <xdr:sp macro="" textlink="">
          <xdr:nvSpPr>
            <xdr:cNvPr id="199465" name="Spinner 809" hidden="1">
              <a:extLst>
                <a:ext uri="{63B3BB69-23CF-44E3-9099-C40C66FF867C}">
                  <a14:compatExt spid="_x0000_s199465"/>
                </a:ext>
                <a:ext uri="{FF2B5EF4-FFF2-40B4-BE49-F238E27FC236}">
                  <a16:creationId xmlns:a16="http://schemas.microsoft.com/office/drawing/2014/main" id="{00000000-0008-0000-0100-000029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39</xdr:row>
          <xdr:rowOff>22860</xdr:rowOff>
        </xdr:from>
        <xdr:to>
          <xdr:col>11</xdr:col>
          <xdr:colOff>784860</xdr:colOff>
          <xdr:row>39</xdr:row>
          <xdr:rowOff>251460</xdr:rowOff>
        </xdr:to>
        <xdr:sp macro="" textlink="">
          <xdr:nvSpPr>
            <xdr:cNvPr id="199466" name="Spinner 810" hidden="1">
              <a:extLst>
                <a:ext uri="{63B3BB69-23CF-44E3-9099-C40C66FF867C}">
                  <a14:compatExt spid="_x0000_s199466"/>
                </a:ext>
                <a:ext uri="{FF2B5EF4-FFF2-40B4-BE49-F238E27FC236}">
                  <a16:creationId xmlns:a16="http://schemas.microsoft.com/office/drawing/2014/main" id="{00000000-0008-0000-0100-00002A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40</xdr:row>
          <xdr:rowOff>22860</xdr:rowOff>
        </xdr:from>
        <xdr:to>
          <xdr:col>11</xdr:col>
          <xdr:colOff>784860</xdr:colOff>
          <xdr:row>40</xdr:row>
          <xdr:rowOff>251460</xdr:rowOff>
        </xdr:to>
        <xdr:sp macro="" textlink="">
          <xdr:nvSpPr>
            <xdr:cNvPr id="199467" name="Spinner 811" hidden="1">
              <a:extLst>
                <a:ext uri="{63B3BB69-23CF-44E3-9099-C40C66FF867C}">
                  <a14:compatExt spid="_x0000_s199467"/>
                </a:ext>
                <a:ext uri="{FF2B5EF4-FFF2-40B4-BE49-F238E27FC236}">
                  <a16:creationId xmlns:a16="http://schemas.microsoft.com/office/drawing/2014/main" id="{00000000-0008-0000-0100-00002B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40</xdr:row>
          <xdr:rowOff>22860</xdr:rowOff>
        </xdr:from>
        <xdr:to>
          <xdr:col>11</xdr:col>
          <xdr:colOff>784860</xdr:colOff>
          <xdr:row>40</xdr:row>
          <xdr:rowOff>251460</xdr:rowOff>
        </xdr:to>
        <xdr:sp macro="" textlink="">
          <xdr:nvSpPr>
            <xdr:cNvPr id="199468" name="Spinner 812" hidden="1">
              <a:extLst>
                <a:ext uri="{63B3BB69-23CF-44E3-9099-C40C66FF867C}">
                  <a14:compatExt spid="_x0000_s199468"/>
                </a:ext>
                <a:ext uri="{FF2B5EF4-FFF2-40B4-BE49-F238E27FC236}">
                  <a16:creationId xmlns:a16="http://schemas.microsoft.com/office/drawing/2014/main" id="{00000000-0008-0000-0100-00002C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40</xdr:row>
          <xdr:rowOff>22860</xdr:rowOff>
        </xdr:from>
        <xdr:to>
          <xdr:col>11</xdr:col>
          <xdr:colOff>784860</xdr:colOff>
          <xdr:row>40</xdr:row>
          <xdr:rowOff>251460</xdr:rowOff>
        </xdr:to>
        <xdr:sp macro="" textlink="">
          <xdr:nvSpPr>
            <xdr:cNvPr id="199469" name="Spinner 813" hidden="1">
              <a:extLst>
                <a:ext uri="{63B3BB69-23CF-44E3-9099-C40C66FF867C}">
                  <a14:compatExt spid="_x0000_s199469"/>
                </a:ext>
                <a:ext uri="{FF2B5EF4-FFF2-40B4-BE49-F238E27FC236}">
                  <a16:creationId xmlns:a16="http://schemas.microsoft.com/office/drawing/2014/main" id="{00000000-0008-0000-0100-00002D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40</xdr:row>
          <xdr:rowOff>7620</xdr:rowOff>
        </xdr:from>
        <xdr:to>
          <xdr:col>10</xdr:col>
          <xdr:colOff>1295400</xdr:colOff>
          <xdr:row>40</xdr:row>
          <xdr:rowOff>236220</xdr:rowOff>
        </xdr:to>
        <xdr:sp macro="" textlink="">
          <xdr:nvSpPr>
            <xdr:cNvPr id="199470" name="Spinner 814" hidden="1">
              <a:extLst>
                <a:ext uri="{63B3BB69-23CF-44E3-9099-C40C66FF867C}">
                  <a14:compatExt spid="_x0000_s199470"/>
                </a:ext>
                <a:ext uri="{FF2B5EF4-FFF2-40B4-BE49-F238E27FC236}">
                  <a16:creationId xmlns:a16="http://schemas.microsoft.com/office/drawing/2014/main" id="{00000000-0008-0000-0100-00002E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40</xdr:row>
          <xdr:rowOff>7620</xdr:rowOff>
        </xdr:from>
        <xdr:to>
          <xdr:col>10</xdr:col>
          <xdr:colOff>1295400</xdr:colOff>
          <xdr:row>40</xdr:row>
          <xdr:rowOff>236220</xdr:rowOff>
        </xdr:to>
        <xdr:sp macro="" textlink="">
          <xdr:nvSpPr>
            <xdr:cNvPr id="199471" name="Spinner 815" hidden="1">
              <a:extLst>
                <a:ext uri="{63B3BB69-23CF-44E3-9099-C40C66FF867C}">
                  <a14:compatExt spid="_x0000_s199471"/>
                </a:ext>
                <a:ext uri="{FF2B5EF4-FFF2-40B4-BE49-F238E27FC236}">
                  <a16:creationId xmlns:a16="http://schemas.microsoft.com/office/drawing/2014/main" id="{00000000-0008-0000-0100-00002F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40</xdr:row>
          <xdr:rowOff>7620</xdr:rowOff>
        </xdr:from>
        <xdr:to>
          <xdr:col>10</xdr:col>
          <xdr:colOff>1295400</xdr:colOff>
          <xdr:row>40</xdr:row>
          <xdr:rowOff>236220</xdr:rowOff>
        </xdr:to>
        <xdr:sp macro="" textlink="">
          <xdr:nvSpPr>
            <xdr:cNvPr id="199472" name="Spinner 816" hidden="1">
              <a:extLst>
                <a:ext uri="{63B3BB69-23CF-44E3-9099-C40C66FF867C}">
                  <a14:compatExt spid="_x0000_s199472"/>
                </a:ext>
                <a:ext uri="{FF2B5EF4-FFF2-40B4-BE49-F238E27FC236}">
                  <a16:creationId xmlns:a16="http://schemas.microsoft.com/office/drawing/2014/main" id="{00000000-0008-0000-0100-000030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40</xdr:row>
          <xdr:rowOff>22860</xdr:rowOff>
        </xdr:from>
        <xdr:to>
          <xdr:col>11</xdr:col>
          <xdr:colOff>784860</xdr:colOff>
          <xdr:row>40</xdr:row>
          <xdr:rowOff>251460</xdr:rowOff>
        </xdr:to>
        <xdr:sp macro="" textlink="">
          <xdr:nvSpPr>
            <xdr:cNvPr id="199473" name="Spinner 817" hidden="1">
              <a:extLst>
                <a:ext uri="{63B3BB69-23CF-44E3-9099-C40C66FF867C}">
                  <a14:compatExt spid="_x0000_s199473"/>
                </a:ext>
                <a:ext uri="{FF2B5EF4-FFF2-40B4-BE49-F238E27FC236}">
                  <a16:creationId xmlns:a16="http://schemas.microsoft.com/office/drawing/2014/main" id="{00000000-0008-0000-0100-000031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40</xdr:row>
          <xdr:rowOff>7620</xdr:rowOff>
        </xdr:from>
        <xdr:to>
          <xdr:col>10</xdr:col>
          <xdr:colOff>1295400</xdr:colOff>
          <xdr:row>40</xdr:row>
          <xdr:rowOff>236220</xdr:rowOff>
        </xdr:to>
        <xdr:sp macro="" textlink="">
          <xdr:nvSpPr>
            <xdr:cNvPr id="199474" name="Spinner 818" hidden="1">
              <a:extLst>
                <a:ext uri="{63B3BB69-23CF-44E3-9099-C40C66FF867C}">
                  <a14:compatExt spid="_x0000_s199474"/>
                </a:ext>
                <a:ext uri="{FF2B5EF4-FFF2-40B4-BE49-F238E27FC236}">
                  <a16:creationId xmlns:a16="http://schemas.microsoft.com/office/drawing/2014/main" id="{00000000-0008-0000-0100-000032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40</xdr:row>
          <xdr:rowOff>7620</xdr:rowOff>
        </xdr:from>
        <xdr:to>
          <xdr:col>10</xdr:col>
          <xdr:colOff>1295400</xdr:colOff>
          <xdr:row>40</xdr:row>
          <xdr:rowOff>236220</xdr:rowOff>
        </xdr:to>
        <xdr:sp macro="" textlink="">
          <xdr:nvSpPr>
            <xdr:cNvPr id="199475" name="Spinner 819" hidden="1">
              <a:extLst>
                <a:ext uri="{63B3BB69-23CF-44E3-9099-C40C66FF867C}">
                  <a14:compatExt spid="_x0000_s199475"/>
                </a:ext>
                <a:ext uri="{FF2B5EF4-FFF2-40B4-BE49-F238E27FC236}">
                  <a16:creationId xmlns:a16="http://schemas.microsoft.com/office/drawing/2014/main" id="{00000000-0008-0000-0100-000033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40</xdr:row>
          <xdr:rowOff>22860</xdr:rowOff>
        </xdr:from>
        <xdr:to>
          <xdr:col>11</xdr:col>
          <xdr:colOff>784860</xdr:colOff>
          <xdr:row>40</xdr:row>
          <xdr:rowOff>251460</xdr:rowOff>
        </xdr:to>
        <xdr:sp macro="" textlink="">
          <xdr:nvSpPr>
            <xdr:cNvPr id="199476" name="Spinner 820" hidden="1">
              <a:extLst>
                <a:ext uri="{63B3BB69-23CF-44E3-9099-C40C66FF867C}">
                  <a14:compatExt spid="_x0000_s199476"/>
                </a:ext>
                <a:ext uri="{FF2B5EF4-FFF2-40B4-BE49-F238E27FC236}">
                  <a16:creationId xmlns:a16="http://schemas.microsoft.com/office/drawing/2014/main" id="{00000000-0008-0000-0100-000034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40</xdr:row>
          <xdr:rowOff>22860</xdr:rowOff>
        </xdr:from>
        <xdr:to>
          <xdr:col>11</xdr:col>
          <xdr:colOff>784860</xdr:colOff>
          <xdr:row>40</xdr:row>
          <xdr:rowOff>251460</xdr:rowOff>
        </xdr:to>
        <xdr:sp macro="" textlink="">
          <xdr:nvSpPr>
            <xdr:cNvPr id="199477" name="Spinner 821" hidden="1">
              <a:extLst>
                <a:ext uri="{63B3BB69-23CF-44E3-9099-C40C66FF867C}">
                  <a14:compatExt spid="_x0000_s199477"/>
                </a:ext>
                <a:ext uri="{FF2B5EF4-FFF2-40B4-BE49-F238E27FC236}">
                  <a16:creationId xmlns:a16="http://schemas.microsoft.com/office/drawing/2014/main" id="{00000000-0008-0000-0100-000035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40</xdr:row>
          <xdr:rowOff>22860</xdr:rowOff>
        </xdr:from>
        <xdr:to>
          <xdr:col>11</xdr:col>
          <xdr:colOff>784860</xdr:colOff>
          <xdr:row>40</xdr:row>
          <xdr:rowOff>251460</xdr:rowOff>
        </xdr:to>
        <xdr:sp macro="" textlink="">
          <xdr:nvSpPr>
            <xdr:cNvPr id="199478" name="Spinner 822" hidden="1">
              <a:extLst>
                <a:ext uri="{63B3BB69-23CF-44E3-9099-C40C66FF867C}">
                  <a14:compatExt spid="_x0000_s199478"/>
                </a:ext>
                <a:ext uri="{FF2B5EF4-FFF2-40B4-BE49-F238E27FC236}">
                  <a16:creationId xmlns:a16="http://schemas.microsoft.com/office/drawing/2014/main" id="{00000000-0008-0000-0100-000036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40</xdr:row>
          <xdr:rowOff>22860</xdr:rowOff>
        </xdr:from>
        <xdr:to>
          <xdr:col>11</xdr:col>
          <xdr:colOff>784860</xdr:colOff>
          <xdr:row>40</xdr:row>
          <xdr:rowOff>251460</xdr:rowOff>
        </xdr:to>
        <xdr:sp macro="" textlink="">
          <xdr:nvSpPr>
            <xdr:cNvPr id="199479" name="Spinner 823" hidden="1">
              <a:extLst>
                <a:ext uri="{63B3BB69-23CF-44E3-9099-C40C66FF867C}">
                  <a14:compatExt spid="_x0000_s199479"/>
                </a:ext>
                <a:ext uri="{FF2B5EF4-FFF2-40B4-BE49-F238E27FC236}">
                  <a16:creationId xmlns:a16="http://schemas.microsoft.com/office/drawing/2014/main" id="{00000000-0008-0000-0100-000037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40</xdr:row>
          <xdr:rowOff>22860</xdr:rowOff>
        </xdr:from>
        <xdr:to>
          <xdr:col>11</xdr:col>
          <xdr:colOff>784860</xdr:colOff>
          <xdr:row>40</xdr:row>
          <xdr:rowOff>251460</xdr:rowOff>
        </xdr:to>
        <xdr:sp macro="" textlink="">
          <xdr:nvSpPr>
            <xdr:cNvPr id="199480" name="Spinner 824" hidden="1">
              <a:extLst>
                <a:ext uri="{63B3BB69-23CF-44E3-9099-C40C66FF867C}">
                  <a14:compatExt spid="_x0000_s199480"/>
                </a:ext>
                <a:ext uri="{FF2B5EF4-FFF2-40B4-BE49-F238E27FC236}">
                  <a16:creationId xmlns:a16="http://schemas.microsoft.com/office/drawing/2014/main" id="{00000000-0008-0000-0100-000038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40</xdr:row>
          <xdr:rowOff>22860</xdr:rowOff>
        </xdr:from>
        <xdr:to>
          <xdr:col>11</xdr:col>
          <xdr:colOff>784860</xdr:colOff>
          <xdr:row>40</xdr:row>
          <xdr:rowOff>251460</xdr:rowOff>
        </xdr:to>
        <xdr:sp macro="" textlink="">
          <xdr:nvSpPr>
            <xdr:cNvPr id="199481" name="Spinner 825" hidden="1">
              <a:extLst>
                <a:ext uri="{63B3BB69-23CF-44E3-9099-C40C66FF867C}">
                  <a14:compatExt spid="_x0000_s199481"/>
                </a:ext>
                <a:ext uri="{FF2B5EF4-FFF2-40B4-BE49-F238E27FC236}">
                  <a16:creationId xmlns:a16="http://schemas.microsoft.com/office/drawing/2014/main" id="{00000000-0008-0000-0100-000039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40</xdr:row>
          <xdr:rowOff>22860</xdr:rowOff>
        </xdr:from>
        <xdr:to>
          <xdr:col>11</xdr:col>
          <xdr:colOff>784860</xdr:colOff>
          <xdr:row>40</xdr:row>
          <xdr:rowOff>251460</xdr:rowOff>
        </xdr:to>
        <xdr:sp macro="" textlink="">
          <xdr:nvSpPr>
            <xdr:cNvPr id="199482" name="Spinner 826" hidden="1">
              <a:extLst>
                <a:ext uri="{63B3BB69-23CF-44E3-9099-C40C66FF867C}">
                  <a14:compatExt spid="_x0000_s199482"/>
                </a:ext>
                <a:ext uri="{FF2B5EF4-FFF2-40B4-BE49-F238E27FC236}">
                  <a16:creationId xmlns:a16="http://schemas.microsoft.com/office/drawing/2014/main" id="{00000000-0008-0000-0100-00003A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40</xdr:row>
          <xdr:rowOff>22860</xdr:rowOff>
        </xdr:from>
        <xdr:to>
          <xdr:col>11</xdr:col>
          <xdr:colOff>784860</xdr:colOff>
          <xdr:row>40</xdr:row>
          <xdr:rowOff>251460</xdr:rowOff>
        </xdr:to>
        <xdr:sp macro="" textlink="">
          <xdr:nvSpPr>
            <xdr:cNvPr id="199483" name="Spinner 827" hidden="1">
              <a:extLst>
                <a:ext uri="{63B3BB69-23CF-44E3-9099-C40C66FF867C}">
                  <a14:compatExt spid="_x0000_s199483"/>
                </a:ext>
                <a:ext uri="{FF2B5EF4-FFF2-40B4-BE49-F238E27FC236}">
                  <a16:creationId xmlns:a16="http://schemas.microsoft.com/office/drawing/2014/main" id="{00000000-0008-0000-0100-00003B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40</xdr:row>
          <xdr:rowOff>22860</xdr:rowOff>
        </xdr:from>
        <xdr:to>
          <xdr:col>11</xdr:col>
          <xdr:colOff>784860</xdr:colOff>
          <xdr:row>40</xdr:row>
          <xdr:rowOff>251460</xdr:rowOff>
        </xdr:to>
        <xdr:sp macro="" textlink="">
          <xdr:nvSpPr>
            <xdr:cNvPr id="199484" name="Spinner 828" hidden="1">
              <a:extLst>
                <a:ext uri="{63B3BB69-23CF-44E3-9099-C40C66FF867C}">
                  <a14:compatExt spid="_x0000_s199484"/>
                </a:ext>
                <a:ext uri="{FF2B5EF4-FFF2-40B4-BE49-F238E27FC236}">
                  <a16:creationId xmlns:a16="http://schemas.microsoft.com/office/drawing/2014/main" id="{00000000-0008-0000-0100-00003C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40</xdr:row>
          <xdr:rowOff>22860</xdr:rowOff>
        </xdr:from>
        <xdr:to>
          <xdr:col>11</xdr:col>
          <xdr:colOff>784860</xdr:colOff>
          <xdr:row>40</xdr:row>
          <xdr:rowOff>251460</xdr:rowOff>
        </xdr:to>
        <xdr:sp macro="" textlink="">
          <xdr:nvSpPr>
            <xdr:cNvPr id="199485" name="Spinner 829" hidden="1">
              <a:extLst>
                <a:ext uri="{63B3BB69-23CF-44E3-9099-C40C66FF867C}">
                  <a14:compatExt spid="_x0000_s199485"/>
                </a:ext>
                <a:ext uri="{FF2B5EF4-FFF2-40B4-BE49-F238E27FC236}">
                  <a16:creationId xmlns:a16="http://schemas.microsoft.com/office/drawing/2014/main" id="{00000000-0008-0000-0100-00003D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40</xdr:row>
          <xdr:rowOff>22860</xdr:rowOff>
        </xdr:from>
        <xdr:to>
          <xdr:col>11</xdr:col>
          <xdr:colOff>784860</xdr:colOff>
          <xdr:row>40</xdr:row>
          <xdr:rowOff>251460</xdr:rowOff>
        </xdr:to>
        <xdr:sp macro="" textlink="">
          <xdr:nvSpPr>
            <xdr:cNvPr id="199486" name="Spinner 830" hidden="1">
              <a:extLst>
                <a:ext uri="{63B3BB69-23CF-44E3-9099-C40C66FF867C}">
                  <a14:compatExt spid="_x0000_s199486"/>
                </a:ext>
                <a:ext uri="{FF2B5EF4-FFF2-40B4-BE49-F238E27FC236}">
                  <a16:creationId xmlns:a16="http://schemas.microsoft.com/office/drawing/2014/main" id="{00000000-0008-0000-0100-00003E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40</xdr:row>
          <xdr:rowOff>22860</xdr:rowOff>
        </xdr:from>
        <xdr:to>
          <xdr:col>11</xdr:col>
          <xdr:colOff>784860</xdr:colOff>
          <xdr:row>40</xdr:row>
          <xdr:rowOff>251460</xdr:rowOff>
        </xdr:to>
        <xdr:sp macro="" textlink="">
          <xdr:nvSpPr>
            <xdr:cNvPr id="199487" name="Spinner 831" hidden="1">
              <a:extLst>
                <a:ext uri="{63B3BB69-23CF-44E3-9099-C40C66FF867C}">
                  <a14:compatExt spid="_x0000_s199487"/>
                </a:ext>
                <a:ext uri="{FF2B5EF4-FFF2-40B4-BE49-F238E27FC236}">
                  <a16:creationId xmlns:a16="http://schemas.microsoft.com/office/drawing/2014/main" id="{00000000-0008-0000-0100-00003F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40</xdr:row>
          <xdr:rowOff>22860</xdr:rowOff>
        </xdr:from>
        <xdr:to>
          <xdr:col>11</xdr:col>
          <xdr:colOff>784860</xdr:colOff>
          <xdr:row>40</xdr:row>
          <xdr:rowOff>251460</xdr:rowOff>
        </xdr:to>
        <xdr:sp macro="" textlink="">
          <xdr:nvSpPr>
            <xdr:cNvPr id="199488" name="Spinner 832" hidden="1">
              <a:extLst>
                <a:ext uri="{63B3BB69-23CF-44E3-9099-C40C66FF867C}">
                  <a14:compatExt spid="_x0000_s199488"/>
                </a:ext>
                <a:ext uri="{FF2B5EF4-FFF2-40B4-BE49-F238E27FC236}">
                  <a16:creationId xmlns:a16="http://schemas.microsoft.com/office/drawing/2014/main" id="{00000000-0008-0000-0100-000040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40</xdr:row>
          <xdr:rowOff>22860</xdr:rowOff>
        </xdr:from>
        <xdr:to>
          <xdr:col>11</xdr:col>
          <xdr:colOff>784860</xdr:colOff>
          <xdr:row>40</xdr:row>
          <xdr:rowOff>251460</xdr:rowOff>
        </xdr:to>
        <xdr:sp macro="" textlink="">
          <xdr:nvSpPr>
            <xdr:cNvPr id="199489" name="Spinner 833" hidden="1">
              <a:extLst>
                <a:ext uri="{63B3BB69-23CF-44E3-9099-C40C66FF867C}">
                  <a14:compatExt spid="_x0000_s199489"/>
                </a:ext>
                <a:ext uri="{FF2B5EF4-FFF2-40B4-BE49-F238E27FC236}">
                  <a16:creationId xmlns:a16="http://schemas.microsoft.com/office/drawing/2014/main" id="{00000000-0008-0000-0100-000041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40</xdr:row>
          <xdr:rowOff>22860</xdr:rowOff>
        </xdr:from>
        <xdr:to>
          <xdr:col>11</xdr:col>
          <xdr:colOff>784860</xdr:colOff>
          <xdr:row>40</xdr:row>
          <xdr:rowOff>251460</xdr:rowOff>
        </xdr:to>
        <xdr:sp macro="" textlink="">
          <xdr:nvSpPr>
            <xdr:cNvPr id="199490" name="Spinner 834" hidden="1">
              <a:extLst>
                <a:ext uri="{63B3BB69-23CF-44E3-9099-C40C66FF867C}">
                  <a14:compatExt spid="_x0000_s199490"/>
                </a:ext>
                <a:ext uri="{FF2B5EF4-FFF2-40B4-BE49-F238E27FC236}">
                  <a16:creationId xmlns:a16="http://schemas.microsoft.com/office/drawing/2014/main" id="{00000000-0008-0000-0100-000042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40</xdr:row>
          <xdr:rowOff>22860</xdr:rowOff>
        </xdr:from>
        <xdr:to>
          <xdr:col>11</xdr:col>
          <xdr:colOff>784860</xdr:colOff>
          <xdr:row>40</xdr:row>
          <xdr:rowOff>251460</xdr:rowOff>
        </xdr:to>
        <xdr:sp macro="" textlink="">
          <xdr:nvSpPr>
            <xdr:cNvPr id="199491" name="Spinner 835" hidden="1">
              <a:extLst>
                <a:ext uri="{63B3BB69-23CF-44E3-9099-C40C66FF867C}">
                  <a14:compatExt spid="_x0000_s199491"/>
                </a:ext>
                <a:ext uri="{FF2B5EF4-FFF2-40B4-BE49-F238E27FC236}">
                  <a16:creationId xmlns:a16="http://schemas.microsoft.com/office/drawing/2014/main" id="{00000000-0008-0000-0100-000043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40</xdr:row>
          <xdr:rowOff>22860</xdr:rowOff>
        </xdr:from>
        <xdr:to>
          <xdr:col>11</xdr:col>
          <xdr:colOff>784860</xdr:colOff>
          <xdr:row>40</xdr:row>
          <xdr:rowOff>251460</xdr:rowOff>
        </xdr:to>
        <xdr:sp macro="" textlink="">
          <xdr:nvSpPr>
            <xdr:cNvPr id="199492" name="Spinner 836" hidden="1">
              <a:extLst>
                <a:ext uri="{63B3BB69-23CF-44E3-9099-C40C66FF867C}">
                  <a14:compatExt spid="_x0000_s199492"/>
                </a:ext>
                <a:ext uri="{FF2B5EF4-FFF2-40B4-BE49-F238E27FC236}">
                  <a16:creationId xmlns:a16="http://schemas.microsoft.com/office/drawing/2014/main" id="{00000000-0008-0000-0100-000044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40</xdr:row>
          <xdr:rowOff>22860</xdr:rowOff>
        </xdr:from>
        <xdr:to>
          <xdr:col>11</xdr:col>
          <xdr:colOff>784860</xdr:colOff>
          <xdr:row>40</xdr:row>
          <xdr:rowOff>251460</xdr:rowOff>
        </xdr:to>
        <xdr:sp macro="" textlink="">
          <xdr:nvSpPr>
            <xdr:cNvPr id="199493" name="Spinner 837" hidden="1">
              <a:extLst>
                <a:ext uri="{63B3BB69-23CF-44E3-9099-C40C66FF867C}">
                  <a14:compatExt spid="_x0000_s199493"/>
                </a:ext>
                <a:ext uri="{FF2B5EF4-FFF2-40B4-BE49-F238E27FC236}">
                  <a16:creationId xmlns:a16="http://schemas.microsoft.com/office/drawing/2014/main" id="{00000000-0008-0000-0100-000045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40</xdr:row>
          <xdr:rowOff>22860</xdr:rowOff>
        </xdr:from>
        <xdr:to>
          <xdr:col>11</xdr:col>
          <xdr:colOff>784860</xdr:colOff>
          <xdr:row>40</xdr:row>
          <xdr:rowOff>251460</xdr:rowOff>
        </xdr:to>
        <xdr:sp macro="" textlink="">
          <xdr:nvSpPr>
            <xdr:cNvPr id="199494" name="Spinner 838" hidden="1">
              <a:extLst>
                <a:ext uri="{63B3BB69-23CF-44E3-9099-C40C66FF867C}">
                  <a14:compatExt spid="_x0000_s199494"/>
                </a:ext>
                <a:ext uri="{FF2B5EF4-FFF2-40B4-BE49-F238E27FC236}">
                  <a16:creationId xmlns:a16="http://schemas.microsoft.com/office/drawing/2014/main" id="{00000000-0008-0000-0100-000046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40</xdr:row>
          <xdr:rowOff>22860</xdr:rowOff>
        </xdr:from>
        <xdr:to>
          <xdr:col>11</xdr:col>
          <xdr:colOff>784860</xdr:colOff>
          <xdr:row>40</xdr:row>
          <xdr:rowOff>251460</xdr:rowOff>
        </xdr:to>
        <xdr:sp macro="" textlink="">
          <xdr:nvSpPr>
            <xdr:cNvPr id="199495" name="Spinner 839" hidden="1">
              <a:extLst>
                <a:ext uri="{63B3BB69-23CF-44E3-9099-C40C66FF867C}">
                  <a14:compatExt spid="_x0000_s199495"/>
                </a:ext>
                <a:ext uri="{FF2B5EF4-FFF2-40B4-BE49-F238E27FC236}">
                  <a16:creationId xmlns:a16="http://schemas.microsoft.com/office/drawing/2014/main" id="{00000000-0008-0000-0100-000047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40</xdr:row>
          <xdr:rowOff>22860</xdr:rowOff>
        </xdr:from>
        <xdr:to>
          <xdr:col>11</xdr:col>
          <xdr:colOff>784860</xdr:colOff>
          <xdr:row>40</xdr:row>
          <xdr:rowOff>251460</xdr:rowOff>
        </xdr:to>
        <xdr:sp macro="" textlink="">
          <xdr:nvSpPr>
            <xdr:cNvPr id="199496" name="Spinner 840" hidden="1">
              <a:extLst>
                <a:ext uri="{63B3BB69-23CF-44E3-9099-C40C66FF867C}">
                  <a14:compatExt spid="_x0000_s199496"/>
                </a:ext>
                <a:ext uri="{FF2B5EF4-FFF2-40B4-BE49-F238E27FC236}">
                  <a16:creationId xmlns:a16="http://schemas.microsoft.com/office/drawing/2014/main" id="{00000000-0008-0000-0100-000048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40</xdr:row>
          <xdr:rowOff>22860</xdr:rowOff>
        </xdr:from>
        <xdr:to>
          <xdr:col>11</xdr:col>
          <xdr:colOff>784860</xdr:colOff>
          <xdr:row>40</xdr:row>
          <xdr:rowOff>251460</xdr:rowOff>
        </xdr:to>
        <xdr:sp macro="" textlink="">
          <xdr:nvSpPr>
            <xdr:cNvPr id="199497" name="Spinner 841" hidden="1">
              <a:extLst>
                <a:ext uri="{63B3BB69-23CF-44E3-9099-C40C66FF867C}">
                  <a14:compatExt spid="_x0000_s199497"/>
                </a:ext>
                <a:ext uri="{FF2B5EF4-FFF2-40B4-BE49-F238E27FC236}">
                  <a16:creationId xmlns:a16="http://schemas.microsoft.com/office/drawing/2014/main" id="{00000000-0008-0000-0100-000049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40</xdr:row>
          <xdr:rowOff>22860</xdr:rowOff>
        </xdr:from>
        <xdr:to>
          <xdr:col>11</xdr:col>
          <xdr:colOff>784860</xdr:colOff>
          <xdr:row>40</xdr:row>
          <xdr:rowOff>251460</xdr:rowOff>
        </xdr:to>
        <xdr:sp macro="" textlink="">
          <xdr:nvSpPr>
            <xdr:cNvPr id="199498" name="Spinner 842" hidden="1">
              <a:extLst>
                <a:ext uri="{63B3BB69-23CF-44E3-9099-C40C66FF867C}">
                  <a14:compatExt spid="_x0000_s199498"/>
                </a:ext>
                <a:ext uri="{FF2B5EF4-FFF2-40B4-BE49-F238E27FC236}">
                  <a16:creationId xmlns:a16="http://schemas.microsoft.com/office/drawing/2014/main" id="{00000000-0008-0000-0100-00004A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40</xdr:row>
          <xdr:rowOff>22860</xdr:rowOff>
        </xdr:from>
        <xdr:to>
          <xdr:col>11</xdr:col>
          <xdr:colOff>784860</xdr:colOff>
          <xdr:row>40</xdr:row>
          <xdr:rowOff>251460</xdr:rowOff>
        </xdr:to>
        <xdr:sp macro="" textlink="">
          <xdr:nvSpPr>
            <xdr:cNvPr id="199499" name="Spinner 843" hidden="1">
              <a:extLst>
                <a:ext uri="{63B3BB69-23CF-44E3-9099-C40C66FF867C}">
                  <a14:compatExt spid="_x0000_s199499"/>
                </a:ext>
                <a:ext uri="{FF2B5EF4-FFF2-40B4-BE49-F238E27FC236}">
                  <a16:creationId xmlns:a16="http://schemas.microsoft.com/office/drawing/2014/main" id="{00000000-0008-0000-0100-00004B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40</xdr:row>
          <xdr:rowOff>22860</xdr:rowOff>
        </xdr:from>
        <xdr:to>
          <xdr:col>11</xdr:col>
          <xdr:colOff>784860</xdr:colOff>
          <xdr:row>40</xdr:row>
          <xdr:rowOff>251460</xdr:rowOff>
        </xdr:to>
        <xdr:sp macro="" textlink="">
          <xdr:nvSpPr>
            <xdr:cNvPr id="199500" name="Spinner 844" hidden="1">
              <a:extLst>
                <a:ext uri="{63B3BB69-23CF-44E3-9099-C40C66FF867C}">
                  <a14:compatExt spid="_x0000_s199500"/>
                </a:ext>
                <a:ext uri="{FF2B5EF4-FFF2-40B4-BE49-F238E27FC236}">
                  <a16:creationId xmlns:a16="http://schemas.microsoft.com/office/drawing/2014/main" id="{00000000-0008-0000-0100-00004C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40</xdr:row>
          <xdr:rowOff>22860</xdr:rowOff>
        </xdr:from>
        <xdr:to>
          <xdr:col>11</xdr:col>
          <xdr:colOff>784860</xdr:colOff>
          <xdr:row>40</xdr:row>
          <xdr:rowOff>251460</xdr:rowOff>
        </xdr:to>
        <xdr:sp macro="" textlink="">
          <xdr:nvSpPr>
            <xdr:cNvPr id="199501" name="Spinner 845" hidden="1">
              <a:extLst>
                <a:ext uri="{63B3BB69-23CF-44E3-9099-C40C66FF867C}">
                  <a14:compatExt spid="_x0000_s199501"/>
                </a:ext>
                <a:ext uri="{FF2B5EF4-FFF2-40B4-BE49-F238E27FC236}">
                  <a16:creationId xmlns:a16="http://schemas.microsoft.com/office/drawing/2014/main" id="{00000000-0008-0000-0100-00004D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40</xdr:row>
          <xdr:rowOff>22860</xdr:rowOff>
        </xdr:from>
        <xdr:to>
          <xdr:col>11</xdr:col>
          <xdr:colOff>784860</xdr:colOff>
          <xdr:row>40</xdr:row>
          <xdr:rowOff>251460</xdr:rowOff>
        </xdr:to>
        <xdr:sp macro="" textlink="">
          <xdr:nvSpPr>
            <xdr:cNvPr id="199502" name="Spinner 846" hidden="1">
              <a:extLst>
                <a:ext uri="{63B3BB69-23CF-44E3-9099-C40C66FF867C}">
                  <a14:compatExt spid="_x0000_s199502"/>
                </a:ext>
                <a:ext uri="{FF2B5EF4-FFF2-40B4-BE49-F238E27FC236}">
                  <a16:creationId xmlns:a16="http://schemas.microsoft.com/office/drawing/2014/main" id="{00000000-0008-0000-0100-00004E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40</xdr:row>
          <xdr:rowOff>22860</xdr:rowOff>
        </xdr:from>
        <xdr:to>
          <xdr:col>11</xdr:col>
          <xdr:colOff>784860</xdr:colOff>
          <xdr:row>40</xdr:row>
          <xdr:rowOff>251460</xdr:rowOff>
        </xdr:to>
        <xdr:sp macro="" textlink="">
          <xdr:nvSpPr>
            <xdr:cNvPr id="199503" name="Spinner 847" hidden="1">
              <a:extLst>
                <a:ext uri="{63B3BB69-23CF-44E3-9099-C40C66FF867C}">
                  <a14:compatExt spid="_x0000_s199503"/>
                </a:ext>
                <a:ext uri="{FF2B5EF4-FFF2-40B4-BE49-F238E27FC236}">
                  <a16:creationId xmlns:a16="http://schemas.microsoft.com/office/drawing/2014/main" id="{00000000-0008-0000-0100-00004F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40</xdr:row>
          <xdr:rowOff>22860</xdr:rowOff>
        </xdr:from>
        <xdr:to>
          <xdr:col>11</xdr:col>
          <xdr:colOff>784860</xdr:colOff>
          <xdr:row>40</xdr:row>
          <xdr:rowOff>251460</xdr:rowOff>
        </xdr:to>
        <xdr:sp macro="" textlink="">
          <xdr:nvSpPr>
            <xdr:cNvPr id="199504" name="Spinner 848" hidden="1">
              <a:extLst>
                <a:ext uri="{63B3BB69-23CF-44E3-9099-C40C66FF867C}">
                  <a14:compatExt spid="_x0000_s199504"/>
                </a:ext>
                <a:ext uri="{FF2B5EF4-FFF2-40B4-BE49-F238E27FC236}">
                  <a16:creationId xmlns:a16="http://schemas.microsoft.com/office/drawing/2014/main" id="{00000000-0008-0000-0100-000050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40</xdr:row>
          <xdr:rowOff>22860</xdr:rowOff>
        </xdr:from>
        <xdr:to>
          <xdr:col>11</xdr:col>
          <xdr:colOff>784860</xdr:colOff>
          <xdr:row>40</xdr:row>
          <xdr:rowOff>251460</xdr:rowOff>
        </xdr:to>
        <xdr:sp macro="" textlink="">
          <xdr:nvSpPr>
            <xdr:cNvPr id="199505" name="Spinner 849" hidden="1">
              <a:extLst>
                <a:ext uri="{63B3BB69-23CF-44E3-9099-C40C66FF867C}">
                  <a14:compatExt spid="_x0000_s199505"/>
                </a:ext>
                <a:ext uri="{FF2B5EF4-FFF2-40B4-BE49-F238E27FC236}">
                  <a16:creationId xmlns:a16="http://schemas.microsoft.com/office/drawing/2014/main" id="{00000000-0008-0000-0100-000051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40</xdr:row>
          <xdr:rowOff>22860</xdr:rowOff>
        </xdr:from>
        <xdr:to>
          <xdr:col>11</xdr:col>
          <xdr:colOff>784860</xdr:colOff>
          <xdr:row>40</xdr:row>
          <xdr:rowOff>251460</xdr:rowOff>
        </xdr:to>
        <xdr:sp macro="" textlink="">
          <xdr:nvSpPr>
            <xdr:cNvPr id="199506" name="Spinner 850" hidden="1">
              <a:extLst>
                <a:ext uri="{63B3BB69-23CF-44E3-9099-C40C66FF867C}">
                  <a14:compatExt spid="_x0000_s199506"/>
                </a:ext>
                <a:ext uri="{FF2B5EF4-FFF2-40B4-BE49-F238E27FC236}">
                  <a16:creationId xmlns:a16="http://schemas.microsoft.com/office/drawing/2014/main" id="{00000000-0008-0000-0100-000052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40</xdr:row>
          <xdr:rowOff>22860</xdr:rowOff>
        </xdr:from>
        <xdr:to>
          <xdr:col>11</xdr:col>
          <xdr:colOff>784860</xdr:colOff>
          <xdr:row>40</xdr:row>
          <xdr:rowOff>251460</xdr:rowOff>
        </xdr:to>
        <xdr:sp macro="" textlink="">
          <xdr:nvSpPr>
            <xdr:cNvPr id="199507" name="Spinner 851" hidden="1">
              <a:extLst>
                <a:ext uri="{63B3BB69-23CF-44E3-9099-C40C66FF867C}">
                  <a14:compatExt spid="_x0000_s199507"/>
                </a:ext>
                <a:ext uri="{FF2B5EF4-FFF2-40B4-BE49-F238E27FC236}">
                  <a16:creationId xmlns:a16="http://schemas.microsoft.com/office/drawing/2014/main" id="{00000000-0008-0000-0100-000053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41</xdr:row>
          <xdr:rowOff>22860</xdr:rowOff>
        </xdr:from>
        <xdr:to>
          <xdr:col>11</xdr:col>
          <xdr:colOff>784860</xdr:colOff>
          <xdr:row>41</xdr:row>
          <xdr:rowOff>251460</xdr:rowOff>
        </xdr:to>
        <xdr:sp macro="" textlink="">
          <xdr:nvSpPr>
            <xdr:cNvPr id="199508" name="Spinner 852" hidden="1">
              <a:extLst>
                <a:ext uri="{63B3BB69-23CF-44E3-9099-C40C66FF867C}">
                  <a14:compatExt spid="_x0000_s199508"/>
                </a:ext>
                <a:ext uri="{FF2B5EF4-FFF2-40B4-BE49-F238E27FC236}">
                  <a16:creationId xmlns:a16="http://schemas.microsoft.com/office/drawing/2014/main" id="{00000000-0008-0000-0100-000054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41</xdr:row>
          <xdr:rowOff>22860</xdr:rowOff>
        </xdr:from>
        <xdr:to>
          <xdr:col>11</xdr:col>
          <xdr:colOff>784860</xdr:colOff>
          <xdr:row>41</xdr:row>
          <xdr:rowOff>251460</xdr:rowOff>
        </xdr:to>
        <xdr:sp macro="" textlink="">
          <xdr:nvSpPr>
            <xdr:cNvPr id="199509" name="Spinner 853" hidden="1">
              <a:extLst>
                <a:ext uri="{63B3BB69-23CF-44E3-9099-C40C66FF867C}">
                  <a14:compatExt spid="_x0000_s199509"/>
                </a:ext>
                <a:ext uri="{FF2B5EF4-FFF2-40B4-BE49-F238E27FC236}">
                  <a16:creationId xmlns:a16="http://schemas.microsoft.com/office/drawing/2014/main" id="{00000000-0008-0000-0100-000055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41</xdr:row>
          <xdr:rowOff>22860</xdr:rowOff>
        </xdr:from>
        <xdr:to>
          <xdr:col>11</xdr:col>
          <xdr:colOff>784860</xdr:colOff>
          <xdr:row>41</xdr:row>
          <xdr:rowOff>251460</xdr:rowOff>
        </xdr:to>
        <xdr:sp macro="" textlink="">
          <xdr:nvSpPr>
            <xdr:cNvPr id="199510" name="Spinner 854" hidden="1">
              <a:extLst>
                <a:ext uri="{63B3BB69-23CF-44E3-9099-C40C66FF867C}">
                  <a14:compatExt spid="_x0000_s199510"/>
                </a:ext>
                <a:ext uri="{FF2B5EF4-FFF2-40B4-BE49-F238E27FC236}">
                  <a16:creationId xmlns:a16="http://schemas.microsoft.com/office/drawing/2014/main" id="{00000000-0008-0000-0100-000056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41</xdr:row>
          <xdr:rowOff>7620</xdr:rowOff>
        </xdr:from>
        <xdr:to>
          <xdr:col>10</xdr:col>
          <xdr:colOff>1295400</xdr:colOff>
          <xdr:row>41</xdr:row>
          <xdr:rowOff>236220</xdr:rowOff>
        </xdr:to>
        <xdr:sp macro="" textlink="">
          <xdr:nvSpPr>
            <xdr:cNvPr id="199511" name="Spinner 855" hidden="1">
              <a:extLst>
                <a:ext uri="{63B3BB69-23CF-44E3-9099-C40C66FF867C}">
                  <a14:compatExt spid="_x0000_s199511"/>
                </a:ext>
                <a:ext uri="{FF2B5EF4-FFF2-40B4-BE49-F238E27FC236}">
                  <a16:creationId xmlns:a16="http://schemas.microsoft.com/office/drawing/2014/main" id="{00000000-0008-0000-0100-000057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41</xdr:row>
          <xdr:rowOff>7620</xdr:rowOff>
        </xdr:from>
        <xdr:to>
          <xdr:col>10</xdr:col>
          <xdr:colOff>1295400</xdr:colOff>
          <xdr:row>41</xdr:row>
          <xdr:rowOff>236220</xdr:rowOff>
        </xdr:to>
        <xdr:sp macro="" textlink="">
          <xdr:nvSpPr>
            <xdr:cNvPr id="199512" name="Spinner 856" hidden="1">
              <a:extLst>
                <a:ext uri="{63B3BB69-23CF-44E3-9099-C40C66FF867C}">
                  <a14:compatExt spid="_x0000_s199512"/>
                </a:ext>
                <a:ext uri="{FF2B5EF4-FFF2-40B4-BE49-F238E27FC236}">
                  <a16:creationId xmlns:a16="http://schemas.microsoft.com/office/drawing/2014/main" id="{00000000-0008-0000-0100-000058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41</xdr:row>
          <xdr:rowOff>7620</xdr:rowOff>
        </xdr:from>
        <xdr:to>
          <xdr:col>10</xdr:col>
          <xdr:colOff>1295400</xdr:colOff>
          <xdr:row>41</xdr:row>
          <xdr:rowOff>236220</xdr:rowOff>
        </xdr:to>
        <xdr:sp macro="" textlink="">
          <xdr:nvSpPr>
            <xdr:cNvPr id="199513" name="Spinner 857" hidden="1">
              <a:extLst>
                <a:ext uri="{63B3BB69-23CF-44E3-9099-C40C66FF867C}">
                  <a14:compatExt spid="_x0000_s199513"/>
                </a:ext>
                <a:ext uri="{FF2B5EF4-FFF2-40B4-BE49-F238E27FC236}">
                  <a16:creationId xmlns:a16="http://schemas.microsoft.com/office/drawing/2014/main" id="{00000000-0008-0000-0100-000059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41</xdr:row>
          <xdr:rowOff>22860</xdr:rowOff>
        </xdr:from>
        <xdr:to>
          <xdr:col>11</xdr:col>
          <xdr:colOff>784860</xdr:colOff>
          <xdr:row>41</xdr:row>
          <xdr:rowOff>251460</xdr:rowOff>
        </xdr:to>
        <xdr:sp macro="" textlink="">
          <xdr:nvSpPr>
            <xdr:cNvPr id="199514" name="Spinner 858" hidden="1">
              <a:extLst>
                <a:ext uri="{63B3BB69-23CF-44E3-9099-C40C66FF867C}">
                  <a14:compatExt spid="_x0000_s199514"/>
                </a:ext>
                <a:ext uri="{FF2B5EF4-FFF2-40B4-BE49-F238E27FC236}">
                  <a16:creationId xmlns:a16="http://schemas.microsoft.com/office/drawing/2014/main" id="{00000000-0008-0000-0100-00005A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41</xdr:row>
          <xdr:rowOff>7620</xdr:rowOff>
        </xdr:from>
        <xdr:to>
          <xdr:col>10</xdr:col>
          <xdr:colOff>1295400</xdr:colOff>
          <xdr:row>41</xdr:row>
          <xdr:rowOff>236220</xdr:rowOff>
        </xdr:to>
        <xdr:sp macro="" textlink="">
          <xdr:nvSpPr>
            <xdr:cNvPr id="199515" name="Spinner 859" hidden="1">
              <a:extLst>
                <a:ext uri="{63B3BB69-23CF-44E3-9099-C40C66FF867C}">
                  <a14:compatExt spid="_x0000_s199515"/>
                </a:ext>
                <a:ext uri="{FF2B5EF4-FFF2-40B4-BE49-F238E27FC236}">
                  <a16:creationId xmlns:a16="http://schemas.microsoft.com/office/drawing/2014/main" id="{00000000-0008-0000-0100-00005B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41</xdr:row>
          <xdr:rowOff>7620</xdr:rowOff>
        </xdr:from>
        <xdr:to>
          <xdr:col>10</xdr:col>
          <xdr:colOff>1295400</xdr:colOff>
          <xdr:row>41</xdr:row>
          <xdr:rowOff>236220</xdr:rowOff>
        </xdr:to>
        <xdr:sp macro="" textlink="">
          <xdr:nvSpPr>
            <xdr:cNvPr id="199516" name="Spinner 860" hidden="1">
              <a:extLst>
                <a:ext uri="{63B3BB69-23CF-44E3-9099-C40C66FF867C}">
                  <a14:compatExt spid="_x0000_s199516"/>
                </a:ext>
                <a:ext uri="{FF2B5EF4-FFF2-40B4-BE49-F238E27FC236}">
                  <a16:creationId xmlns:a16="http://schemas.microsoft.com/office/drawing/2014/main" id="{00000000-0008-0000-0100-00005C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41</xdr:row>
          <xdr:rowOff>22860</xdr:rowOff>
        </xdr:from>
        <xdr:to>
          <xdr:col>11</xdr:col>
          <xdr:colOff>784860</xdr:colOff>
          <xdr:row>41</xdr:row>
          <xdr:rowOff>251460</xdr:rowOff>
        </xdr:to>
        <xdr:sp macro="" textlink="">
          <xdr:nvSpPr>
            <xdr:cNvPr id="199517" name="Spinner 861" hidden="1">
              <a:extLst>
                <a:ext uri="{63B3BB69-23CF-44E3-9099-C40C66FF867C}">
                  <a14:compatExt spid="_x0000_s199517"/>
                </a:ext>
                <a:ext uri="{FF2B5EF4-FFF2-40B4-BE49-F238E27FC236}">
                  <a16:creationId xmlns:a16="http://schemas.microsoft.com/office/drawing/2014/main" id="{00000000-0008-0000-0100-00005D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41</xdr:row>
          <xdr:rowOff>22860</xdr:rowOff>
        </xdr:from>
        <xdr:to>
          <xdr:col>11</xdr:col>
          <xdr:colOff>784860</xdr:colOff>
          <xdr:row>41</xdr:row>
          <xdr:rowOff>251460</xdr:rowOff>
        </xdr:to>
        <xdr:sp macro="" textlink="">
          <xdr:nvSpPr>
            <xdr:cNvPr id="199518" name="Spinner 862" hidden="1">
              <a:extLst>
                <a:ext uri="{63B3BB69-23CF-44E3-9099-C40C66FF867C}">
                  <a14:compatExt spid="_x0000_s199518"/>
                </a:ext>
                <a:ext uri="{FF2B5EF4-FFF2-40B4-BE49-F238E27FC236}">
                  <a16:creationId xmlns:a16="http://schemas.microsoft.com/office/drawing/2014/main" id="{00000000-0008-0000-0100-00005E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41</xdr:row>
          <xdr:rowOff>22860</xdr:rowOff>
        </xdr:from>
        <xdr:to>
          <xdr:col>11</xdr:col>
          <xdr:colOff>784860</xdr:colOff>
          <xdr:row>41</xdr:row>
          <xdr:rowOff>251460</xdr:rowOff>
        </xdr:to>
        <xdr:sp macro="" textlink="">
          <xdr:nvSpPr>
            <xdr:cNvPr id="199519" name="Spinner 863" hidden="1">
              <a:extLst>
                <a:ext uri="{63B3BB69-23CF-44E3-9099-C40C66FF867C}">
                  <a14:compatExt spid="_x0000_s199519"/>
                </a:ext>
                <a:ext uri="{FF2B5EF4-FFF2-40B4-BE49-F238E27FC236}">
                  <a16:creationId xmlns:a16="http://schemas.microsoft.com/office/drawing/2014/main" id="{00000000-0008-0000-0100-00005F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41</xdr:row>
          <xdr:rowOff>22860</xdr:rowOff>
        </xdr:from>
        <xdr:to>
          <xdr:col>11</xdr:col>
          <xdr:colOff>784860</xdr:colOff>
          <xdr:row>41</xdr:row>
          <xdr:rowOff>251460</xdr:rowOff>
        </xdr:to>
        <xdr:sp macro="" textlink="">
          <xdr:nvSpPr>
            <xdr:cNvPr id="199520" name="Spinner 864" hidden="1">
              <a:extLst>
                <a:ext uri="{63B3BB69-23CF-44E3-9099-C40C66FF867C}">
                  <a14:compatExt spid="_x0000_s199520"/>
                </a:ext>
                <a:ext uri="{FF2B5EF4-FFF2-40B4-BE49-F238E27FC236}">
                  <a16:creationId xmlns:a16="http://schemas.microsoft.com/office/drawing/2014/main" id="{00000000-0008-0000-0100-000060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41</xdr:row>
          <xdr:rowOff>22860</xdr:rowOff>
        </xdr:from>
        <xdr:to>
          <xdr:col>11</xdr:col>
          <xdr:colOff>784860</xdr:colOff>
          <xdr:row>41</xdr:row>
          <xdr:rowOff>251460</xdr:rowOff>
        </xdr:to>
        <xdr:sp macro="" textlink="">
          <xdr:nvSpPr>
            <xdr:cNvPr id="199521" name="Spinner 865" hidden="1">
              <a:extLst>
                <a:ext uri="{63B3BB69-23CF-44E3-9099-C40C66FF867C}">
                  <a14:compatExt spid="_x0000_s199521"/>
                </a:ext>
                <a:ext uri="{FF2B5EF4-FFF2-40B4-BE49-F238E27FC236}">
                  <a16:creationId xmlns:a16="http://schemas.microsoft.com/office/drawing/2014/main" id="{00000000-0008-0000-0100-000061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41</xdr:row>
          <xdr:rowOff>22860</xdr:rowOff>
        </xdr:from>
        <xdr:to>
          <xdr:col>11</xdr:col>
          <xdr:colOff>784860</xdr:colOff>
          <xdr:row>41</xdr:row>
          <xdr:rowOff>251460</xdr:rowOff>
        </xdr:to>
        <xdr:sp macro="" textlink="">
          <xdr:nvSpPr>
            <xdr:cNvPr id="199522" name="Spinner 866" hidden="1">
              <a:extLst>
                <a:ext uri="{63B3BB69-23CF-44E3-9099-C40C66FF867C}">
                  <a14:compatExt spid="_x0000_s199522"/>
                </a:ext>
                <a:ext uri="{FF2B5EF4-FFF2-40B4-BE49-F238E27FC236}">
                  <a16:creationId xmlns:a16="http://schemas.microsoft.com/office/drawing/2014/main" id="{00000000-0008-0000-0100-000062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41</xdr:row>
          <xdr:rowOff>22860</xdr:rowOff>
        </xdr:from>
        <xdr:to>
          <xdr:col>11</xdr:col>
          <xdr:colOff>784860</xdr:colOff>
          <xdr:row>41</xdr:row>
          <xdr:rowOff>251460</xdr:rowOff>
        </xdr:to>
        <xdr:sp macro="" textlink="">
          <xdr:nvSpPr>
            <xdr:cNvPr id="199523" name="Spinner 867" hidden="1">
              <a:extLst>
                <a:ext uri="{63B3BB69-23CF-44E3-9099-C40C66FF867C}">
                  <a14:compatExt spid="_x0000_s199523"/>
                </a:ext>
                <a:ext uri="{FF2B5EF4-FFF2-40B4-BE49-F238E27FC236}">
                  <a16:creationId xmlns:a16="http://schemas.microsoft.com/office/drawing/2014/main" id="{00000000-0008-0000-0100-000063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41</xdr:row>
          <xdr:rowOff>22860</xdr:rowOff>
        </xdr:from>
        <xdr:to>
          <xdr:col>11</xdr:col>
          <xdr:colOff>784860</xdr:colOff>
          <xdr:row>41</xdr:row>
          <xdr:rowOff>251460</xdr:rowOff>
        </xdr:to>
        <xdr:sp macro="" textlink="">
          <xdr:nvSpPr>
            <xdr:cNvPr id="199524" name="Spinner 868" hidden="1">
              <a:extLst>
                <a:ext uri="{63B3BB69-23CF-44E3-9099-C40C66FF867C}">
                  <a14:compatExt spid="_x0000_s199524"/>
                </a:ext>
                <a:ext uri="{FF2B5EF4-FFF2-40B4-BE49-F238E27FC236}">
                  <a16:creationId xmlns:a16="http://schemas.microsoft.com/office/drawing/2014/main" id="{00000000-0008-0000-0100-000064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41</xdr:row>
          <xdr:rowOff>22860</xdr:rowOff>
        </xdr:from>
        <xdr:to>
          <xdr:col>11</xdr:col>
          <xdr:colOff>784860</xdr:colOff>
          <xdr:row>41</xdr:row>
          <xdr:rowOff>251460</xdr:rowOff>
        </xdr:to>
        <xdr:sp macro="" textlink="">
          <xdr:nvSpPr>
            <xdr:cNvPr id="199525" name="Spinner 869" hidden="1">
              <a:extLst>
                <a:ext uri="{63B3BB69-23CF-44E3-9099-C40C66FF867C}">
                  <a14:compatExt spid="_x0000_s199525"/>
                </a:ext>
                <a:ext uri="{FF2B5EF4-FFF2-40B4-BE49-F238E27FC236}">
                  <a16:creationId xmlns:a16="http://schemas.microsoft.com/office/drawing/2014/main" id="{00000000-0008-0000-0100-000065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41</xdr:row>
          <xdr:rowOff>22860</xdr:rowOff>
        </xdr:from>
        <xdr:to>
          <xdr:col>11</xdr:col>
          <xdr:colOff>784860</xdr:colOff>
          <xdr:row>41</xdr:row>
          <xdr:rowOff>251460</xdr:rowOff>
        </xdr:to>
        <xdr:sp macro="" textlink="">
          <xdr:nvSpPr>
            <xdr:cNvPr id="199526" name="Spinner 870" hidden="1">
              <a:extLst>
                <a:ext uri="{63B3BB69-23CF-44E3-9099-C40C66FF867C}">
                  <a14:compatExt spid="_x0000_s199526"/>
                </a:ext>
                <a:ext uri="{FF2B5EF4-FFF2-40B4-BE49-F238E27FC236}">
                  <a16:creationId xmlns:a16="http://schemas.microsoft.com/office/drawing/2014/main" id="{00000000-0008-0000-0100-000066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41</xdr:row>
          <xdr:rowOff>22860</xdr:rowOff>
        </xdr:from>
        <xdr:to>
          <xdr:col>11</xdr:col>
          <xdr:colOff>784860</xdr:colOff>
          <xdr:row>41</xdr:row>
          <xdr:rowOff>251460</xdr:rowOff>
        </xdr:to>
        <xdr:sp macro="" textlink="">
          <xdr:nvSpPr>
            <xdr:cNvPr id="199527" name="Spinner 871" hidden="1">
              <a:extLst>
                <a:ext uri="{63B3BB69-23CF-44E3-9099-C40C66FF867C}">
                  <a14:compatExt spid="_x0000_s199527"/>
                </a:ext>
                <a:ext uri="{FF2B5EF4-FFF2-40B4-BE49-F238E27FC236}">
                  <a16:creationId xmlns:a16="http://schemas.microsoft.com/office/drawing/2014/main" id="{00000000-0008-0000-0100-000067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41</xdr:row>
          <xdr:rowOff>22860</xdr:rowOff>
        </xdr:from>
        <xdr:to>
          <xdr:col>11</xdr:col>
          <xdr:colOff>784860</xdr:colOff>
          <xdr:row>41</xdr:row>
          <xdr:rowOff>251460</xdr:rowOff>
        </xdr:to>
        <xdr:sp macro="" textlink="">
          <xdr:nvSpPr>
            <xdr:cNvPr id="199528" name="Spinner 872" hidden="1">
              <a:extLst>
                <a:ext uri="{63B3BB69-23CF-44E3-9099-C40C66FF867C}">
                  <a14:compatExt spid="_x0000_s199528"/>
                </a:ext>
                <a:ext uri="{FF2B5EF4-FFF2-40B4-BE49-F238E27FC236}">
                  <a16:creationId xmlns:a16="http://schemas.microsoft.com/office/drawing/2014/main" id="{00000000-0008-0000-0100-000068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41</xdr:row>
          <xdr:rowOff>22860</xdr:rowOff>
        </xdr:from>
        <xdr:to>
          <xdr:col>11</xdr:col>
          <xdr:colOff>784860</xdr:colOff>
          <xdr:row>41</xdr:row>
          <xdr:rowOff>251460</xdr:rowOff>
        </xdr:to>
        <xdr:sp macro="" textlink="">
          <xdr:nvSpPr>
            <xdr:cNvPr id="199529" name="Spinner 873" hidden="1">
              <a:extLst>
                <a:ext uri="{63B3BB69-23CF-44E3-9099-C40C66FF867C}">
                  <a14:compatExt spid="_x0000_s199529"/>
                </a:ext>
                <a:ext uri="{FF2B5EF4-FFF2-40B4-BE49-F238E27FC236}">
                  <a16:creationId xmlns:a16="http://schemas.microsoft.com/office/drawing/2014/main" id="{00000000-0008-0000-0100-000069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41</xdr:row>
          <xdr:rowOff>22860</xdr:rowOff>
        </xdr:from>
        <xdr:to>
          <xdr:col>11</xdr:col>
          <xdr:colOff>784860</xdr:colOff>
          <xdr:row>41</xdr:row>
          <xdr:rowOff>251460</xdr:rowOff>
        </xdr:to>
        <xdr:sp macro="" textlink="">
          <xdr:nvSpPr>
            <xdr:cNvPr id="199530" name="Spinner 874" hidden="1">
              <a:extLst>
                <a:ext uri="{63B3BB69-23CF-44E3-9099-C40C66FF867C}">
                  <a14:compatExt spid="_x0000_s199530"/>
                </a:ext>
                <a:ext uri="{FF2B5EF4-FFF2-40B4-BE49-F238E27FC236}">
                  <a16:creationId xmlns:a16="http://schemas.microsoft.com/office/drawing/2014/main" id="{00000000-0008-0000-0100-00006A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41</xdr:row>
          <xdr:rowOff>22860</xdr:rowOff>
        </xdr:from>
        <xdr:to>
          <xdr:col>11</xdr:col>
          <xdr:colOff>784860</xdr:colOff>
          <xdr:row>41</xdr:row>
          <xdr:rowOff>251460</xdr:rowOff>
        </xdr:to>
        <xdr:sp macro="" textlink="">
          <xdr:nvSpPr>
            <xdr:cNvPr id="199531" name="Spinner 875" hidden="1">
              <a:extLst>
                <a:ext uri="{63B3BB69-23CF-44E3-9099-C40C66FF867C}">
                  <a14:compatExt spid="_x0000_s199531"/>
                </a:ext>
                <a:ext uri="{FF2B5EF4-FFF2-40B4-BE49-F238E27FC236}">
                  <a16:creationId xmlns:a16="http://schemas.microsoft.com/office/drawing/2014/main" id="{00000000-0008-0000-0100-00006B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41</xdr:row>
          <xdr:rowOff>22860</xdr:rowOff>
        </xdr:from>
        <xdr:to>
          <xdr:col>11</xdr:col>
          <xdr:colOff>784860</xdr:colOff>
          <xdr:row>41</xdr:row>
          <xdr:rowOff>251460</xdr:rowOff>
        </xdr:to>
        <xdr:sp macro="" textlink="">
          <xdr:nvSpPr>
            <xdr:cNvPr id="199532" name="Spinner 876" hidden="1">
              <a:extLst>
                <a:ext uri="{63B3BB69-23CF-44E3-9099-C40C66FF867C}">
                  <a14:compatExt spid="_x0000_s199532"/>
                </a:ext>
                <a:ext uri="{FF2B5EF4-FFF2-40B4-BE49-F238E27FC236}">
                  <a16:creationId xmlns:a16="http://schemas.microsoft.com/office/drawing/2014/main" id="{00000000-0008-0000-0100-00006C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41</xdr:row>
          <xdr:rowOff>22860</xdr:rowOff>
        </xdr:from>
        <xdr:to>
          <xdr:col>11</xdr:col>
          <xdr:colOff>784860</xdr:colOff>
          <xdr:row>41</xdr:row>
          <xdr:rowOff>251460</xdr:rowOff>
        </xdr:to>
        <xdr:sp macro="" textlink="">
          <xdr:nvSpPr>
            <xdr:cNvPr id="199533" name="Spinner 877" hidden="1">
              <a:extLst>
                <a:ext uri="{63B3BB69-23CF-44E3-9099-C40C66FF867C}">
                  <a14:compatExt spid="_x0000_s199533"/>
                </a:ext>
                <a:ext uri="{FF2B5EF4-FFF2-40B4-BE49-F238E27FC236}">
                  <a16:creationId xmlns:a16="http://schemas.microsoft.com/office/drawing/2014/main" id="{00000000-0008-0000-0100-00006D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41</xdr:row>
          <xdr:rowOff>22860</xdr:rowOff>
        </xdr:from>
        <xdr:to>
          <xdr:col>11</xdr:col>
          <xdr:colOff>784860</xdr:colOff>
          <xdr:row>41</xdr:row>
          <xdr:rowOff>251460</xdr:rowOff>
        </xdr:to>
        <xdr:sp macro="" textlink="">
          <xdr:nvSpPr>
            <xdr:cNvPr id="199534" name="Spinner 878" hidden="1">
              <a:extLst>
                <a:ext uri="{63B3BB69-23CF-44E3-9099-C40C66FF867C}">
                  <a14:compatExt spid="_x0000_s199534"/>
                </a:ext>
                <a:ext uri="{FF2B5EF4-FFF2-40B4-BE49-F238E27FC236}">
                  <a16:creationId xmlns:a16="http://schemas.microsoft.com/office/drawing/2014/main" id="{00000000-0008-0000-0100-00006E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41</xdr:row>
          <xdr:rowOff>22860</xdr:rowOff>
        </xdr:from>
        <xdr:to>
          <xdr:col>11</xdr:col>
          <xdr:colOff>784860</xdr:colOff>
          <xdr:row>41</xdr:row>
          <xdr:rowOff>251460</xdr:rowOff>
        </xdr:to>
        <xdr:sp macro="" textlink="">
          <xdr:nvSpPr>
            <xdr:cNvPr id="199535" name="Spinner 879" hidden="1">
              <a:extLst>
                <a:ext uri="{63B3BB69-23CF-44E3-9099-C40C66FF867C}">
                  <a14:compatExt spid="_x0000_s199535"/>
                </a:ext>
                <a:ext uri="{FF2B5EF4-FFF2-40B4-BE49-F238E27FC236}">
                  <a16:creationId xmlns:a16="http://schemas.microsoft.com/office/drawing/2014/main" id="{00000000-0008-0000-0100-00006F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41</xdr:row>
          <xdr:rowOff>22860</xdr:rowOff>
        </xdr:from>
        <xdr:to>
          <xdr:col>11</xdr:col>
          <xdr:colOff>784860</xdr:colOff>
          <xdr:row>41</xdr:row>
          <xdr:rowOff>251460</xdr:rowOff>
        </xdr:to>
        <xdr:sp macro="" textlink="">
          <xdr:nvSpPr>
            <xdr:cNvPr id="199536" name="Spinner 880" hidden="1">
              <a:extLst>
                <a:ext uri="{63B3BB69-23CF-44E3-9099-C40C66FF867C}">
                  <a14:compatExt spid="_x0000_s199536"/>
                </a:ext>
                <a:ext uri="{FF2B5EF4-FFF2-40B4-BE49-F238E27FC236}">
                  <a16:creationId xmlns:a16="http://schemas.microsoft.com/office/drawing/2014/main" id="{00000000-0008-0000-0100-000070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41</xdr:row>
          <xdr:rowOff>22860</xdr:rowOff>
        </xdr:from>
        <xdr:to>
          <xdr:col>11</xdr:col>
          <xdr:colOff>784860</xdr:colOff>
          <xdr:row>41</xdr:row>
          <xdr:rowOff>251460</xdr:rowOff>
        </xdr:to>
        <xdr:sp macro="" textlink="">
          <xdr:nvSpPr>
            <xdr:cNvPr id="199537" name="Spinner 881" hidden="1">
              <a:extLst>
                <a:ext uri="{63B3BB69-23CF-44E3-9099-C40C66FF867C}">
                  <a14:compatExt spid="_x0000_s199537"/>
                </a:ext>
                <a:ext uri="{FF2B5EF4-FFF2-40B4-BE49-F238E27FC236}">
                  <a16:creationId xmlns:a16="http://schemas.microsoft.com/office/drawing/2014/main" id="{00000000-0008-0000-0100-000071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41</xdr:row>
          <xdr:rowOff>22860</xdr:rowOff>
        </xdr:from>
        <xdr:to>
          <xdr:col>11</xdr:col>
          <xdr:colOff>784860</xdr:colOff>
          <xdr:row>41</xdr:row>
          <xdr:rowOff>251460</xdr:rowOff>
        </xdr:to>
        <xdr:sp macro="" textlink="">
          <xdr:nvSpPr>
            <xdr:cNvPr id="199538" name="Spinner 882" hidden="1">
              <a:extLst>
                <a:ext uri="{63B3BB69-23CF-44E3-9099-C40C66FF867C}">
                  <a14:compatExt spid="_x0000_s199538"/>
                </a:ext>
                <a:ext uri="{FF2B5EF4-FFF2-40B4-BE49-F238E27FC236}">
                  <a16:creationId xmlns:a16="http://schemas.microsoft.com/office/drawing/2014/main" id="{00000000-0008-0000-0100-000072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41</xdr:row>
          <xdr:rowOff>22860</xdr:rowOff>
        </xdr:from>
        <xdr:to>
          <xdr:col>11</xdr:col>
          <xdr:colOff>784860</xdr:colOff>
          <xdr:row>41</xdr:row>
          <xdr:rowOff>251460</xdr:rowOff>
        </xdr:to>
        <xdr:sp macro="" textlink="">
          <xdr:nvSpPr>
            <xdr:cNvPr id="199539" name="Spinner 883" hidden="1">
              <a:extLst>
                <a:ext uri="{63B3BB69-23CF-44E3-9099-C40C66FF867C}">
                  <a14:compatExt spid="_x0000_s199539"/>
                </a:ext>
                <a:ext uri="{FF2B5EF4-FFF2-40B4-BE49-F238E27FC236}">
                  <a16:creationId xmlns:a16="http://schemas.microsoft.com/office/drawing/2014/main" id="{00000000-0008-0000-0100-000073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41</xdr:row>
          <xdr:rowOff>22860</xdr:rowOff>
        </xdr:from>
        <xdr:to>
          <xdr:col>11</xdr:col>
          <xdr:colOff>784860</xdr:colOff>
          <xdr:row>41</xdr:row>
          <xdr:rowOff>251460</xdr:rowOff>
        </xdr:to>
        <xdr:sp macro="" textlink="">
          <xdr:nvSpPr>
            <xdr:cNvPr id="199540" name="Spinner 884" hidden="1">
              <a:extLst>
                <a:ext uri="{63B3BB69-23CF-44E3-9099-C40C66FF867C}">
                  <a14:compatExt spid="_x0000_s199540"/>
                </a:ext>
                <a:ext uri="{FF2B5EF4-FFF2-40B4-BE49-F238E27FC236}">
                  <a16:creationId xmlns:a16="http://schemas.microsoft.com/office/drawing/2014/main" id="{00000000-0008-0000-0100-000074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41</xdr:row>
          <xdr:rowOff>22860</xdr:rowOff>
        </xdr:from>
        <xdr:to>
          <xdr:col>11</xdr:col>
          <xdr:colOff>784860</xdr:colOff>
          <xdr:row>41</xdr:row>
          <xdr:rowOff>251460</xdr:rowOff>
        </xdr:to>
        <xdr:sp macro="" textlink="">
          <xdr:nvSpPr>
            <xdr:cNvPr id="199541" name="Spinner 885" hidden="1">
              <a:extLst>
                <a:ext uri="{63B3BB69-23CF-44E3-9099-C40C66FF867C}">
                  <a14:compatExt spid="_x0000_s199541"/>
                </a:ext>
                <a:ext uri="{FF2B5EF4-FFF2-40B4-BE49-F238E27FC236}">
                  <a16:creationId xmlns:a16="http://schemas.microsoft.com/office/drawing/2014/main" id="{00000000-0008-0000-0100-000075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41</xdr:row>
          <xdr:rowOff>22860</xdr:rowOff>
        </xdr:from>
        <xdr:to>
          <xdr:col>11</xdr:col>
          <xdr:colOff>784860</xdr:colOff>
          <xdr:row>41</xdr:row>
          <xdr:rowOff>251460</xdr:rowOff>
        </xdr:to>
        <xdr:sp macro="" textlink="">
          <xdr:nvSpPr>
            <xdr:cNvPr id="199542" name="Spinner 886" hidden="1">
              <a:extLst>
                <a:ext uri="{63B3BB69-23CF-44E3-9099-C40C66FF867C}">
                  <a14:compatExt spid="_x0000_s199542"/>
                </a:ext>
                <a:ext uri="{FF2B5EF4-FFF2-40B4-BE49-F238E27FC236}">
                  <a16:creationId xmlns:a16="http://schemas.microsoft.com/office/drawing/2014/main" id="{00000000-0008-0000-0100-000076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41</xdr:row>
          <xdr:rowOff>22860</xdr:rowOff>
        </xdr:from>
        <xdr:to>
          <xdr:col>11</xdr:col>
          <xdr:colOff>784860</xdr:colOff>
          <xdr:row>41</xdr:row>
          <xdr:rowOff>251460</xdr:rowOff>
        </xdr:to>
        <xdr:sp macro="" textlink="">
          <xdr:nvSpPr>
            <xdr:cNvPr id="199543" name="Spinner 887" hidden="1">
              <a:extLst>
                <a:ext uri="{63B3BB69-23CF-44E3-9099-C40C66FF867C}">
                  <a14:compatExt spid="_x0000_s199543"/>
                </a:ext>
                <a:ext uri="{FF2B5EF4-FFF2-40B4-BE49-F238E27FC236}">
                  <a16:creationId xmlns:a16="http://schemas.microsoft.com/office/drawing/2014/main" id="{00000000-0008-0000-0100-000077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41</xdr:row>
          <xdr:rowOff>22860</xdr:rowOff>
        </xdr:from>
        <xdr:to>
          <xdr:col>11</xdr:col>
          <xdr:colOff>784860</xdr:colOff>
          <xdr:row>41</xdr:row>
          <xdr:rowOff>251460</xdr:rowOff>
        </xdr:to>
        <xdr:sp macro="" textlink="">
          <xdr:nvSpPr>
            <xdr:cNvPr id="199544" name="Spinner 888" hidden="1">
              <a:extLst>
                <a:ext uri="{63B3BB69-23CF-44E3-9099-C40C66FF867C}">
                  <a14:compatExt spid="_x0000_s199544"/>
                </a:ext>
                <a:ext uri="{FF2B5EF4-FFF2-40B4-BE49-F238E27FC236}">
                  <a16:creationId xmlns:a16="http://schemas.microsoft.com/office/drawing/2014/main" id="{00000000-0008-0000-0100-000078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41</xdr:row>
          <xdr:rowOff>22860</xdr:rowOff>
        </xdr:from>
        <xdr:to>
          <xdr:col>11</xdr:col>
          <xdr:colOff>784860</xdr:colOff>
          <xdr:row>41</xdr:row>
          <xdr:rowOff>251460</xdr:rowOff>
        </xdr:to>
        <xdr:sp macro="" textlink="">
          <xdr:nvSpPr>
            <xdr:cNvPr id="199545" name="Spinner 889" hidden="1">
              <a:extLst>
                <a:ext uri="{63B3BB69-23CF-44E3-9099-C40C66FF867C}">
                  <a14:compatExt spid="_x0000_s199545"/>
                </a:ext>
                <a:ext uri="{FF2B5EF4-FFF2-40B4-BE49-F238E27FC236}">
                  <a16:creationId xmlns:a16="http://schemas.microsoft.com/office/drawing/2014/main" id="{00000000-0008-0000-0100-000079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41</xdr:row>
          <xdr:rowOff>22860</xdr:rowOff>
        </xdr:from>
        <xdr:to>
          <xdr:col>11</xdr:col>
          <xdr:colOff>784860</xdr:colOff>
          <xdr:row>41</xdr:row>
          <xdr:rowOff>251460</xdr:rowOff>
        </xdr:to>
        <xdr:sp macro="" textlink="">
          <xdr:nvSpPr>
            <xdr:cNvPr id="199546" name="Spinner 890" hidden="1">
              <a:extLst>
                <a:ext uri="{63B3BB69-23CF-44E3-9099-C40C66FF867C}">
                  <a14:compatExt spid="_x0000_s199546"/>
                </a:ext>
                <a:ext uri="{FF2B5EF4-FFF2-40B4-BE49-F238E27FC236}">
                  <a16:creationId xmlns:a16="http://schemas.microsoft.com/office/drawing/2014/main" id="{00000000-0008-0000-0100-00007A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41</xdr:row>
          <xdr:rowOff>22860</xdr:rowOff>
        </xdr:from>
        <xdr:to>
          <xdr:col>11</xdr:col>
          <xdr:colOff>784860</xdr:colOff>
          <xdr:row>41</xdr:row>
          <xdr:rowOff>251460</xdr:rowOff>
        </xdr:to>
        <xdr:sp macro="" textlink="">
          <xdr:nvSpPr>
            <xdr:cNvPr id="199547" name="Spinner 891" hidden="1">
              <a:extLst>
                <a:ext uri="{63B3BB69-23CF-44E3-9099-C40C66FF867C}">
                  <a14:compatExt spid="_x0000_s199547"/>
                </a:ext>
                <a:ext uri="{FF2B5EF4-FFF2-40B4-BE49-F238E27FC236}">
                  <a16:creationId xmlns:a16="http://schemas.microsoft.com/office/drawing/2014/main" id="{00000000-0008-0000-0100-00007B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41</xdr:row>
          <xdr:rowOff>22860</xdr:rowOff>
        </xdr:from>
        <xdr:to>
          <xdr:col>11</xdr:col>
          <xdr:colOff>784860</xdr:colOff>
          <xdr:row>41</xdr:row>
          <xdr:rowOff>251460</xdr:rowOff>
        </xdr:to>
        <xdr:sp macro="" textlink="">
          <xdr:nvSpPr>
            <xdr:cNvPr id="199548" name="Spinner 892" hidden="1">
              <a:extLst>
                <a:ext uri="{63B3BB69-23CF-44E3-9099-C40C66FF867C}">
                  <a14:compatExt spid="_x0000_s199548"/>
                </a:ext>
                <a:ext uri="{FF2B5EF4-FFF2-40B4-BE49-F238E27FC236}">
                  <a16:creationId xmlns:a16="http://schemas.microsoft.com/office/drawing/2014/main" id="{00000000-0008-0000-0100-00007C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42</xdr:row>
          <xdr:rowOff>22860</xdr:rowOff>
        </xdr:from>
        <xdr:to>
          <xdr:col>11</xdr:col>
          <xdr:colOff>784860</xdr:colOff>
          <xdr:row>42</xdr:row>
          <xdr:rowOff>251460</xdr:rowOff>
        </xdr:to>
        <xdr:sp macro="" textlink="">
          <xdr:nvSpPr>
            <xdr:cNvPr id="199549" name="Spinner 893" hidden="1">
              <a:extLst>
                <a:ext uri="{63B3BB69-23CF-44E3-9099-C40C66FF867C}">
                  <a14:compatExt spid="_x0000_s199549"/>
                </a:ext>
                <a:ext uri="{FF2B5EF4-FFF2-40B4-BE49-F238E27FC236}">
                  <a16:creationId xmlns:a16="http://schemas.microsoft.com/office/drawing/2014/main" id="{00000000-0008-0000-0100-00007D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42</xdr:row>
          <xdr:rowOff>22860</xdr:rowOff>
        </xdr:from>
        <xdr:to>
          <xdr:col>11</xdr:col>
          <xdr:colOff>784860</xdr:colOff>
          <xdr:row>42</xdr:row>
          <xdr:rowOff>251460</xdr:rowOff>
        </xdr:to>
        <xdr:sp macro="" textlink="">
          <xdr:nvSpPr>
            <xdr:cNvPr id="199550" name="Spinner 894" hidden="1">
              <a:extLst>
                <a:ext uri="{63B3BB69-23CF-44E3-9099-C40C66FF867C}">
                  <a14:compatExt spid="_x0000_s199550"/>
                </a:ext>
                <a:ext uri="{FF2B5EF4-FFF2-40B4-BE49-F238E27FC236}">
                  <a16:creationId xmlns:a16="http://schemas.microsoft.com/office/drawing/2014/main" id="{00000000-0008-0000-0100-00007E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42</xdr:row>
          <xdr:rowOff>22860</xdr:rowOff>
        </xdr:from>
        <xdr:to>
          <xdr:col>11</xdr:col>
          <xdr:colOff>784860</xdr:colOff>
          <xdr:row>42</xdr:row>
          <xdr:rowOff>251460</xdr:rowOff>
        </xdr:to>
        <xdr:sp macro="" textlink="">
          <xdr:nvSpPr>
            <xdr:cNvPr id="199551" name="Spinner 895" hidden="1">
              <a:extLst>
                <a:ext uri="{63B3BB69-23CF-44E3-9099-C40C66FF867C}">
                  <a14:compatExt spid="_x0000_s199551"/>
                </a:ext>
                <a:ext uri="{FF2B5EF4-FFF2-40B4-BE49-F238E27FC236}">
                  <a16:creationId xmlns:a16="http://schemas.microsoft.com/office/drawing/2014/main" id="{00000000-0008-0000-0100-00007F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42</xdr:row>
          <xdr:rowOff>7620</xdr:rowOff>
        </xdr:from>
        <xdr:to>
          <xdr:col>10</xdr:col>
          <xdr:colOff>1295400</xdr:colOff>
          <xdr:row>42</xdr:row>
          <xdr:rowOff>236220</xdr:rowOff>
        </xdr:to>
        <xdr:sp macro="" textlink="">
          <xdr:nvSpPr>
            <xdr:cNvPr id="199552" name="Spinner 896" hidden="1">
              <a:extLst>
                <a:ext uri="{63B3BB69-23CF-44E3-9099-C40C66FF867C}">
                  <a14:compatExt spid="_x0000_s199552"/>
                </a:ext>
                <a:ext uri="{FF2B5EF4-FFF2-40B4-BE49-F238E27FC236}">
                  <a16:creationId xmlns:a16="http://schemas.microsoft.com/office/drawing/2014/main" id="{00000000-0008-0000-0100-000080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42</xdr:row>
          <xdr:rowOff>7620</xdr:rowOff>
        </xdr:from>
        <xdr:to>
          <xdr:col>10</xdr:col>
          <xdr:colOff>1295400</xdr:colOff>
          <xdr:row>42</xdr:row>
          <xdr:rowOff>236220</xdr:rowOff>
        </xdr:to>
        <xdr:sp macro="" textlink="">
          <xdr:nvSpPr>
            <xdr:cNvPr id="199553" name="Spinner 897" hidden="1">
              <a:extLst>
                <a:ext uri="{63B3BB69-23CF-44E3-9099-C40C66FF867C}">
                  <a14:compatExt spid="_x0000_s199553"/>
                </a:ext>
                <a:ext uri="{FF2B5EF4-FFF2-40B4-BE49-F238E27FC236}">
                  <a16:creationId xmlns:a16="http://schemas.microsoft.com/office/drawing/2014/main" id="{00000000-0008-0000-0100-000081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42</xdr:row>
          <xdr:rowOff>7620</xdr:rowOff>
        </xdr:from>
        <xdr:to>
          <xdr:col>10</xdr:col>
          <xdr:colOff>1295400</xdr:colOff>
          <xdr:row>42</xdr:row>
          <xdr:rowOff>236220</xdr:rowOff>
        </xdr:to>
        <xdr:sp macro="" textlink="">
          <xdr:nvSpPr>
            <xdr:cNvPr id="199554" name="Spinner 898" hidden="1">
              <a:extLst>
                <a:ext uri="{63B3BB69-23CF-44E3-9099-C40C66FF867C}">
                  <a14:compatExt spid="_x0000_s199554"/>
                </a:ext>
                <a:ext uri="{FF2B5EF4-FFF2-40B4-BE49-F238E27FC236}">
                  <a16:creationId xmlns:a16="http://schemas.microsoft.com/office/drawing/2014/main" id="{00000000-0008-0000-0100-000082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42</xdr:row>
          <xdr:rowOff>22860</xdr:rowOff>
        </xdr:from>
        <xdr:to>
          <xdr:col>11</xdr:col>
          <xdr:colOff>784860</xdr:colOff>
          <xdr:row>42</xdr:row>
          <xdr:rowOff>251460</xdr:rowOff>
        </xdr:to>
        <xdr:sp macro="" textlink="">
          <xdr:nvSpPr>
            <xdr:cNvPr id="199555" name="Spinner 899" hidden="1">
              <a:extLst>
                <a:ext uri="{63B3BB69-23CF-44E3-9099-C40C66FF867C}">
                  <a14:compatExt spid="_x0000_s199555"/>
                </a:ext>
                <a:ext uri="{FF2B5EF4-FFF2-40B4-BE49-F238E27FC236}">
                  <a16:creationId xmlns:a16="http://schemas.microsoft.com/office/drawing/2014/main" id="{00000000-0008-0000-0100-000083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42</xdr:row>
          <xdr:rowOff>7620</xdr:rowOff>
        </xdr:from>
        <xdr:to>
          <xdr:col>10</xdr:col>
          <xdr:colOff>1295400</xdr:colOff>
          <xdr:row>42</xdr:row>
          <xdr:rowOff>236220</xdr:rowOff>
        </xdr:to>
        <xdr:sp macro="" textlink="">
          <xdr:nvSpPr>
            <xdr:cNvPr id="199556" name="Spinner 900" hidden="1">
              <a:extLst>
                <a:ext uri="{63B3BB69-23CF-44E3-9099-C40C66FF867C}">
                  <a14:compatExt spid="_x0000_s199556"/>
                </a:ext>
                <a:ext uri="{FF2B5EF4-FFF2-40B4-BE49-F238E27FC236}">
                  <a16:creationId xmlns:a16="http://schemas.microsoft.com/office/drawing/2014/main" id="{00000000-0008-0000-0100-000084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42</xdr:row>
          <xdr:rowOff>7620</xdr:rowOff>
        </xdr:from>
        <xdr:to>
          <xdr:col>10</xdr:col>
          <xdr:colOff>1295400</xdr:colOff>
          <xdr:row>42</xdr:row>
          <xdr:rowOff>236220</xdr:rowOff>
        </xdr:to>
        <xdr:sp macro="" textlink="">
          <xdr:nvSpPr>
            <xdr:cNvPr id="199557" name="Spinner 901" hidden="1">
              <a:extLst>
                <a:ext uri="{63B3BB69-23CF-44E3-9099-C40C66FF867C}">
                  <a14:compatExt spid="_x0000_s199557"/>
                </a:ext>
                <a:ext uri="{FF2B5EF4-FFF2-40B4-BE49-F238E27FC236}">
                  <a16:creationId xmlns:a16="http://schemas.microsoft.com/office/drawing/2014/main" id="{00000000-0008-0000-0100-000085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42</xdr:row>
          <xdr:rowOff>22860</xdr:rowOff>
        </xdr:from>
        <xdr:to>
          <xdr:col>11</xdr:col>
          <xdr:colOff>784860</xdr:colOff>
          <xdr:row>42</xdr:row>
          <xdr:rowOff>251460</xdr:rowOff>
        </xdr:to>
        <xdr:sp macro="" textlink="">
          <xdr:nvSpPr>
            <xdr:cNvPr id="199558" name="Spinner 902" hidden="1">
              <a:extLst>
                <a:ext uri="{63B3BB69-23CF-44E3-9099-C40C66FF867C}">
                  <a14:compatExt spid="_x0000_s199558"/>
                </a:ext>
                <a:ext uri="{FF2B5EF4-FFF2-40B4-BE49-F238E27FC236}">
                  <a16:creationId xmlns:a16="http://schemas.microsoft.com/office/drawing/2014/main" id="{00000000-0008-0000-0100-000086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42</xdr:row>
          <xdr:rowOff>22860</xdr:rowOff>
        </xdr:from>
        <xdr:to>
          <xdr:col>11</xdr:col>
          <xdr:colOff>784860</xdr:colOff>
          <xdr:row>42</xdr:row>
          <xdr:rowOff>251460</xdr:rowOff>
        </xdr:to>
        <xdr:sp macro="" textlink="">
          <xdr:nvSpPr>
            <xdr:cNvPr id="199559" name="Spinner 903" hidden="1">
              <a:extLst>
                <a:ext uri="{63B3BB69-23CF-44E3-9099-C40C66FF867C}">
                  <a14:compatExt spid="_x0000_s199559"/>
                </a:ext>
                <a:ext uri="{FF2B5EF4-FFF2-40B4-BE49-F238E27FC236}">
                  <a16:creationId xmlns:a16="http://schemas.microsoft.com/office/drawing/2014/main" id="{00000000-0008-0000-0100-000087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42</xdr:row>
          <xdr:rowOff>22860</xdr:rowOff>
        </xdr:from>
        <xdr:to>
          <xdr:col>11</xdr:col>
          <xdr:colOff>784860</xdr:colOff>
          <xdr:row>42</xdr:row>
          <xdr:rowOff>251460</xdr:rowOff>
        </xdr:to>
        <xdr:sp macro="" textlink="">
          <xdr:nvSpPr>
            <xdr:cNvPr id="199560" name="Spinner 904" hidden="1">
              <a:extLst>
                <a:ext uri="{63B3BB69-23CF-44E3-9099-C40C66FF867C}">
                  <a14:compatExt spid="_x0000_s199560"/>
                </a:ext>
                <a:ext uri="{FF2B5EF4-FFF2-40B4-BE49-F238E27FC236}">
                  <a16:creationId xmlns:a16="http://schemas.microsoft.com/office/drawing/2014/main" id="{00000000-0008-0000-0100-000088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42</xdr:row>
          <xdr:rowOff>22860</xdr:rowOff>
        </xdr:from>
        <xdr:to>
          <xdr:col>11</xdr:col>
          <xdr:colOff>784860</xdr:colOff>
          <xdr:row>42</xdr:row>
          <xdr:rowOff>251460</xdr:rowOff>
        </xdr:to>
        <xdr:sp macro="" textlink="">
          <xdr:nvSpPr>
            <xdr:cNvPr id="199561" name="Spinner 905" hidden="1">
              <a:extLst>
                <a:ext uri="{63B3BB69-23CF-44E3-9099-C40C66FF867C}">
                  <a14:compatExt spid="_x0000_s199561"/>
                </a:ext>
                <a:ext uri="{FF2B5EF4-FFF2-40B4-BE49-F238E27FC236}">
                  <a16:creationId xmlns:a16="http://schemas.microsoft.com/office/drawing/2014/main" id="{00000000-0008-0000-0100-000089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42</xdr:row>
          <xdr:rowOff>22860</xdr:rowOff>
        </xdr:from>
        <xdr:to>
          <xdr:col>11</xdr:col>
          <xdr:colOff>784860</xdr:colOff>
          <xdr:row>42</xdr:row>
          <xdr:rowOff>251460</xdr:rowOff>
        </xdr:to>
        <xdr:sp macro="" textlink="">
          <xdr:nvSpPr>
            <xdr:cNvPr id="199562" name="Spinner 906" hidden="1">
              <a:extLst>
                <a:ext uri="{63B3BB69-23CF-44E3-9099-C40C66FF867C}">
                  <a14:compatExt spid="_x0000_s199562"/>
                </a:ext>
                <a:ext uri="{FF2B5EF4-FFF2-40B4-BE49-F238E27FC236}">
                  <a16:creationId xmlns:a16="http://schemas.microsoft.com/office/drawing/2014/main" id="{00000000-0008-0000-0100-00008A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42</xdr:row>
          <xdr:rowOff>22860</xdr:rowOff>
        </xdr:from>
        <xdr:to>
          <xdr:col>11</xdr:col>
          <xdr:colOff>784860</xdr:colOff>
          <xdr:row>42</xdr:row>
          <xdr:rowOff>251460</xdr:rowOff>
        </xdr:to>
        <xdr:sp macro="" textlink="">
          <xdr:nvSpPr>
            <xdr:cNvPr id="199563" name="Spinner 907" hidden="1">
              <a:extLst>
                <a:ext uri="{63B3BB69-23CF-44E3-9099-C40C66FF867C}">
                  <a14:compatExt spid="_x0000_s199563"/>
                </a:ext>
                <a:ext uri="{FF2B5EF4-FFF2-40B4-BE49-F238E27FC236}">
                  <a16:creationId xmlns:a16="http://schemas.microsoft.com/office/drawing/2014/main" id="{00000000-0008-0000-0100-00008B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42</xdr:row>
          <xdr:rowOff>22860</xdr:rowOff>
        </xdr:from>
        <xdr:to>
          <xdr:col>11</xdr:col>
          <xdr:colOff>784860</xdr:colOff>
          <xdr:row>42</xdr:row>
          <xdr:rowOff>251460</xdr:rowOff>
        </xdr:to>
        <xdr:sp macro="" textlink="">
          <xdr:nvSpPr>
            <xdr:cNvPr id="199564" name="Spinner 908" hidden="1">
              <a:extLst>
                <a:ext uri="{63B3BB69-23CF-44E3-9099-C40C66FF867C}">
                  <a14:compatExt spid="_x0000_s199564"/>
                </a:ext>
                <a:ext uri="{FF2B5EF4-FFF2-40B4-BE49-F238E27FC236}">
                  <a16:creationId xmlns:a16="http://schemas.microsoft.com/office/drawing/2014/main" id="{00000000-0008-0000-0100-00008C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42</xdr:row>
          <xdr:rowOff>22860</xdr:rowOff>
        </xdr:from>
        <xdr:to>
          <xdr:col>11</xdr:col>
          <xdr:colOff>784860</xdr:colOff>
          <xdr:row>42</xdr:row>
          <xdr:rowOff>251460</xdr:rowOff>
        </xdr:to>
        <xdr:sp macro="" textlink="">
          <xdr:nvSpPr>
            <xdr:cNvPr id="199565" name="Spinner 909" hidden="1">
              <a:extLst>
                <a:ext uri="{63B3BB69-23CF-44E3-9099-C40C66FF867C}">
                  <a14:compatExt spid="_x0000_s199565"/>
                </a:ext>
                <a:ext uri="{FF2B5EF4-FFF2-40B4-BE49-F238E27FC236}">
                  <a16:creationId xmlns:a16="http://schemas.microsoft.com/office/drawing/2014/main" id="{00000000-0008-0000-0100-00008D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42</xdr:row>
          <xdr:rowOff>22860</xdr:rowOff>
        </xdr:from>
        <xdr:to>
          <xdr:col>11</xdr:col>
          <xdr:colOff>784860</xdr:colOff>
          <xdr:row>42</xdr:row>
          <xdr:rowOff>251460</xdr:rowOff>
        </xdr:to>
        <xdr:sp macro="" textlink="">
          <xdr:nvSpPr>
            <xdr:cNvPr id="199566" name="Spinner 910" hidden="1">
              <a:extLst>
                <a:ext uri="{63B3BB69-23CF-44E3-9099-C40C66FF867C}">
                  <a14:compatExt spid="_x0000_s199566"/>
                </a:ext>
                <a:ext uri="{FF2B5EF4-FFF2-40B4-BE49-F238E27FC236}">
                  <a16:creationId xmlns:a16="http://schemas.microsoft.com/office/drawing/2014/main" id="{00000000-0008-0000-0100-00008E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42</xdr:row>
          <xdr:rowOff>22860</xdr:rowOff>
        </xdr:from>
        <xdr:to>
          <xdr:col>11</xdr:col>
          <xdr:colOff>784860</xdr:colOff>
          <xdr:row>42</xdr:row>
          <xdr:rowOff>251460</xdr:rowOff>
        </xdr:to>
        <xdr:sp macro="" textlink="">
          <xdr:nvSpPr>
            <xdr:cNvPr id="199567" name="Spinner 911" hidden="1">
              <a:extLst>
                <a:ext uri="{63B3BB69-23CF-44E3-9099-C40C66FF867C}">
                  <a14:compatExt spid="_x0000_s199567"/>
                </a:ext>
                <a:ext uri="{FF2B5EF4-FFF2-40B4-BE49-F238E27FC236}">
                  <a16:creationId xmlns:a16="http://schemas.microsoft.com/office/drawing/2014/main" id="{00000000-0008-0000-0100-00008F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42</xdr:row>
          <xdr:rowOff>22860</xdr:rowOff>
        </xdr:from>
        <xdr:to>
          <xdr:col>11</xdr:col>
          <xdr:colOff>784860</xdr:colOff>
          <xdr:row>42</xdr:row>
          <xdr:rowOff>251460</xdr:rowOff>
        </xdr:to>
        <xdr:sp macro="" textlink="">
          <xdr:nvSpPr>
            <xdr:cNvPr id="199568" name="Spinner 912" hidden="1">
              <a:extLst>
                <a:ext uri="{63B3BB69-23CF-44E3-9099-C40C66FF867C}">
                  <a14:compatExt spid="_x0000_s199568"/>
                </a:ext>
                <a:ext uri="{FF2B5EF4-FFF2-40B4-BE49-F238E27FC236}">
                  <a16:creationId xmlns:a16="http://schemas.microsoft.com/office/drawing/2014/main" id="{00000000-0008-0000-0100-000090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42</xdr:row>
          <xdr:rowOff>22860</xdr:rowOff>
        </xdr:from>
        <xdr:to>
          <xdr:col>11</xdr:col>
          <xdr:colOff>784860</xdr:colOff>
          <xdr:row>42</xdr:row>
          <xdr:rowOff>251460</xdr:rowOff>
        </xdr:to>
        <xdr:sp macro="" textlink="">
          <xdr:nvSpPr>
            <xdr:cNvPr id="199569" name="Spinner 913" hidden="1">
              <a:extLst>
                <a:ext uri="{63B3BB69-23CF-44E3-9099-C40C66FF867C}">
                  <a14:compatExt spid="_x0000_s199569"/>
                </a:ext>
                <a:ext uri="{FF2B5EF4-FFF2-40B4-BE49-F238E27FC236}">
                  <a16:creationId xmlns:a16="http://schemas.microsoft.com/office/drawing/2014/main" id="{00000000-0008-0000-0100-000091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42</xdr:row>
          <xdr:rowOff>22860</xdr:rowOff>
        </xdr:from>
        <xdr:to>
          <xdr:col>11</xdr:col>
          <xdr:colOff>784860</xdr:colOff>
          <xdr:row>42</xdr:row>
          <xdr:rowOff>251460</xdr:rowOff>
        </xdr:to>
        <xdr:sp macro="" textlink="">
          <xdr:nvSpPr>
            <xdr:cNvPr id="199570" name="Spinner 914" hidden="1">
              <a:extLst>
                <a:ext uri="{63B3BB69-23CF-44E3-9099-C40C66FF867C}">
                  <a14:compatExt spid="_x0000_s199570"/>
                </a:ext>
                <a:ext uri="{FF2B5EF4-FFF2-40B4-BE49-F238E27FC236}">
                  <a16:creationId xmlns:a16="http://schemas.microsoft.com/office/drawing/2014/main" id="{00000000-0008-0000-0100-000092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42</xdr:row>
          <xdr:rowOff>22860</xdr:rowOff>
        </xdr:from>
        <xdr:to>
          <xdr:col>11</xdr:col>
          <xdr:colOff>784860</xdr:colOff>
          <xdr:row>42</xdr:row>
          <xdr:rowOff>251460</xdr:rowOff>
        </xdr:to>
        <xdr:sp macro="" textlink="">
          <xdr:nvSpPr>
            <xdr:cNvPr id="199571" name="Spinner 915" hidden="1">
              <a:extLst>
                <a:ext uri="{63B3BB69-23CF-44E3-9099-C40C66FF867C}">
                  <a14:compatExt spid="_x0000_s199571"/>
                </a:ext>
                <a:ext uri="{FF2B5EF4-FFF2-40B4-BE49-F238E27FC236}">
                  <a16:creationId xmlns:a16="http://schemas.microsoft.com/office/drawing/2014/main" id="{00000000-0008-0000-0100-000093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42</xdr:row>
          <xdr:rowOff>22860</xdr:rowOff>
        </xdr:from>
        <xdr:to>
          <xdr:col>11</xdr:col>
          <xdr:colOff>784860</xdr:colOff>
          <xdr:row>42</xdr:row>
          <xdr:rowOff>251460</xdr:rowOff>
        </xdr:to>
        <xdr:sp macro="" textlink="">
          <xdr:nvSpPr>
            <xdr:cNvPr id="199572" name="Spinner 916" hidden="1">
              <a:extLst>
                <a:ext uri="{63B3BB69-23CF-44E3-9099-C40C66FF867C}">
                  <a14:compatExt spid="_x0000_s199572"/>
                </a:ext>
                <a:ext uri="{FF2B5EF4-FFF2-40B4-BE49-F238E27FC236}">
                  <a16:creationId xmlns:a16="http://schemas.microsoft.com/office/drawing/2014/main" id="{00000000-0008-0000-0100-000094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42</xdr:row>
          <xdr:rowOff>22860</xdr:rowOff>
        </xdr:from>
        <xdr:to>
          <xdr:col>11</xdr:col>
          <xdr:colOff>784860</xdr:colOff>
          <xdr:row>42</xdr:row>
          <xdr:rowOff>251460</xdr:rowOff>
        </xdr:to>
        <xdr:sp macro="" textlink="">
          <xdr:nvSpPr>
            <xdr:cNvPr id="199573" name="Spinner 917" hidden="1">
              <a:extLst>
                <a:ext uri="{63B3BB69-23CF-44E3-9099-C40C66FF867C}">
                  <a14:compatExt spid="_x0000_s199573"/>
                </a:ext>
                <a:ext uri="{FF2B5EF4-FFF2-40B4-BE49-F238E27FC236}">
                  <a16:creationId xmlns:a16="http://schemas.microsoft.com/office/drawing/2014/main" id="{00000000-0008-0000-0100-000095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42</xdr:row>
          <xdr:rowOff>22860</xdr:rowOff>
        </xdr:from>
        <xdr:to>
          <xdr:col>11</xdr:col>
          <xdr:colOff>784860</xdr:colOff>
          <xdr:row>42</xdr:row>
          <xdr:rowOff>251460</xdr:rowOff>
        </xdr:to>
        <xdr:sp macro="" textlink="">
          <xdr:nvSpPr>
            <xdr:cNvPr id="199574" name="Spinner 918" hidden="1">
              <a:extLst>
                <a:ext uri="{63B3BB69-23CF-44E3-9099-C40C66FF867C}">
                  <a14:compatExt spid="_x0000_s199574"/>
                </a:ext>
                <a:ext uri="{FF2B5EF4-FFF2-40B4-BE49-F238E27FC236}">
                  <a16:creationId xmlns:a16="http://schemas.microsoft.com/office/drawing/2014/main" id="{00000000-0008-0000-0100-000096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42</xdr:row>
          <xdr:rowOff>22860</xdr:rowOff>
        </xdr:from>
        <xdr:to>
          <xdr:col>11</xdr:col>
          <xdr:colOff>784860</xdr:colOff>
          <xdr:row>42</xdr:row>
          <xdr:rowOff>251460</xdr:rowOff>
        </xdr:to>
        <xdr:sp macro="" textlink="">
          <xdr:nvSpPr>
            <xdr:cNvPr id="199575" name="Spinner 919" hidden="1">
              <a:extLst>
                <a:ext uri="{63B3BB69-23CF-44E3-9099-C40C66FF867C}">
                  <a14:compatExt spid="_x0000_s199575"/>
                </a:ext>
                <a:ext uri="{FF2B5EF4-FFF2-40B4-BE49-F238E27FC236}">
                  <a16:creationId xmlns:a16="http://schemas.microsoft.com/office/drawing/2014/main" id="{00000000-0008-0000-0100-000097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42</xdr:row>
          <xdr:rowOff>22860</xdr:rowOff>
        </xdr:from>
        <xdr:to>
          <xdr:col>11</xdr:col>
          <xdr:colOff>784860</xdr:colOff>
          <xdr:row>42</xdr:row>
          <xdr:rowOff>251460</xdr:rowOff>
        </xdr:to>
        <xdr:sp macro="" textlink="">
          <xdr:nvSpPr>
            <xdr:cNvPr id="199576" name="Spinner 920" hidden="1">
              <a:extLst>
                <a:ext uri="{63B3BB69-23CF-44E3-9099-C40C66FF867C}">
                  <a14:compatExt spid="_x0000_s199576"/>
                </a:ext>
                <a:ext uri="{FF2B5EF4-FFF2-40B4-BE49-F238E27FC236}">
                  <a16:creationId xmlns:a16="http://schemas.microsoft.com/office/drawing/2014/main" id="{00000000-0008-0000-0100-000098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42</xdr:row>
          <xdr:rowOff>22860</xdr:rowOff>
        </xdr:from>
        <xdr:to>
          <xdr:col>11</xdr:col>
          <xdr:colOff>784860</xdr:colOff>
          <xdr:row>42</xdr:row>
          <xdr:rowOff>251460</xdr:rowOff>
        </xdr:to>
        <xdr:sp macro="" textlink="">
          <xdr:nvSpPr>
            <xdr:cNvPr id="199577" name="Spinner 921" hidden="1">
              <a:extLst>
                <a:ext uri="{63B3BB69-23CF-44E3-9099-C40C66FF867C}">
                  <a14:compatExt spid="_x0000_s199577"/>
                </a:ext>
                <a:ext uri="{FF2B5EF4-FFF2-40B4-BE49-F238E27FC236}">
                  <a16:creationId xmlns:a16="http://schemas.microsoft.com/office/drawing/2014/main" id="{00000000-0008-0000-0100-000099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42</xdr:row>
          <xdr:rowOff>22860</xdr:rowOff>
        </xdr:from>
        <xdr:to>
          <xdr:col>11</xdr:col>
          <xdr:colOff>784860</xdr:colOff>
          <xdr:row>42</xdr:row>
          <xdr:rowOff>251460</xdr:rowOff>
        </xdr:to>
        <xdr:sp macro="" textlink="">
          <xdr:nvSpPr>
            <xdr:cNvPr id="199578" name="Spinner 922" hidden="1">
              <a:extLst>
                <a:ext uri="{63B3BB69-23CF-44E3-9099-C40C66FF867C}">
                  <a14:compatExt spid="_x0000_s199578"/>
                </a:ext>
                <a:ext uri="{FF2B5EF4-FFF2-40B4-BE49-F238E27FC236}">
                  <a16:creationId xmlns:a16="http://schemas.microsoft.com/office/drawing/2014/main" id="{00000000-0008-0000-0100-00009A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42</xdr:row>
          <xdr:rowOff>22860</xdr:rowOff>
        </xdr:from>
        <xdr:to>
          <xdr:col>11</xdr:col>
          <xdr:colOff>784860</xdr:colOff>
          <xdr:row>42</xdr:row>
          <xdr:rowOff>251460</xdr:rowOff>
        </xdr:to>
        <xdr:sp macro="" textlink="">
          <xdr:nvSpPr>
            <xdr:cNvPr id="199579" name="Spinner 923" hidden="1">
              <a:extLst>
                <a:ext uri="{63B3BB69-23CF-44E3-9099-C40C66FF867C}">
                  <a14:compatExt spid="_x0000_s199579"/>
                </a:ext>
                <a:ext uri="{FF2B5EF4-FFF2-40B4-BE49-F238E27FC236}">
                  <a16:creationId xmlns:a16="http://schemas.microsoft.com/office/drawing/2014/main" id="{00000000-0008-0000-0100-00009B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42</xdr:row>
          <xdr:rowOff>22860</xdr:rowOff>
        </xdr:from>
        <xdr:to>
          <xdr:col>11</xdr:col>
          <xdr:colOff>784860</xdr:colOff>
          <xdr:row>42</xdr:row>
          <xdr:rowOff>251460</xdr:rowOff>
        </xdr:to>
        <xdr:sp macro="" textlink="">
          <xdr:nvSpPr>
            <xdr:cNvPr id="199580" name="Spinner 924" hidden="1">
              <a:extLst>
                <a:ext uri="{63B3BB69-23CF-44E3-9099-C40C66FF867C}">
                  <a14:compatExt spid="_x0000_s199580"/>
                </a:ext>
                <a:ext uri="{FF2B5EF4-FFF2-40B4-BE49-F238E27FC236}">
                  <a16:creationId xmlns:a16="http://schemas.microsoft.com/office/drawing/2014/main" id="{00000000-0008-0000-0100-00009C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42</xdr:row>
          <xdr:rowOff>22860</xdr:rowOff>
        </xdr:from>
        <xdr:to>
          <xdr:col>11</xdr:col>
          <xdr:colOff>784860</xdr:colOff>
          <xdr:row>42</xdr:row>
          <xdr:rowOff>251460</xdr:rowOff>
        </xdr:to>
        <xdr:sp macro="" textlink="">
          <xdr:nvSpPr>
            <xdr:cNvPr id="199581" name="Spinner 925" hidden="1">
              <a:extLst>
                <a:ext uri="{63B3BB69-23CF-44E3-9099-C40C66FF867C}">
                  <a14:compatExt spid="_x0000_s199581"/>
                </a:ext>
                <a:ext uri="{FF2B5EF4-FFF2-40B4-BE49-F238E27FC236}">
                  <a16:creationId xmlns:a16="http://schemas.microsoft.com/office/drawing/2014/main" id="{00000000-0008-0000-0100-00009D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42</xdr:row>
          <xdr:rowOff>22860</xdr:rowOff>
        </xdr:from>
        <xdr:to>
          <xdr:col>11</xdr:col>
          <xdr:colOff>784860</xdr:colOff>
          <xdr:row>42</xdr:row>
          <xdr:rowOff>251460</xdr:rowOff>
        </xdr:to>
        <xdr:sp macro="" textlink="">
          <xdr:nvSpPr>
            <xdr:cNvPr id="199582" name="Spinner 926" hidden="1">
              <a:extLst>
                <a:ext uri="{63B3BB69-23CF-44E3-9099-C40C66FF867C}">
                  <a14:compatExt spid="_x0000_s199582"/>
                </a:ext>
                <a:ext uri="{FF2B5EF4-FFF2-40B4-BE49-F238E27FC236}">
                  <a16:creationId xmlns:a16="http://schemas.microsoft.com/office/drawing/2014/main" id="{00000000-0008-0000-0100-00009E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42</xdr:row>
          <xdr:rowOff>22860</xdr:rowOff>
        </xdr:from>
        <xdr:to>
          <xdr:col>11</xdr:col>
          <xdr:colOff>784860</xdr:colOff>
          <xdr:row>42</xdr:row>
          <xdr:rowOff>251460</xdr:rowOff>
        </xdr:to>
        <xdr:sp macro="" textlink="">
          <xdr:nvSpPr>
            <xdr:cNvPr id="199583" name="Spinner 927" hidden="1">
              <a:extLst>
                <a:ext uri="{63B3BB69-23CF-44E3-9099-C40C66FF867C}">
                  <a14:compatExt spid="_x0000_s199583"/>
                </a:ext>
                <a:ext uri="{FF2B5EF4-FFF2-40B4-BE49-F238E27FC236}">
                  <a16:creationId xmlns:a16="http://schemas.microsoft.com/office/drawing/2014/main" id="{00000000-0008-0000-0100-00009F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42</xdr:row>
          <xdr:rowOff>22860</xdr:rowOff>
        </xdr:from>
        <xdr:to>
          <xdr:col>11</xdr:col>
          <xdr:colOff>784860</xdr:colOff>
          <xdr:row>42</xdr:row>
          <xdr:rowOff>251460</xdr:rowOff>
        </xdr:to>
        <xdr:sp macro="" textlink="">
          <xdr:nvSpPr>
            <xdr:cNvPr id="199584" name="Spinner 928" hidden="1">
              <a:extLst>
                <a:ext uri="{63B3BB69-23CF-44E3-9099-C40C66FF867C}">
                  <a14:compatExt spid="_x0000_s199584"/>
                </a:ext>
                <a:ext uri="{FF2B5EF4-FFF2-40B4-BE49-F238E27FC236}">
                  <a16:creationId xmlns:a16="http://schemas.microsoft.com/office/drawing/2014/main" id="{00000000-0008-0000-0100-0000A0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42</xdr:row>
          <xdr:rowOff>22860</xdr:rowOff>
        </xdr:from>
        <xdr:to>
          <xdr:col>11</xdr:col>
          <xdr:colOff>784860</xdr:colOff>
          <xdr:row>42</xdr:row>
          <xdr:rowOff>251460</xdr:rowOff>
        </xdr:to>
        <xdr:sp macro="" textlink="">
          <xdr:nvSpPr>
            <xdr:cNvPr id="199585" name="Spinner 929" hidden="1">
              <a:extLst>
                <a:ext uri="{63B3BB69-23CF-44E3-9099-C40C66FF867C}">
                  <a14:compatExt spid="_x0000_s199585"/>
                </a:ext>
                <a:ext uri="{FF2B5EF4-FFF2-40B4-BE49-F238E27FC236}">
                  <a16:creationId xmlns:a16="http://schemas.microsoft.com/office/drawing/2014/main" id="{00000000-0008-0000-0100-0000A1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42</xdr:row>
          <xdr:rowOff>22860</xdr:rowOff>
        </xdr:from>
        <xdr:to>
          <xdr:col>11</xdr:col>
          <xdr:colOff>784860</xdr:colOff>
          <xdr:row>42</xdr:row>
          <xdr:rowOff>251460</xdr:rowOff>
        </xdr:to>
        <xdr:sp macro="" textlink="">
          <xdr:nvSpPr>
            <xdr:cNvPr id="199586" name="Spinner 930" hidden="1">
              <a:extLst>
                <a:ext uri="{63B3BB69-23CF-44E3-9099-C40C66FF867C}">
                  <a14:compatExt spid="_x0000_s199586"/>
                </a:ext>
                <a:ext uri="{FF2B5EF4-FFF2-40B4-BE49-F238E27FC236}">
                  <a16:creationId xmlns:a16="http://schemas.microsoft.com/office/drawing/2014/main" id="{00000000-0008-0000-0100-0000A2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42</xdr:row>
          <xdr:rowOff>22860</xdr:rowOff>
        </xdr:from>
        <xdr:to>
          <xdr:col>11</xdr:col>
          <xdr:colOff>784860</xdr:colOff>
          <xdr:row>42</xdr:row>
          <xdr:rowOff>251460</xdr:rowOff>
        </xdr:to>
        <xdr:sp macro="" textlink="">
          <xdr:nvSpPr>
            <xdr:cNvPr id="199587" name="Spinner 931" hidden="1">
              <a:extLst>
                <a:ext uri="{63B3BB69-23CF-44E3-9099-C40C66FF867C}">
                  <a14:compatExt spid="_x0000_s199587"/>
                </a:ext>
                <a:ext uri="{FF2B5EF4-FFF2-40B4-BE49-F238E27FC236}">
                  <a16:creationId xmlns:a16="http://schemas.microsoft.com/office/drawing/2014/main" id="{00000000-0008-0000-0100-0000A3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42</xdr:row>
          <xdr:rowOff>22860</xdr:rowOff>
        </xdr:from>
        <xdr:to>
          <xdr:col>11</xdr:col>
          <xdr:colOff>784860</xdr:colOff>
          <xdr:row>42</xdr:row>
          <xdr:rowOff>251460</xdr:rowOff>
        </xdr:to>
        <xdr:sp macro="" textlink="">
          <xdr:nvSpPr>
            <xdr:cNvPr id="199588" name="Spinner 932" hidden="1">
              <a:extLst>
                <a:ext uri="{63B3BB69-23CF-44E3-9099-C40C66FF867C}">
                  <a14:compatExt spid="_x0000_s199588"/>
                </a:ext>
                <a:ext uri="{FF2B5EF4-FFF2-40B4-BE49-F238E27FC236}">
                  <a16:creationId xmlns:a16="http://schemas.microsoft.com/office/drawing/2014/main" id="{00000000-0008-0000-0100-0000A4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42</xdr:row>
          <xdr:rowOff>22860</xdr:rowOff>
        </xdr:from>
        <xdr:to>
          <xdr:col>11</xdr:col>
          <xdr:colOff>784860</xdr:colOff>
          <xdr:row>42</xdr:row>
          <xdr:rowOff>251460</xdr:rowOff>
        </xdr:to>
        <xdr:sp macro="" textlink="">
          <xdr:nvSpPr>
            <xdr:cNvPr id="199589" name="Spinner 933" hidden="1">
              <a:extLst>
                <a:ext uri="{63B3BB69-23CF-44E3-9099-C40C66FF867C}">
                  <a14:compatExt spid="_x0000_s199589"/>
                </a:ext>
                <a:ext uri="{FF2B5EF4-FFF2-40B4-BE49-F238E27FC236}">
                  <a16:creationId xmlns:a16="http://schemas.microsoft.com/office/drawing/2014/main" id="{00000000-0008-0000-0100-0000A5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43</xdr:row>
          <xdr:rowOff>22860</xdr:rowOff>
        </xdr:from>
        <xdr:to>
          <xdr:col>11</xdr:col>
          <xdr:colOff>784860</xdr:colOff>
          <xdr:row>43</xdr:row>
          <xdr:rowOff>251460</xdr:rowOff>
        </xdr:to>
        <xdr:sp macro="" textlink="">
          <xdr:nvSpPr>
            <xdr:cNvPr id="199590" name="Spinner 934" hidden="1">
              <a:extLst>
                <a:ext uri="{63B3BB69-23CF-44E3-9099-C40C66FF867C}">
                  <a14:compatExt spid="_x0000_s199590"/>
                </a:ext>
                <a:ext uri="{FF2B5EF4-FFF2-40B4-BE49-F238E27FC236}">
                  <a16:creationId xmlns:a16="http://schemas.microsoft.com/office/drawing/2014/main" id="{00000000-0008-0000-0100-0000A6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43</xdr:row>
          <xdr:rowOff>22860</xdr:rowOff>
        </xdr:from>
        <xdr:to>
          <xdr:col>11</xdr:col>
          <xdr:colOff>784860</xdr:colOff>
          <xdr:row>43</xdr:row>
          <xdr:rowOff>251460</xdr:rowOff>
        </xdr:to>
        <xdr:sp macro="" textlink="">
          <xdr:nvSpPr>
            <xdr:cNvPr id="199591" name="Spinner 935" hidden="1">
              <a:extLst>
                <a:ext uri="{63B3BB69-23CF-44E3-9099-C40C66FF867C}">
                  <a14:compatExt spid="_x0000_s199591"/>
                </a:ext>
                <a:ext uri="{FF2B5EF4-FFF2-40B4-BE49-F238E27FC236}">
                  <a16:creationId xmlns:a16="http://schemas.microsoft.com/office/drawing/2014/main" id="{00000000-0008-0000-0100-0000A7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43</xdr:row>
          <xdr:rowOff>22860</xdr:rowOff>
        </xdr:from>
        <xdr:to>
          <xdr:col>11</xdr:col>
          <xdr:colOff>784860</xdr:colOff>
          <xdr:row>43</xdr:row>
          <xdr:rowOff>251460</xdr:rowOff>
        </xdr:to>
        <xdr:sp macro="" textlink="">
          <xdr:nvSpPr>
            <xdr:cNvPr id="199592" name="Spinner 936" hidden="1">
              <a:extLst>
                <a:ext uri="{63B3BB69-23CF-44E3-9099-C40C66FF867C}">
                  <a14:compatExt spid="_x0000_s199592"/>
                </a:ext>
                <a:ext uri="{FF2B5EF4-FFF2-40B4-BE49-F238E27FC236}">
                  <a16:creationId xmlns:a16="http://schemas.microsoft.com/office/drawing/2014/main" id="{00000000-0008-0000-0100-0000A8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43</xdr:row>
          <xdr:rowOff>7620</xdr:rowOff>
        </xdr:from>
        <xdr:to>
          <xdr:col>10</xdr:col>
          <xdr:colOff>1295400</xdr:colOff>
          <xdr:row>43</xdr:row>
          <xdr:rowOff>236220</xdr:rowOff>
        </xdr:to>
        <xdr:sp macro="" textlink="">
          <xdr:nvSpPr>
            <xdr:cNvPr id="199593" name="Spinner 937" hidden="1">
              <a:extLst>
                <a:ext uri="{63B3BB69-23CF-44E3-9099-C40C66FF867C}">
                  <a14:compatExt spid="_x0000_s199593"/>
                </a:ext>
                <a:ext uri="{FF2B5EF4-FFF2-40B4-BE49-F238E27FC236}">
                  <a16:creationId xmlns:a16="http://schemas.microsoft.com/office/drawing/2014/main" id="{00000000-0008-0000-0100-0000A9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43</xdr:row>
          <xdr:rowOff>7620</xdr:rowOff>
        </xdr:from>
        <xdr:to>
          <xdr:col>10</xdr:col>
          <xdr:colOff>1295400</xdr:colOff>
          <xdr:row>43</xdr:row>
          <xdr:rowOff>236220</xdr:rowOff>
        </xdr:to>
        <xdr:sp macro="" textlink="">
          <xdr:nvSpPr>
            <xdr:cNvPr id="199594" name="Spinner 938" hidden="1">
              <a:extLst>
                <a:ext uri="{63B3BB69-23CF-44E3-9099-C40C66FF867C}">
                  <a14:compatExt spid="_x0000_s199594"/>
                </a:ext>
                <a:ext uri="{FF2B5EF4-FFF2-40B4-BE49-F238E27FC236}">
                  <a16:creationId xmlns:a16="http://schemas.microsoft.com/office/drawing/2014/main" id="{00000000-0008-0000-0100-0000AA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43</xdr:row>
          <xdr:rowOff>7620</xdr:rowOff>
        </xdr:from>
        <xdr:to>
          <xdr:col>10</xdr:col>
          <xdr:colOff>1295400</xdr:colOff>
          <xdr:row>43</xdr:row>
          <xdr:rowOff>236220</xdr:rowOff>
        </xdr:to>
        <xdr:sp macro="" textlink="">
          <xdr:nvSpPr>
            <xdr:cNvPr id="199595" name="Spinner 939" hidden="1">
              <a:extLst>
                <a:ext uri="{63B3BB69-23CF-44E3-9099-C40C66FF867C}">
                  <a14:compatExt spid="_x0000_s199595"/>
                </a:ext>
                <a:ext uri="{FF2B5EF4-FFF2-40B4-BE49-F238E27FC236}">
                  <a16:creationId xmlns:a16="http://schemas.microsoft.com/office/drawing/2014/main" id="{00000000-0008-0000-0100-0000AB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43</xdr:row>
          <xdr:rowOff>22860</xdr:rowOff>
        </xdr:from>
        <xdr:to>
          <xdr:col>11</xdr:col>
          <xdr:colOff>784860</xdr:colOff>
          <xdr:row>43</xdr:row>
          <xdr:rowOff>251460</xdr:rowOff>
        </xdr:to>
        <xdr:sp macro="" textlink="">
          <xdr:nvSpPr>
            <xdr:cNvPr id="199596" name="Spinner 940" hidden="1">
              <a:extLst>
                <a:ext uri="{63B3BB69-23CF-44E3-9099-C40C66FF867C}">
                  <a14:compatExt spid="_x0000_s199596"/>
                </a:ext>
                <a:ext uri="{FF2B5EF4-FFF2-40B4-BE49-F238E27FC236}">
                  <a16:creationId xmlns:a16="http://schemas.microsoft.com/office/drawing/2014/main" id="{00000000-0008-0000-0100-0000AC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43</xdr:row>
          <xdr:rowOff>7620</xdr:rowOff>
        </xdr:from>
        <xdr:to>
          <xdr:col>10</xdr:col>
          <xdr:colOff>1295400</xdr:colOff>
          <xdr:row>43</xdr:row>
          <xdr:rowOff>236220</xdr:rowOff>
        </xdr:to>
        <xdr:sp macro="" textlink="">
          <xdr:nvSpPr>
            <xdr:cNvPr id="199597" name="Spinner 941" hidden="1">
              <a:extLst>
                <a:ext uri="{63B3BB69-23CF-44E3-9099-C40C66FF867C}">
                  <a14:compatExt spid="_x0000_s199597"/>
                </a:ext>
                <a:ext uri="{FF2B5EF4-FFF2-40B4-BE49-F238E27FC236}">
                  <a16:creationId xmlns:a16="http://schemas.microsoft.com/office/drawing/2014/main" id="{00000000-0008-0000-0100-0000AD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43</xdr:row>
          <xdr:rowOff>7620</xdr:rowOff>
        </xdr:from>
        <xdr:to>
          <xdr:col>10</xdr:col>
          <xdr:colOff>1295400</xdr:colOff>
          <xdr:row>43</xdr:row>
          <xdr:rowOff>236220</xdr:rowOff>
        </xdr:to>
        <xdr:sp macro="" textlink="">
          <xdr:nvSpPr>
            <xdr:cNvPr id="199598" name="Spinner 942" hidden="1">
              <a:extLst>
                <a:ext uri="{63B3BB69-23CF-44E3-9099-C40C66FF867C}">
                  <a14:compatExt spid="_x0000_s199598"/>
                </a:ext>
                <a:ext uri="{FF2B5EF4-FFF2-40B4-BE49-F238E27FC236}">
                  <a16:creationId xmlns:a16="http://schemas.microsoft.com/office/drawing/2014/main" id="{00000000-0008-0000-0100-0000AE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43</xdr:row>
          <xdr:rowOff>22860</xdr:rowOff>
        </xdr:from>
        <xdr:to>
          <xdr:col>11</xdr:col>
          <xdr:colOff>784860</xdr:colOff>
          <xdr:row>43</xdr:row>
          <xdr:rowOff>251460</xdr:rowOff>
        </xdr:to>
        <xdr:sp macro="" textlink="">
          <xdr:nvSpPr>
            <xdr:cNvPr id="199599" name="Spinner 943" hidden="1">
              <a:extLst>
                <a:ext uri="{63B3BB69-23CF-44E3-9099-C40C66FF867C}">
                  <a14:compatExt spid="_x0000_s199599"/>
                </a:ext>
                <a:ext uri="{FF2B5EF4-FFF2-40B4-BE49-F238E27FC236}">
                  <a16:creationId xmlns:a16="http://schemas.microsoft.com/office/drawing/2014/main" id="{00000000-0008-0000-0100-0000AF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43</xdr:row>
          <xdr:rowOff>22860</xdr:rowOff>
        </xdr:from>
        <xdr:to>
          <xdr:col>11</xdr:col>
          <xdr:colOff>784860</xdr:colOff>
          <xdr:row>43</xdr:row>
          <xdr:rowOff>251460</xdr:rowOff>
        </xdr:to>
        <xdr:sp macro="" textlink="">
          <xdr:nvSpPr>
            <xdr:cNvPr id="199600" name="Spinner 944" hidden="1">
              <a:extLst>
                <a:ext uri="{63B3BB69-23CF-44E3-9099-C40C66FF867C}">
                  <a14:compatExt spid="_x0000_s199600"/>
                </a:ext>
                <a:ext uri="{FF2B5EF4-FFF2-40B4-BE49-F238E27FC236}">
                  <a16:creationId xmlns:a16="http://schemas.microsoft.com/office/drawing/2014/main" id="{00000000-0008-0000-0100-0000B0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43</xdr:row>
          <xdr:rowOff>22860</xdr:rowOff>
        </xdr:from>
        <xdr:to>
          <xdr:col>11</xdr:col>
          <xdr:colOff>784860</xdr:colOff>
          <xdr:row>43</xdr:row>
          <xdr:rowOff>251460</xdr:rowOff>
        </xdr:to>
        <xdr:sp macro="" textlink="">
          <xdr:nvSpPr>
            <xdr:cNvPr id="199601" name="Spinner 945" hidden="1">
              <a:extLst>
                <a:ext uri="{63B3BB69-23CF-44E3-9099-C40C66FF867C}">
                  <a14:compatExt spid="_x0000_s199601"/>
                </a:ext>
                <a:ext uri="{FF2B5EF4-FFF2-40B4-BE49-F238E27FC236}">
                  <a16:creationId xmlns:a16="http://schemas.microsoft.com/office/drawing/2014/main" id="{00000000-0008-0000-0100-0000B1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43</xdr:row>
          <xdr:rowOff>22860</xdr:rowOff>
        </xdr:from>
        <xdr:to>
          <xdr:col>11</xdr:col>
          <xdr:colOff>784860</xdr:colOff>
          <xdr:row>43</xdr:row>
          <xdr:rowOff>251460</xdr:rowOff>
        </xdr:to>
        <xdr:sp macro="" textlink="">
          <xdr:nvSpPr>
            <xdr:cNvPr id="199602" name="Spinner 946" hidden="1">
              <a:extLst>
                <a:ext uri="{63B3BB69-23CF-44E3-9099-C40C66FF867C}">
                  <a14:compatExt spid="_x0000_s199602"/>
                </a:ext>
                <a:ext uri="{FF2B5EF4-FFF2-40B4-BE49-F238E27FC236}">
                  <a16:creationId xmlns:a16="http://schemas.microsoft.com/office/drawing/2014/main" id="{00000000-0008-0000-0100-0000B2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43</xdr:row>
          <xdr:rowOff>22860</xdr:rowOff>
        </xdr:from>
        <xdr:to>
          <xdr:col>11</xdr:col>
          <xdr:colOff>784860</xdr:colOff>
          <xdr:row>43</xdr:row>
          <xdr:rowOff>251460</xdr:rowOff>
        </xdr:to>
        <xdr:sp macro="" textlink="">
          <xdr:nvSpPr>
            <xdr:cNvPr id="199603" name="Spinner 947" hidden="1">
              <a:extLst>
                <a:ext uri="{63B3BB69-23CF-44E3-9099-C40C66FF867C}">
                  <a14:compatExt spid="_x0000_s199603"/>
                </a:ext>
                <a:ext uri="{FF2B5EF4-FFF2-40B4-BE49-F238E27FC236}">
                  <a16:creationId xmlns:a16="http://schemas.microsoft.com/office/drawing/2014/main" id="{00000000-0008-0000-0100-0000B3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43</xdr:row>
          <xdr:rowOff>22860</xdr:rowOff>
        </xdr:from>
        <xdr:to>
          <xdr:col>11</xdr:col>
          <xdr:colOff>784860</xdr:colOff>
          <xdr:row>43</xdr:row>
          <xdr:rowOff>251460</xdr:rowOff>
        </xdr:to>
        <xdr:sp macro="" textlink="">
          <xdr:nvSpPr>
            <xdr:cNvPr id="199604" name="Spinner 948" hidden="1">
              <a:extLst>
                <a:ext uri="{63B3BB69-23CF-44E3-9099-C40C66FF867C}">
                  <a14:compatExt spid="_x0000_s199604"/>
                </a:ext>
                <a:ext uri="{FF2B5EF4-FFF2-40B4-BE49-F238E27FC236}">
                  <a16:creationId xmlns:a16="http://schemas.microsoft.com/office/drawing/2014/main" id="{00000000-0008-0000-0100-0000B4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43</xdr:row>
          <xdr:rowOff>22860</xdr:rowOff>
        </xdr:from>
        <xdr:to>
          <xdr:col>11</xdr:col>
          <xdr:colOff>784860</xdr:colOff>
          <xdr:row>43</xdr:row>
          <xdr:rowOff>251460</xdr:rowOff>
        </xdr:to>
        <xdr:sp macro="" textlink="">
          <xdr:nvSpPr>
            <xdr:cNvPr id="199605" name="Spinner 949" hidden="1">
              <a:extLst>
                <a:ext uri="{63B3BB69-23CF-44E3-9099-C40C66FF867C}">
                  <a14:compatExt spid="_x0000_s199605"/>
                </a:ext>
                <a:ext uri="{FF2B5EF4-FFF2-40B4-BE49-F238E27FC236}">
                  <a16:creationId xmlns:a16="http://schemas.microsoft.com/office/drawing/2014/main" id="{00000000-0008-0000-0100-0000B5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43</xdr:row>
          <xdr:rowOff>22860</xdr:rowOff>
        </xdr:from>
        <xdr:to>
          <xdr:col>11</xdr:col>
          <xdr:colOff>784860</xdr:colOff>
          <xdr:row>43</xdr:row>
          <xdr:rowOff>251460</xdr:rowOff>
        </xdr:to>
        <xdr:sp macro="" textlink="">
          <xdr:nvSpPr>
            <xdr:cNvPr id="199606" name="Spinner 950" hidden="1">
              <a:extLst>
                <a:ext uri="{63B3BB69-23CF-44E3-9099-C40C66FF867C}">
                  <a14:compatExt spid="_x0000_s199606"/>
                </a:ext>
                <a:ext uri="{FF2B5EF4-FFF2-40B4-BE49-F238E27FC236}">
                  <a16:creationId xmlns:a16="http://schemas.microsoft.com/office/drawing/2014/main" id="{00000000-0008-0000-0100-0000B6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43</xdr:row>
          <xdr:rowOff>22860</xdr:rowOff>
        </xdr:from>
        <xdr:to>
          <xdr:col>11</xdr:col>
          <xdr:colOff>784860</xdr:colOff>
          <xdr:row>43</xdr:row>
          <xdr:rowOff>251460</xdr:rowOff>
        </xdr:to>
        <xdr:sp macro="" textlink="">
          <xdr:nvSpPr>
            <xdr:cNvPr id="199607" name="Spinner 951" hidden="1">
              <a:extLst>
                <a:ext uri="{63B3BB69-23CF-44E3-9099-C40C66FF867C}">
                  <a14:compatExt spid="_x0000_s199607"/>
                </a:ext>
                <a:ext uri="{FF2B5EF4-FFF2-40B4-BE49-F238E27FC236}">
                  <a16:creationId xmlns:a16="http://schemas.microsoft.com/office/drawing/2014/main" id="{00000000-0008-0000-0100-0000B7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43</xdr:row>
          <xdr:rowOff>22860</xdr:rowOff>
        </xdr:from>
        <xdr:to>
          <xdr:col>11</xdr:col>
          <xdr:colOff>784860</xdr:colOff>
          <xdr:row>43</xdr:row>
          <xdr:rowOff>251460</xdr:rowOff>
        </xdr:to>
        <xdr:sp macro="" textlink="">
          <xdr:nvSpPr>
            <xdr:cNvPr id="199608" name="Spinner 952" hidden="1">
              <a:extLst>
                <a:ext uri="{63B3BB69-23CF-44E3-9099-C40C66FF867C}">
                  <a14:compatExt spid="_x0000_s199608"/>
                </a:ext>
                <a:ext uri="{FF2B5EF4-FFF2-40B4-BE49-F238E27FC236}">
                  <a16:creationId xmlns:a16="http://schemas.microsoft.com/office/drawing/2014/main" id="{00000000-0008-0000-0100-0000B8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43</xdr:row>
          <xdr:rowOff>22860</xdr:rowOff>
        </xdr:from>
        <xdr:to>
          <xdr:col>11</xdr:col>
          <xdr:colOff>784860</xdr:colOff>
          <xdr:row>43</xdr:row>
          <xdr:rowOff>251460</xdr:rowOff>
        </xdr:to>
        <xdr:sp macro="" textlink="">
          <xdr:nvSpPr>
            <xdr:cNvPr id="199609" name="Spinner 953" hidden="1">
              <a:extLst>
                <a:ext uri="{63B3BB69-23CF-44E3-9099-C40C66FF867C}">
                  <a14:compatExt spid="_x0000_s199609"/>
                </a:ext>
                <a:ext uri="{FF2B5EF4-FFF2-40B4-BE49-F238E27FC236}">
                  <a16:creationId xmlns:a16="http://schemas.microsoft.com/office/drawing/2014/main" id="{00000000-0008-0000-0100-0000B9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43</xdr:row>
          <xdr:rowOff>22860</xdr:rowOff>
        </xdr:from>
        <xdr:to>
          <xdr:col>11</xdr:col>
          <xdr:colOff>784860</xdr:colOff>
          <xdr:row>43</xdr:row>
          <xdr:rowOff>251460</xdr:rowOff>
        </xdr:to>
        <xdr:sp macro="" textlink="">
          <xdr:nvSpPr>
            <xdr:cNvPr id="199610" name="Spinner 954" hidden="1">
              <a:extLst>
                <a:ext uri="{63B3BB69-23CF-44E3-9099-C40C66FF867C}">
                  <a14:compatExt spid="_x0000_s199610"/>
                </a:ext>
                <a:ext uri="{FF2B5EF4-FFF2-40B4-BE49-F238E27FC236}">
                  <a16:creationId xmlns:a16="http://schemas.microsoft.com/office/drawing/2014/main" id="{00000000-0008-0000-0100-0000BA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43</xdr:row>
          <xdr:rowOff>22860</xdr:rowOff>
        </xdr:from>
        <xdr:to>
          <xdr:col>11</xdr:col>
          <xdr:colOff>784860</xdr:colOff>
          <xdr:row>43</xdr:row>
          <xdr:rowOff>251460</xdr:rowOff>
        </xdr:to>
        <xdr:sp macro="" textlink="">
          <xdr:nvSpPr>
            <xdr:cNvPr id="199611" name="Spinner 955" hidden="1">
              <a:extLst>
                <a:ext uri="{63B3BB69-23CF-44E3-9099-C40C66FF867C}">
                  <a14:compatExt spid="_x0000_s199611"/>
                </a:ext>
                <a:ext uri="{FF2B5EF4-FFF2-40B4-BE49-F238E27FC236}">
                  <a16:creationId xmlns:a16="http://schemas.microsoft.com/office/drawing/2014/main" id="{00000000-0008-0000-0100-0000BB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43</xdr:row>
          <xdr:rowOff>22860</xdr:rowOff>
        </xdr:from>
        <xdr:to>
          <xdr:col>11</xdr:col>
          <xdr:colOff>784860</xdr:colOff>
          <xdr:row>43</xdr:row>
          <xdr:rowOff>251460</xdr:rowOff>
        </xdr:to>
        <xdr:sp macro="" textlink="">
          <xdr:nvSpPr>
            <xdr:cNvPr id="199612" name="Spinner 956" hidden="1">
              <a:extLst>
                <a:ext uri="{63B3BB69-23CF-44E3-9099-C40C66FF867C}">
                  <a14:compatExt spid="_x0000_s199612"/>
                </a:ext>
                <a:ext uri="{FF2B5EF4-FFF2-40B4-BE49-F238E27FC236}">
                  <a16:creationId xmlns:a16="http://schemas.microsoft.com/office/drawing/2014/main" id="{00000000-0008-0000-0100-0000BC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43</xdr:row>
          <xdr:rowOff>22860</xdr:rowOff>
        </xdr:from>
        <xdr:to>
          <xdr:col>11</xdr:col>
          <xdr:colOff>784860</xdr:colOff>
          <xdr:row>43</xdr:row>
          <xdr:rowOff>251460</xdr:rowOff>
        </xdr:to>
        <xdr:sp macro="" textlink="">
          <xdr:nvSpPr>
            <xdr:cNvPr id="199613" name="Spinner 957" hidden="1">
              <a:extLst>
                <a:ext uri="{63B3BB69-23CF-44E3-9099-C40C66FF867C}">
                  <a14:compatExt spid="_x0000_s199613"/>
                </a:ext>
                <a:ext uri="{FF2B5EF4-FFF2-40B4-BE49-F238E27FC236}">
                  <a16:creationId xmlns:a16="http://schemas.microsoft.com/office/drawing/2014/main" id="{00000000-0008-0000-0100-0000BD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43</xdr:row>
          <xdr:rowOff>22860</xdr:rowOff>
        </xdr:from>
        <xdr:to>
          <xdr:col>11</xdr:col>
          <xdr:colOff>784860</xdr:colOff>
          <xdr:row>43</xdr:row>
          <xdr:rowOff>251460</xdr:rowOff>
        </xdr:to>
        <xdr:sp macro="" textlink="">
          <xdr:nvSpPr>
            <xdr:cNvPr id="199614" name="Spinner 958" hidden="1">
              <a:extLst>
                <a:ext uri="{63B3BB69-23CF-44E3-9099-C40C66FF867C}">
                  <a14:compatExt spid="_x0000_s199614"/>
                </a:ext>
                <a:ext uri="{FF2B5EF4-FFF2-40B4-BE49-F238E27FC236}">
                  <a16:creationId xmlns:a16="http://schemas.microsoft.com/office/drawing/2014/main" id="{00000000-0008-0000-0100-0000BE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43</xdr:row>
          <xdr:rowOff>22860</xdr:rowOff>
        </xdr:from>
        <xdr:to>
          <xdr:col>11</xdr:col>
          <xdr:colOff>784860</xdr:colOff>
          <xdr:row>43</xdr:row>
          <xdr:rowOff>251460</xdr:rowOff>
        </xdr:to>
        <xdr:sp macro="" textlink="">
          <xdr:nvSpPr>
            <xdr:cNvPr id="199615" name="Spinner 959" hidden="1">
              <a:extLst>
                <a:ext uri="{63B3BB69-23CF-44E3-9099-C40C66FF867C}">
                  <a14:compatExt spid="_x0000_s199615"/>
                </a:ext>
                <a:ext uri="{FF2B5EF4-FFF2-40B4-BE49-F238E27FC236}">
                  <a16:creationId xmlns:a16="http://schemas.microsoft.com/office/drawing/2014/main" id="{00000000-0008-0000-0100-0000BF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43</xdr:row>
          <xdr:rowOff>22860</xdr:rowOff>
        </xdr:from>
        <xdr:to>
          <xdr:col>11</xdr:col>
          <xdr:colOff>784860</xdr:colOff>
          <xdr:row>43</xdr:row>
          <xdr:rowOff>251460</xdr:rowOff>
        </xdr:to>
        <xdr:sp macro="" textlink="">
          <xdr:nvSpPr>
            <xdr:cNvPr id="199616" name="Spinner 960" hidden="1">
              <a:extLst>
                <a:ext uri="{63B3BB69-23CF-44E3-9099-C40C66FF867C}">
                  <a14:compatExt spid="_x0000_s199616"/>
                </a:ext>
                <a:ext uri="{FF2B5EF4-FFF2-40B4-BE49-F238E27FC236}">
                  <a16:creationId xmlns:a16="http://schemas.microsoft.com/office/drawing/2014/main" id="{00000000-0008-0000-0100-0000C0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43</xdr:row>
          <xdr:rowOff>22860</xdr:rowOff>
        </xdr:from>
        <xdr:to>
          <xdr:col>11</xdr:col>
          <xdr:colOff>784860</xdr:colOff>
          <xdr:row>43</xdr:row>
          <xdr:rowOff>251460</xdr:rowOff>
        </xdr:to>
        <xdr:sp macro="" textlink="">
          <xdr:nvSpPr>
            <xdr:cNvPr id="199617" name="Spinner 961" hidden="1">
              <a:extLst>
                <a:ext uri="{63B3BB69-23CF-44E3-9099-C40C66FF867C}">
                  <a14:compatExt spid="_x0000_s199617"/>
                </a:ext>
                <a:ext uri="{FF2B5EF4-FFF2-40B4-BE49-F238E27FC236}">
                  <a16:creationId xmlns:a16="http://schemas.microsoft.com/office/drawing/2014/main" id="{00000000-0008-0000-0100-0000C1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43</xdr:row>
          <xdr:rowOff>22860</xdr:rowOff>
        </xdr:from>
        <xdr:to>
          <xdr:col>11</xdr:col>
          <xdr:colOff>784860</xdr:colOff>
          <xdr:row>43</xdr:row>
          <xdr:rowOff>251460</xdr:rowOff>
        </xdr:to>
        <xdr:sp macro="" textlink="">
          <xdr:nvSpPr>
            <xdr:cNvPr id="199618" name="Spinner 962" hidden="1">
              <a:extLst>
                <a:ext uri="{63B3BB69-23CF-44E3-9099-C40C66FF867C}">
                  <a14:compatExt spid="_x0000_s199618"/>
                </a:ext>
                <a:ext uri="{FF2B5EF4-FFF2-40B4-BE49-F238E27FC236}">
                  <a16:creationId xmlns:a16="http://schemas.microsoft.com/office/drawing/2014/main" id="{00000000-0008-0000-0100-0000C2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43</xdr:row>
          <xdr:rowOff>22860</xdr:rowOff>
        </xdr:from>
        <xdr:to>
          <xdr:col>11</xdr:col>
          <xdr:colOff>784860</xdr:colOff>
          <xdr:row>43</xdr:row>
          <xdr:rowOff>251460</xdr:rowOff>
        </xdr:to>
        <xdr:sp macro="" textlink="">
          <xdr:nvSpPr>
            <xdr:cNvPr id="199619" name="Spinner 963" hidden="1">
              <a:extLst>
                <a:ext uri="{63B3BB69-23CF-44E3-9099-C40C66FF867C}">
                  <a14:compatExt spid="_x0000_s199619"/>
                </a:ext>
                <a:ext uri="{FF2B5EF4-FFF2-40B4-BE49-F238E27FC236}">
                  <a16:creationId xmlns:a16="http://schemas.microsoft.com/office/drawing/2014/main" id="{00000000-0008-0000-0100-0000C3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43</xdr:row>
          <xdr:rowOff>22860</xdr:rowOff>
        </xdr:from>
        <xdr:to>
          <xdr:col>11</xdr:col>
          <xdr:colOff>784860</xdr:colOff>
          <xdr:row>43</xdr:row>
          <xdr:rowOff>251460</xdr:rowOff>
        </xdr:to>
        <xdr:sp macro="" textlink="">
          <xdr:nvSpPr>
            <xdr:cNvPr id="199620" name="Spinner 964" hidden="1">
              <a:extLst>
                <a:ext uri="{63B3BB69-23CF-44E3-9099-C40C66FF867C}">
                  <a14:compatExt spid="_x0000_s199620"/>
                </a:ext>
                <a:ext uri="{FF2B5EF4-FFF2-40B4-BE49-F238E27FC236}">
                  <a16:creationId xmlns:a16="http://schemas.microsoft.com/office/drawing/2014/main" id="{00000000-0008-0000-0100-0000C4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43</xdr:row>
          <xdr:rowOff>22860</xdr:rowOff>
        </xdr:from>
        <xdr:to>
          <xdr:col>11</xdr:col>
          <xdr:colOff>784860</xdr:colOff>
          <xdr:row>43</xdr:row>
          <xdr:rowOff>251460</xdr:rowOff>
        </xdr:to>
        <xdr:sp macro="" textlink="">
          <xdr:nvSpPr>
            <xdr:cNvPr id="199621" name="Spinner 965" hidden="1">
              <a:extLst>
                <a:ext uri="{63B3BB69-23CF-44E3-9099-C40C66FF867C}">
                  <a14:compatExt spid="_x0000_s199621"/>
                </a:ext>
                <a:ext uri="{FF2B5EF4-FFF2-40B4-BE49-F238E27FC236}">
                  <a16:creationId xmlns:a16="http://schemas.microsoft.com/office/drawing/2014/main" id="{00000000-0008-0000-0100-0000C5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43</xdr:row>
          <xdr:rowOff>22860</xdr:rowOff>
        </xdr:from>
        <xdr:to>
          <xdr:col>11</xdr:col>
          <xdr:colOff>784860</xdr:colOff>
          <xdr:row>43</xdr:row>
          <xdr:rowOff>251460</xdr:rowOff>
        </xdr:to>
        <xdr:sp macro="" textlink="">
          <xdr:nvSpPr>
            <xdr:cNvPr id="199622" name="Spinner 966" hidden="1">
              <a:extLst>
                <a:ext uri="{63B3BB69-23CF-44E3-9099-C40C66FF867C}">
                  <a14:compatExt spid="_x0000_s199622"/>
                </a:ext>
                <a:ext uri="{FF2B5EF4-FFF2-40B4-BE49-F238E27FC236}">
                  <a16:creationId xmlns:a16="http://schemas.microsoft.com/office/drawing/2014/main" id="{00000000-0008-0000-0100-0000C6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43</xdr:row>
          <xdr:rowOff>22860</xdr:rowOff>
        </xdr:from>
        <xdr:to>
          <xdr:col>11</xdr:col>
          <xdr:colOff>784860</xdr:colOff>
          <xdr:row>43</xdr:row>
          <xdr:rowOff>251460</xdr:rowOff>
        </xdr:to>
        <xdr:sp macro="" textlink="">
          <xdr:nvSpPr>
            <xdr:cNvPr id="199623" name="Spinner 967" hidden="1">
              <a:extLst>
                <a:ext uri="{63B3BB69-23CF-44E3-9099-C40C66FF867C}">
                  <a14:compatExt spid="_x0000_s199623"/>
                </a:ext>
                <a:ext uri="{FF2B5EF4-FFF2-40B4-BE49-F238E27FC236}">
                  <a16:creationId xmlns:a16="http://schemas.microsoft.com/office/drawing/2014/main" id="{00000000-0008-0000-0100-0000C7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43</xdr:row>
          <xdr:rowOff>22860</xdr:rowOff>
        </xdr:from>
        <xdr:to>
          <xdr:col>11</xdr:col>
          <xdr:colOff>784860</xdr:colOff>
          <xdr:row>43</xdr:row>
          <xdr:rowOff>251460</xdr:rowOff>
        </xdr:to>
        <xdr:sp macro="" textlink="">
          <xdr:nvSpPr>
            <xdr:cNvPr id="199624" name="Spinner 968" hidden="1">
              <a:extLst>
                <a:ext uri="{63B3BB69-23CF-44E3-9099-C40C66FF867C}">
                  <a14:compatExt spid="_x0000_s199624"/>
                </a:ext>
                <a:ext uri="{FF2B5EF4-FFF2-40B4-BE49-F238E27FC236}">
                  <a16:creationId xmlns:a16="http://schemas.microsoft.com/office/drawing/2014/main" id="{00000000-0008-0000-0100-0000C8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43</xdr:row>
          <xdr:rowOff>22860</xdr:rowOff>
        </xdr:from>
        <xdr:to>
          <xdr:col>11</xdr:col>
          <xdr:colOff>784860</xdr:colOff>
          <xdr:row>43</xdr:row>
          <xdr:rowOff>251460</xdr:rowOff>
        </xdr:to>
        <xdr:sp macro="" textlink="">
          <xdr:nvSpPr>
            <xdr:cNvPr id="199625" name="Spinner 969" hidden="1">
              <a:extLst>
                <a:ext uri="{63B3BB69-23CF-44E3-9099-C40C66FF867C}">
                  <a14:compatExt spid="_x0000_s199625"/>
                </a:ext>
                <a:ext uri="{FF2B5EF4-FFF2-40B4-BE49-F238E27FC236}">
                  <a16:creationId xmlns:a16="http://schemas.microsoft.com/office/drawing/2014/main" id="{00000000-0008-0000-0100-0000C9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43</xdr:row>
          <xdr:rowOff>22860</xdr:rowOff>
        </xdr:from>
        <xdr:to>
          <xdr:col>11</xdr:col>
          <xdr:colOff>784860</xdr:colOff>
          <xdr:row>43</xdr:row>
          <xdr:rowOff>251460</xdr:rowOff>
        </xdr:to>
        <xdr:sp macro="" textlink="">
          <xdr:nvSpPr>
            <xdr:cNvPr id="199626" name="Spinner 970" hidden="1">
              <a:extLst>
                <a:ext uri="{63B3BB69-23CF-44E3-9099-C40C66FF867C}">
                  <a14:compatExt spid="_x0000_s199626"/>
                </a:ext>
                <a:ext uri="{FF2B5EF4-FFF2-40B4-BE49-F238E27FC236}">
                  <a16:creationId xmlns:a16="http://schemas.microsoft.com/office/drawing/2014/main" id="{00000000-0008-0000-0100-0000CA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43</xdr:row>
          <xdr:rowOff>22860</xdr:rowOff>
        </xdr:from>
        <xdr:to>
          <xdr:col>11</xdr:col>
          <xdr:colOff>784860</xdr:colOff>
          <xdr:row>43</xdr:row>
          <xdr:rowOff>251460</xdr:rowOff>
        </xdr:to>
        <xdr:sp macro="" textlink="">
          <xdr:nvSpPr>
            <xdr:cNvPr id="199627" name="Spinner 971" hidden="1">
              <a:extLst>
                <a:ext uri="{63B3BB69-23CF-44E3-9099-C40C66FF867C}">
                  <a14:compatExt spid="_x0000_s199627"/>
                </a:ext>
                <a:ext uri="{FF2B5EF4-FFF2-40B4-BE49-F238E27FC236}">
                  <a16:creationId xmlns:a16="http://schemas.microsoft.com/office/drawing/2014/main" id="{00000000-0008-0000-0100-0000CB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43</xdr:row>
          <xdr:rowOff>22860</xdr:rowOff>
        </xdr:from>
        <xdr:to>
          <xdr:col>11</xdr:col>
          <xdr:colOff>784860</xdr:colOff>
          <xdr:row>43</xdr:row>
          <xdr:rowOff>251460</xdr:rowOff>
        </xdr:to>
        <xdr:sp macro="" textlink="">
          <xdr:nvSpPr>
            <xdr:cNvPr id="199628" name="Spinner 972" hidden="1">
              <a:extLst>
                <a:ext uri="{63B3BB69-23CF-44E3-9099-C40C66FF867C}">
                  <a14:compatExt spid="_x0000_s199628"/>
                </a:ext>
                <a:ext uri="{FF2B5EF4-FFF2-40B4-BE49-F238E27FC236}">
                  <a16:creationId xmlns:a16="http://schemas.microsoft.com/office/drawing/2014/main" id="{00000000-0008-0000-0100-0000CC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43</xdr:row>
          <xdr:rowOff>22860</xdr:rowOff>
        </xdr:from>
        <xdr:to>
          <xdr:col>11</xdr:col>
          <xdr:colOff>784860</xdr:colOff>
          <xdr:row>43</xdr:row>
          <xdr:rowOff>251460</xdr:rowOff>
        </xdr:to>
        <xdr:sp macro="" textlink="">
          <xdr:nvSpPr>
            <xdr:cNvPr id="199629" name="Spinner 973" hidden="1">
              <a:extLst>
                <a:ext uri="{63B3BB69-23CF-44E3-9099-C40C66FF867C}">
                  <a14:compatExt spid="_x0000_s199629"/>
                </a:ext>
                <a:ext uri="{FF2B5EF4-FFF2-40B4-BE49-F238E27FC236}">
                  <a16:creationId xmlns:a16="http://schemas.microsoft.com/office/drawing/2014/main" id="{00000000-0008-0000-0100-0000CD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43</xdr:row>
          <xdr:rowOff>22860</xdr:rowOff>
        </xdr:from>
        <xdr:to>
          <xdr:col>11</xdr:col>
          <xdr:colOff>784860</xdr:colOff>
          <xdr:row>43</xdr:row>
          <xdr:rowOff>251460</xdr:rowOff>
        </xdr:to>
        <xdr:sp macro="" textlink="">
          <xdr:nvSpPr>
            <xdr:cNvPr id="199630" name="Spinner 974" hidden="1">
              <a:extLst>
                <a:ext uri="{63B3BB69-23CF-44E3-9099-C40C66FF867C}">
                  <a14:compatExt spid="_x0000_s199630"/>
                </a:ext>
                <a:ext uri="{FF2B5EF4-FFF2-40B4-BE49-F238E27FC236}">
                  <a16:creationId xmlns:a16="http://schemas.microsoft.com/office/drawing/2014/main" id="{00000000-0008-0000-0100-0000CE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199631" name="Spinner 975" hidden="1">
              <a:extLst>
                <a:ext uri="{63B3BB69-23CF-44E3-9099-C40C66FF867C}">
                  <a14:compatExt spid="_x0000_s199631"/>
                </a:ext>
                <a:ext uri="{FF2B5EF4-FFF2-40B4-BE49-F238E27FC236}">
                  <a16:creationId xmlns:a16="http://schemas.microsoft.com/office/drawing/2014/main" id="{00000000-0008-0000-0100-0000CF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199632" name="Spinner 976" hidden="1">
              <a:extLst>
                <a:ext uri="{63B3BB69-23CF-44E3-9099-C40C66FF867C}">
                  <a14:compatExt spid="_x0000_s199632"/>
                </a:ext>
                <a:ext uri="{FF2B5EF4-FFF2-40B4-BE49-F238E27FC236}">
                  <a16:creationId xmlns:a16="http://schemas.microsoft.com/office/drawing/2014/main" id="{00000000-0008-0000-0100-0000D0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199633" name="Spinner 977" hidden="1">
              <a:extLst>
                <a:ext uri="{63B3BB69-23CF-44E3-9099-C40C66FF867C}">
                  <a14:compatExt spid="_x0000_s199633"/>
                </a:ext>
                <a:ext uri="{FF2B5EF4-FFF2-40B4-BE49-F238E27FC236}">
                  <a16:creationId xmlns:a16="http://schemas.microsoft.com/office/drawing/2014/main" id="{00000000-0008-0000-0100-0000D1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44</xdr:row>
          <xdr:rowOff>7620</xdr:rowOff>
        </xdr:from>
        <xdr:to>
          <xdr:col>10</xdr:col>
          <xdr:colOff>1295400</xdr:colOff>
          <xdr:row>44</xdr:row>
          <xdr:rowOff>236220</xdr:rowOff>
        </xdr:to>
        <xdr:sp macro="" textlink="">
          <xdr:nvSpPr>
            <xdr:cNvPr id="199634" name="Spinner 978" hidden="1">
              <a:extLst>
                <a:ext uri="{63B3BB69-23CF-44E3-9099-C40C66FF867C}">
                  <a14:compatExt spid="_x0000_s199634"/>
                </a:ext>
                <a:ext uri="{FF2B5EF4-FFF2-40B4-BE49-F238E27FC236}">
                  <a16:creationId xmlns:a16="http://schemas.microsoft.com/office/drawing/2014/main" id="{00000000-0008-0000-0100-0000D2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44</xdr:row>
          <xdr:rowOff>7620</xdr:rowOff>
        </xdr:from>
        <xdr:to>
          <xdr:col>10</xdr:col>
          <xdr:colOff>1295400</xdr:colOff>
          <xdr:row>44</xdr:row>
          <xdr:rowOff>236220</xdr:rowOff>
        </xdr:to>
        <xdr:sp macro="" textlink="">
          <xdr:nvSpPr>
            <xdr:cNvPr id="199635" name="Spinner 979" hidden="1">
              <a:extLst>
                <a:ext uri="{63B3BB69-23CF-44E3-9099-C40C66FF867C}">
                  <a14:compatExt spid="_x0000_s199635"/>
                </a:ext>
                <a:ext uri="{FF2B5EF4-FFF2-40B4-BE49-F238E27FC236}">
                  <a16:creationId xmlns:a16="http://schemas.microsoft.com/office/drawing/2014/main" id="{00000000-0008-0000-0100-0000D3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44</xdr:row>
          <xdr:rowOff>7620</xdr:rowOff>
        </xdr:from>
        <xdr:to>
          <xdr:col>10</xdr:col>
          <xdr:colOff>1295400</xdr:colOff>
          <xdr:row>44</xdr:row>
          <xdr:rowOff>236220</xdr:rowOff>
        </xdr:to>
        <xdr:sp macro="" textlink="">
          <xdr:nvSpPr>
            <xdr:cNvPr id="199636" name="Spinner 980" hidden="1">
              <a:extLst>
                <a:ext uri="{63B3BB69-23CF-44E3-9099-C40C66FF867C}">
                  <a14:compatExt spid="_x0000_s199636"/>
                </a:ext>
                <a:ext uri="{FF2B5EF4-FFF2-40B4-BE49-F238E27FC236}">
                  <a16:creationId xmlns:a16="http://schemas.microsoft.com/office/drawing/2014/main" id="{00000000-0008-0000-0100-0000D4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199637" name="Spinner 981" hidden="1">
              <a:extLst>
                <a:ext uri="{63B3BB69-23CF-44E3-9099-C40C66FF867C}">
                  <a14:compatExt spid="_x0000_s199637"/>
                </a:ext>
                <a:ext uri="{FF2B5EF4-FFF2-40B4-BE49-F238E27FC236}">
                  <a16:creationId xmlns:a16="http://schemas.microsoft.com/office/drawing/2014/main" id="{00000000-0008-0000-0100-0000D5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44</xdr:row>
          <xdr:rowOff>7620</xdr:rowOff>
        </xdr:from>
        <xdr:to>
          <xdr:col>10</xdr:col>
          <xdr:colOff>1295400</xdr:colOff>
          <xdr:row>44</xdr:row>
          <xdr:rowOff>236220</xdr:rowOff>
        </xdr:to>
        <xdr:sp macro="" textlink="">
          <xdr:nvSpPr>
            <xdr:cNvPr id="199638" name="Spinner 982" hidden="1">
              <a:extLst>
                <a:ext uri="{63B3BB69-23CF-44E3-9099-C40C66FF867C}">
                  <a14:compatExt spid="_x0000_s199638"/>
                </a:ext>
                <a:ext uri="{FF2B5EF4-FFF2-40B4-BE49-F238E27FC236}">
                  <a16:creationId xmlns:a16="http://schemas.microsoft.com/office/drawing/2014/main" id="{00000000-0008-0000-0100-0000D6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44</xdr:row>
          <xdr:rowOff>7620</xdr:rowOff>
        </xdr:from>
        <xdr:to>
          <xdr:col>10</xdr:col>
          <xdr:colOff>1295400</xdr:colOff>
          <xdr:row>44</xdr:row>
          <xdr:rowOff>236220</xdr:rowOff>
        </xdr:to>
        <xdr:sp macro="" textlink="">
          <xdr:nvSpPr>
            <xdr:cNvPr id="199639" name="Spinner 983" hidden="1">
              <a:extLst>
                <a:ext uri="{63B3BB69-23CF-44E3-9099-C40C66FF867C}">
                  <a14:compatExt spid="_x0000_s199639"/>
                </a:ext>
                <a:ext uri="{FF2B5EF4-FFF2-40B4-BE49-F238E27FC236}">
                  <a16:creationId xmlns:a16="http://schemas.microsoft.com/office/drawing/2014/main" id="{00000000-0008-0000-0100-0000D7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199640" name="Spinner 984" hidden="1">
              <a:extLst>
                <a:ext uri="{63B3BB69-23CF-44E3-9099-C40C66FF867C}">
                  <a14:compatExt spid="_x0000_s199640"/>
                </a:ext>
                <a:ext uri="{FF2B5EF4-FFF2-40B4-BE49-F238E27FC236}">
                  <a16:creationId xmlns:a16="http://schemas.microsoft.com/office/drawing/2014/main" id="{00000000-0008-0000-0100-0000D8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199641" name="Spinner 985" hidden="1">
              <a:extLst>
                <a:ext uri="{63B3BB69-23CF-44E3-9099-C40C66FF867C}">
                  <a14:compatExt spid="_x0000_s199641"/>
                </a:ext>
                <a:ext uri="{FF2B5EF4-FFF2-40B4-BE49-F238E27FC236}">
                  <a16:creationId xmlns:a16="http://schemas.microsoft.com/office/drawing/2014/main" id="{00000000-0008-0000-0100-0000D9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199642" name="Spinner 986" hidden="1">
              <a:extLst>
                <a:ext uri="{63B3BB69-23CF-44E3-9099-C40C66FF867C}">
                  <a14:compatExt spid="_x0000_s199642"/>
                </a:ext>
                <a:ext uri="{FF2B5EF4-FFF2-40B4-BE49-F238E27FC236}">
                  <a16:creationId xmlns:a16="http://schemas.microsoft.com/office/drawing/2014/main" id="{00000000-0008-0000-0100-0000DA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199643" name="Spinner 987" hidden="1">
              <a:extLst>
                <a:ext uri="{63B3BB69-23CF-44E3-9099-C40C66FF867C}">
                  <a14:compatExt spid="_x0000_s199643"/>
                </a:ext>
                <a:ext uri="{FF2B5EF4-FFF2-40B4-BE49-F238E27FC236}">
                  <a16:creationId xmlns:a16="http://schemas.microsoft.com/office/drawing/2014/main" id="{00000000-0008-0000-0100-0000DB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199644" name="Spinner 988" hidden="1">
              <a:extLst>
                <a:ext uri="{63B3BB69-23CF-44E3-9099-C40C66FF867C}">
                  <a14:compatExt spid="_x0000_s199644"/>
                </a:ext>
                <a:ext uri="{FF2B5EF4-FFF2-40B4-BE49-F238E27FC236}">
                  <a16:creationId xmlns:a16="http://schemas.microsoft.com/office/drawing/2014/main" id="{00000000-0008-0000-0100-0000DC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199645" name="Spinner 989" hidden="1">
              <a:extLst>
                <a:ext uri="{63B3BB69-23CF-44E3-9099-C40C66FF867C}">
                  <a14:compatExt spid="_x0000_s199645"/>
                </a:ext>
                <a:ext uri="{FF2B5EF4-FFF2-40B4-BE49-F238E27FC236}">
                  <a16:creationId xmlns:a16="http://schemas.microsoft.com/office/drawing/2014/main" id="{00000000-0008-0000-0100-0000DD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199646" name="Spinner 990" hidden="1">
              <a:extLst>
                <a:ext uri="{63B3BB69-23CF-44E3-9099-C40C66FF867C}">
                  <a14:compatExt spid="_x0000_s199646"/>
                </a:ext>
                <a:ext uri="{FF2B5EF4-FFF2-40B4-BE49-F238E27FC236}">
                  <a16:creationId xmlns:a16="http://schemas.microsoft.com/office/drawing/2014/main" id="{00000000-0008-0000-0100-0000DE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199647" name="Spinner 991" hidden="1">
              <a:extLst>
                <a:ext uri="{63B3BB69-23CF-44E3-9099-C40C66FF867C}">
                  <a14:compatExt spid="_x0000_s199647"/>
                </a:ext>
                <a:ext uri="{FF2B5EF4-FFF2-40B4-BE49-F238E27FC236}">
                  <a16:creationId xmlns:a16="http://schemas.microsoft.com/office/drawing/2014/main" id="{00000000-0008-0000-0100-0000DF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199648" name="Spinner 992" hidden="1">
              <a:extLst>
                <a:ext uri="{63B3BB69-23CF-44E3-9099-C40C66FF867C}">
                  <a14:compatExt spid="_x0000_s199648"/>
                </a:ext>
                <a:ext uri="{FF2B5EF4-FFF2-40B4-BE49-F238E27FC236}">
                  <a16:creationId xmlns:a16="http://schemas.microsoft.com/office/drawing/2014/main" id="{00000000-0008-0000-0100-0000E0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199649" name="Spinner 993" hidden="1">
              <a:extLst>
                <a:ext uri="{63B3BB69-23CF-44E3-9099-C40C66FF867C}">
                  <a14:compatExt spid="_x0000_s199649"/>
                </a:ext>
                <a:ext uri="{FF2B5EF4-FFF2-40B4-BE49-F238E27FC236}">
                  <a16:creationId xmlns:a16="http://schemas.microsoft.com/office/drawing/2014/main" id="{00000000-0008-0000-0100-0000E1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199650" name="Spinner 994" hidden="1">
              <a:extLst>
                <a:ext uri="{63B3BB69-23CF-44E3-9099-C40C66FF867C}">
                  <a14:compatExt spid="_x0000_s199650"/>
                </a:ext>
                <a:ext uri="{FF2B5EF4-FFF2-40B4-BE49-F238E27FC236}">
                  <a16:creationId xmlns:a16="http://schemas.microsoft.com/office/drawing/2014/main" id="{00000000-0008-0000-0100-0000E2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199651" name="Spinner 995" hidden="1">
              <a:extLst>
                <a:ext uri="{63B3BB69-23CF-44E3-9099-C40C66FF867C}">
                  <a14:compatExt spid="_x0000_s199651"/>
                </a:ext>
                <a:ext uri="{FF2B5EF4-FFF2-40B4-BE49-F238E27FC236}">
                  <a16:creationId xmlns:a16="http://schemas.microsoft.com/office/drawing/2014/main" id="{00000000-0008-0000-0100-0000E3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199652" name="Spinner 996" hidden="1">
              <a:extLst>
                <a:ext uri="{63B3BB69-23CF-44E3-9099-C40C66FF867C}">
                  <a14:compatExt spid="_x0000_s199652"/>
                </a:ext>
                <a:ext uri="{FF2B5EF4-FFF2-40B4-BE49-F238E27FC236}">
                  <a16:creationId xmlns:a16="http://schemas.microsoft.com/office/drawing/2014/main" id="{00000000-0008-0000-0100-0000E4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199653" name="Spinner 997" hidden="1">
              <a:extLst>
                <a:ext uri="{63B3BB69-23CF-44E3-9099-C40C66FF867C}">
                  <a14:compatExt spid="_x0000_s199653"/>
                </a:ext>
                <a:ext uri="{FF2B5EF4-FFF2-40B4-BE49-F238E27FC236}">
                  <a16:creationId xmlns:a16="http://schemas.microsoft.com/office/drawing/2014/main" id="{00000000-0008-0000-0100-0000E5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199654" name="Spinner 998" hidden="1">
              <a:extLst>
                <a:ext uri="{63B3BB69-23CF-44E3-9099-C40C66FF867C}">
                  <a14:compatExt spid="_x0000_s199654"/>
                </a:ext>
                <a:ext uri="{FF2B5EF4-FFF2-40B4-BE49-F238E27FC236}">
                  <a16:creationId xmlns:a16="http://schemas.microsoft.com/office/drawing/2014/main" id="{00000000-0008-0000-0100-0000E6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199655" name="Spinner 999" hidden="1">
              <a:extLst>
                <a:ext uri="{63B3BB69-23CF-44E3-9099-C40C66FF867C}">
                  <a14:compatExt spid="_x0000_s199655"/>
                </a:ext>
                <a:ext uri="{FF2B5EF4-FFF2-40B4-BE49-F238E27FC236}">
                  <a16:creationId xmlns:a16="http://schemas.microsoft.com/office/drawing/2014/main" id="{00000000-0008-0000-0100-0000E7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199656" name="Spinner 1000" hidden="1">
              <a:extLst>
                <a:ext uri="{63B3BB69-23CF-44E3-9099-C40C66FF867C}">
                  <a14:compatExt spid="_x0000_s199656"/>
                </a:ext>
                <a:ext uri="{FF2B5EF4-FFF2-40B4-BE49-F238E27FC236}">
                  <a16:creationId xmlns:a16="http://schemas.microsoft.com/office/drawing/2014/main" id="{00000000-0008-0000-0100-0000E8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199657" name="Spinner 1001" hidden="1">
              <a:extLst>
                <a:ext uri="{63B3BB69-23CF-44E3-9099-C40C66FF867C}">
                  <a14:compatExt spid="_x0000_s199657"/>
                </a:ext>
                <a:ext uri="{FF2B5EF4-FFF2-40B4-BE49-F238E27FC236}">
                  <a16:creationId xmlns:a16="http://schemas.microsoft.com/office/drawing/2014/main" id="{00000000-0008-0000-0100-0000E9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199658" name="Spinner 1002" hidden="1">
              <a:extLst>
                <a:ext uri="{63B3BB69-23CF-44E3-9099-C40C66FF867C}">
                  <a14:compatExt spid="_x0000_s199658"/>
                </a:ext>
                <a:ext uri="{FF2B5EF4-FFF2-40B4-BE49-F238E27FC236}">
                  <a16:creationId xmlns:a16="http://schemas.microsoft.com/office/drawing/2014/main" id="{00000000-0008-0000-0100-0000EA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199659" name="Spinner 1003" hidden="1">
              <a:extLst>
                <a:ext uri="{63B3BB69-23CF-44E3-9099-C40C66FF867C}">
                  <a14:compatExt spid="_x0000_s199659"/>
                </a:ext>
                <a:ext uri="{FF2B5EF4-FFF2-40B4-BE49-F238E27FC236}">
                  <a16:creationId xmlns:a16="http://schemas.microsoft.com/office/drawing/2014/main" id="{00000000-0008-0000-0100-0000EB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199660" name="Spinner 1004" hidden="1">
              <a:extLst>
                <a:ext uri="{63B3BB69-23CF-44E3-9099-C40C66FF867C}">
                  <a14:compatExt spid="_x0000_s199660"/>
                </a:ext>
                <a:ext uri="{FF2B5EF4-FFF2-40B4-BE49-F238E27FC236}">
                  <a16:creationId xmlns:a16="http://schemas.microsoft.com/office/drawing/2014/main" id="{00000000-0008-0000-0100-0000EC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199661" name="Spinner 1005" hidden="1">
              <a:extLst>
                <a:ext uri="{63B3BB69-23CF-44E3-9099-C40C66FF867C}">
                  <a14:compatExt spid="_x0000_s199661"/>
                </a:ext>
                <a:ext uri="{FF2B5EF4-FFF2-40B4-BE49-F238E27FC236}">
                  <a16:creationId xmlns:a16="http://schemas.microsoft.com/office/drawing/2014/main" id="{00000000-0008-0000-0100-0000ED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199662" name="Spinner 1006" hidden="1">
              <a:extLst>
                <a:ext uri="{63B3BB69-23CF-44E3-9099-C40C66FF867C}">
                  <a14:compatExt spid="_x0000_s199662"/>
                </a:ext>
                <a:ext uri="{FF2B5EF4-FFF2-40B4-BE49-F238E27FC236}">
                  <a16:creationId xmlns:a16="http://schemas.microsoft.com/office/drawing/2014/main" id="{00000000-0008-0000-0100-0000EE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199663" name="Spinner 1007" hidden="1">
              <a:extLst>
                <a:ext uri="{63B3BB69-23CF-44E3-9099-C40C66FF867C}">
                  <a14:compatExt spid="_x0000_s199663"/>
                </a:ext>
                <a:ext uri="{FF2B5EF4-FFF2-40B4-BE49-F238E27FC236}">
                  <a16:creationId xmlns:a16="http://schemas.microsoft.com/office/drawing/2014/main" id="{00000000-0008-0000-0100-0000EF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199664" name="Spinner 1008" hidden="1">
              <a:extLst>
                <a:ext uri="{63B3BB69-23CF-44E3-9099-C40C66FF867C}">
                  <a14:compatExt spid="_x0000_s199664"/>
                </a:ext>
                <a:ext uri="{FF2B5EF4-FFF2-40B4-BE49-F238E27FC236}">
                  <a16:creationId xmlns:a16="http://schemas.microsoft.com/office/drawing/2014/main" id="{00000000-0008-0000-0100-0000F0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199665" name="Spinner 1009" hidden="1">
              <a:extLst>
                <a:ext uri="{63B3BB69-23CF-44E3-9099-C40C66FF867C}">
                  <a14:compatExt spid="_x0000_s199665"/>
                </a:ext>
                <a:ext uri="{FF2B5EF4-FFF2-40B4-BE49-F238E27FC236}">
                  <a16:creationId xmlns:a16="http://schemas.microsoft.com/office/drawing/2014/main" id="{00000000-0008-0000-0100-0000F1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199666" name="Spinner 1010" hidden="1">
              <a:extLst>
                <a:ext uri="{63B3BB69-23CF-44E3-9099-C40C66FF867C}">
                  <a14:compatExt spid="_x0000_s199666"/>
                </a:ext>
                <a:ext uri="{FF2B5EF4-FFF2-40B4-BE49-F238E27FC236}">
                  <a16:creationId xmlns:a16="http://schemas.microsoft.com/office/drawing/2014/main" id="{00000000-0008-0000-0100-0000F2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199667" name="Spinner 1011" hidden="1">
              <a:extLst>
                <a:ext uri="{63B3BB69-23CF-44E3-9099-C40C66FF867C}">
                  <a14:compatExt spid="_x0000_s199667"/>
                </a:ext>
                <a:ext uri="{FF2B5EF4-FFF2-40B4-BE49-F238E27FC236}">
                  <a16:creationId xmlns:a16="http://schemas.microsoft.com/office/drawing/2014/main" id="{00000000-0008-0000-0100-0000F3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199668" name="Spinner 1012" hidden="1">
              <a:extLst>
                <a:ext uri="{63B3BB69-23CF-44E3-9099-C40C66FF867C}">
                  <a14:compatExt spid="_x0000_s199668"/>
                </a:ext>
                <a:ext uri="{FF2B5EF4-FFF2-40B4-BE49-F238E27FC236}">
                  <a16:creationId xmlns:a16="http://schemas.microsoft.com/office/drawing/2014/main" id="{00000000-0008-0000-0100-0000F4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199669" name="Spinner 1013" hidden="1">
              <a:extLst>
                <a:ext uri="{63B3BB69-23CF-44E3-9099-C40C66FF867C}">
                  <a14:compatExt spid="_x0000_s199669"/>
                </a:ext>
                <a:ext uri="{FF2B5EF4-FFF2-40B4-BE49-F238E27FC236}">
                  <a16:creationId xmlns:a16="http://schemas.microsoft.com/office/drawing/2014/main" id="{00000000-0008-0000-0100-0000F5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199670" name="Spinner 1014" hidden="1">
              <a:extLst>
                <a:ext uri="{63B3BB69-23CF-44E3-9099-C40C66FF867C}">
                  <a14:compatExt spid="_x0000_s199670"/>
                </a:ext>
                <a:ext uri="{FF2B5EF4-FFF2-40B4-BE49-F238E27FC236}">
                  <a16:creationId xmlns:a16="http://schemas.microsoft.com/office/drawing/2014/main" id="{00000000-0008-0000-0100-0000F6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199671" name="Spinner 1015" hidden="1">
              <a:extLst>
                <a:ext uri="{63B3BB69-23CF-44E3-9099-C40C66FF867C}">
                  <a14:compatExt spid="_x0000_s199671"/>
                </a:ext>
                <a:ext uri="{FF2B5EF4-FFF2-40B4-BE49-F238E27FC236}">
                  <a16:creationId xmlns:a16="http://schemas.microsoft.com/office/drawing/2014/main" id="{00000000-0008-0000-0100-0000F7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259136" name="Spinner 1088" hidden="1">
              <a:extLst>
                <a:ext uri="{63B3BB69-23CF-44E3-9099-C40C66FF867C}">
                  <a14:compatExt spid="_x0000_s259136"/>
                </a:ext>
                <a:ext uri="{FF2B5EF4-FFF2-40B4-BE49-F238E27FC236}">
                  <a16:creationId xmlns:a16="http://schemas.microsoft.com/office/drawing/2014/main" id="{00000000-0008-0000-0100-000040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259137" name="Spinner 1089" hidden="1">
              <a:extLst>
                <a:ext uri="{63B3BB69-23CF-44E3-9099-C40C66FF867C}">
                  <a14:compatExt spid="_x0000_s259137"/>
                </a:ext>
                <a:ext uri="{FF2B5EF4-FFF2-40B4-BE49-F238E27FC236}">
                  <a16:creationId xmlns:a16="http://schemas.microsoft.com/office/drawing/2014/main" id="{00000000-0008-0000-0100-000041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259138" name="Spinner 1090" hidden="1">
              <a:extLst>
                <a:ext uri="{63B3BB69-23CF-44E3-9099-C40C66FF867C}">
                  <a14:compatExt spid="_x0000_s259138"/>
                </a:ext>
                <a:ext uri="{FF2B5EF4-FFF2-40B4-BE49-F238E27FC236}">
                  <a16:creationId xmlns:a16="http://schemas.microsoft.com/office/drawing/2014/main" id="{00000000-0008-0000-0100-000042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259139" name="Spinner 1091" hidden="1">
              <a:extLst>
                <a:ext uri="{63B3BB69-23CF-44E3-9099-C40C66FF867C}">
                  <a14:compatExt spid="_x0000_s259139"/>
                </a:ext>
                <a:ext uri="{FF2B5EF4-FFF2-40B4-BE49-F238E27FC236}">
                  <a16:creationId xmlns:a16="http://schemas.microsoft.com/office/drawing/2014/main" id="{00000000-0008-0000-0100-000043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259140" name="Spinner 1092" hidden="1">
              <a:extLst>
                <a:ext uri="{63B3BB69-23CF-44E3-9099-C40C66FF867C}">
                  <a14:compatExt spid="_x0000_s259140"/>
                </a:ext>
                <a:ext uri="{FF2B5EF4-FFF2-40B4-BE49-F238E27FC236}">
                  <a16:creationId xmlns:a16="http://schemas.microsoft.com/office/drawing/2014/main" id="{00000000-0008-0000-0100-000044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259141" name="Spinner 1093" hidden="1">
              <a:extLst>
                <a:ext uri="{63B3BB69-23CF-44E3-9099-C40C66FF867C}">
                  <a14:compatExt spid="_x0000_s259141"/>
                </a:ext>
                <a:ext uri="{FF2B5EF4-FFF2-40B4-BE49-F238E27FC236}">
                  <a16:creationId xmlns:a16="http://schemas.microsoft.com/office/drawing/2014/main" id="{00000000-0008-0000-0100-000045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259142" name="Spinner 1094" hidden="1">
              <a:extLst>
                <a:ext uri="{63B3BB69-23CF-44E3-9099-C40C66FF867C}">
                  <a14:compatExt spid="_x0000_s259142"/>
                </a:ext>
                <a:ext uri="{FF2B5EF4-FFF2-40B4-BE49-F238E27FC236}">
                  <a16:creationId xmlns:a16="http://schemas.microsoft.com/office/drawing/2014/main" id="{00000000-0008-0000-0100-000046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259143" name="Spinner 1095" hidden="1">
              <a:extLst>
                <a:ext uri="{63B3BB69-23CF-44E3-9099-C40C66FF867C}">
                  <a14:compatExt spid="_x0000_s259143"/>
                </a:ext>
                <a:ext uri="{FF2B5EF4-FFF2-40B4-BE49-F238E27FC236}">
                  <a16:creationId xmlns:a16="http://schemas.microsoft.com/office/drawing/2014/main" id="{00000000-0008-0000-0100-000047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259144" name="Spinner 1096" hidden="1">
              <a:extLst>
                <a:ext uri="{63B3BB69-23CF-44E3-9099-C40C66FF867C}">
                  <a14:compatExt spid="_x0000_s259144"/>
                </a:ext>
                <a:ext uri="{FF2B5EF4-FFF2-40B4-BE49-F238E27FC236}">
                  <a16:creationId xmlns:a16="http://schemas.microsoft.com/office/drawing/2014/main" id="{00000000-0008-0000-0100-000048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259145" name="Spinner 1097" hidden="1">
              <a:extLst>
                <a:ext uri="{63B3BB69-23CF-44E3-9099-C40C66FF867C}">
                  <a14:compatExt spid="_x0000_s259145"/>
                </a:ext>
                <a:ext uri="{FF2B5EF4-FFF2-40B4-BE49-F238E27FC236}">
                  <a16:creationId xmlns:a16="http://schemas.microsoft.com/office/drawing/2014/main" id="{00000000-0008-0000-0100-000049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259146" name="Spinner 1098" hidden="1">
              <a:extLst>
                <a:ext uri="{63B3BB69-23CF-44E3-9099-C40C66FF867C}">
                  <a14:compatExt spid="_x0000_s259146"/>
                </a:ext>
                <a:ext uri="{FF2B5EF4-FFF2-40B4-BE49-F238E27FC236}">
                  <a16:creationId xmlns:a16="http://schemas.microsoft.com/office/drawing/2014/main" id="{00000000-0008-0000-0100-00004A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259147" name="Spinner 1099" hidden="1">
              <a:extLst>
                <a:ext uri="{63B3BB69-23CF-44E3-9099-C40C66FF867C}">
                  <a14:compatExt spid="_x0000_s259147"/>
                </a:ext>
                <a:ext uri="{FF2B5EF4-FFF2-40B4-BE49-F238E27FC236}">
                  <a16:creationId xmlns:a16="http://schemas.microsoft.com/office/drawing/2014/main" id="{00000000-0008-0000-0100-00004B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259148" name="Spinner 1100" hidden="1">
              <a:extLst>
                <a:ext uri="{63B3BB69-23CF-44E3-9099-C40C66FF867C}">
                  <a14:compatExt spid="_x0000_s259148"/>
                </a:ext>
                <a:ext uri="{FF2B5EF4-FFF2-40B4-BE49-F238E27FC236}">
                  <a16:creationId xmlns:a16="http://schemas.microsoft.com/office/drawing/2014/main" id="{00000000-0008-0000-0100-00004C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259149" name="Spinner 1101" hidden="1">
              <a:extLst>
                <a:ext uri="{63B3BB69-23CF-44E3-9099-C40C66FF867C}">
                  <a14:compatExt spid="_x0000_s259149"/>
                </a:ext>
                <a:ext uri="{FF2B5EF4-FFF2-40B4-BE49-F238E27FC236}">
                  <a16:creationId xmlns:a16="http://schemas.microsoft.com/office/drawing/2014/main" id="{00000000-0008-0000-0100-00004D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259150" name="Spinner 1102" hidden="1">
              <a:extLst>
                <a:ext uri="{63B3BB69-23CF-44E3-9099-C40C66FF867C}">
                  <a14:compatExt spid="_x0000_s259150"/>
                </a:ext>
                <a:ext uri="{FF2B5EF4-FFF2-40B4-BE49-F238E27FC236}">
                  <a16:creationId xmlns:a16="http://schemas.microsoft.com/office/drawing/2014/main" id="{00000000-0008-0000-0100-00004E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259151" name="Spinner 1103" hidden="1">
              <a:extLst>
                <a:ext uri="{63B3BB69-23CF-44E3-9099-C40C66FF867C}">
                  <a14:compatExt spid="_x0000_s259151"/>
                </a:ext>
                <a:ext uri="{FF2B5EF4-FFF2-40B4-BE49-F238E27FC236}">
                  <a16:creationId xmlns:a16="http://schemas.microsoft.com/office/drawing/2014/main" id="{00000000-0008-0000-0100-00004F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259152" name="Spinner 1104" hidden="1">
              <a:extLst>
                <a:ext uri="{63B3BB69-23CF-44E3-9099-C40C66FF867C}">
                  <a14:compatExt spid="_x0000_s259152"/>
                </a:ext>
                <a:ext uri="{FF2B5EF4-FFF2-40B4-BE49-F238E27FC236}">
                  <a16:creationId xmlns:a16="http://schemas.microsoft.com/office/drawing/2014/main" id="{00000000-0008-0000-0100-000050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259153" name="Spinner 1105" hidden="1">
              <a:extLst>
                <a:ext uri="{63B3BB69-23CF-44E3-9099-C40C66FF867C}">
                  <a14:compatExt spid="_x0000_s259153"/>
                </a:ext>
                <a:ext uri="{FF2B5EF4-FFF2-40B4-BE49-F238E27FC236}">
                  <a16:creationId xmlns:a16="http://schemas.microsoft.com/office/drawing/2014/main" id="{00000000-0008-0000-0100-000051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259154" name="Spinner 1106" hidden="1">
              <a:extLst>
                <a:ext uri="{63B3BB69-23CF-44E3-9099-C40C66FF867C}">
                  <a14:compatExt spid="_x0000_s259154"/>
                </a:ext>
                <a:ext uri="{FF2B5EF4-FFF2-40B4-BE49-F238E27FC236}">
                  <a16:creationId xmlns:a16="http://schemas.microsoft.com/office/drawing/2014/main" id="{00000000-0008-0000-0100-000052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259155" name="Spinner 1107" hidden="1">
              <a:extLst>
                <a:ext uri="{63B3BB69-23CF-44E3-9099-C40C66FF867C}">
                  <a14:compatExt spid="_x0000_s259155"/>
                </a:ext>
                <a:ext uri="{FF2B5EF4-FFF2-40B4-BE49-F238E27FC236}">
                  <a16:creationId xmlns:a16="http://schemas.microsoft.com/office/drawing/2014/main" id="{00000000-0008-0000-0100-000053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259156" name="Spinner 1108" hidden="1">
              <a:extLst>
                <a:ext uri="{63B3BB69-23CF-44E3-9099-C40C66FF867C}">
                  <a14:compatExt spid="_x0000_s259156"/>
                </a:ext>
                <a:ext uri="{FF2B5EF4-FFF2-40B4-BE49-F238E27FC236}">
                  <a16:creationId xmlns:a16="http://schemas.microsoft.com/office/drawing/2014/main" id="{00000000-0008-0000-0100-000054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259157" name="Spinner 1109" hidden="1">
              <a:extLst>
                <a:ext uri="{63B3BB69-23CF-44E3-9099-C40C66FF867C}">
                  <a14:compatExt spid="_x0000_s259157"/>
                </a:ext>
                <a:ext uri="{FF2B5EF4-FFF2-40B4-BE49-F238E27FC236}">
                  <a16:creationId xmlns:a16="http://schemas.microsoft.com/office/drawing/2014/main" id="{00000000-0008-0000-0100-000055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259158" name="Spinner 1110" hidden="1">
              <a:extLst>
                <a:ext uri="{63B3BB69-23CF-44E3-9099-C40C66FF867C}">
                  <a14:compatExt spid="_x0000_s259158"/>
                </a:ext>
                <a:ext uri="{FF2B5EF4-FFF2-40B4-BE49-F238E27FC236}">
                  <a16:creationId xmlns:a16="http://schemas.microsoft.com/office/drawing/2014/main" id="{00000000-0008-0000-0100-000056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259159" name="Spinner 1111" hidden="1">
              <a:extLst>
                <a:ext uri="{63B3BB69-23CF-44E3-9099-C40C66FF867C}">
                  <a14:compatExt spid="_x0000_s259159"/>
                </a:ext>
                <a:ext uri="{FF2B5EF4-FFF2-40B4-BE49-F238E27FC236}">
                  <a16:creationId xmlns:a16="http://schemas.microsoft.com/office/drawing/2014/main" id="{00000000-0008-0000-0100-000057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259160" name="Spinner 1112" hidden="1">
              <a:extLst>
                <a:ext uri="{63B3BB69-23CF-44E3-9099-C40C66FF867C}">
                  <a14:compatExt spid="_x0000_s259160"/>
                </a:ext>
                <a:ext uri="{FF2B5EF4-FFF2-40B4-BE49-F238E27FC236}">
                  <a16:creationId xmlns:a16="http://schemas.microsoft.com/office/drawing/2014/main" id="{00000000-0008-0000-0100-000058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259161" name="Spinner 1113" hidden="1">
              <a:extLst>
                <a:ext uri="{63B3BB69-23CF-44E3-9099-C40C66FF867C}">
                  <a14:compatExt spid="_x0000_s259161"/>
                </a:ext>
                <a:ext uri="{FF2B5EF4-FFF2-40B4-BE49-F238E27FC236}">
                  <a16:creationId xmlns:a16="http://schemas.microsoft.com/office/drawing/2014/main" id="{00000000-0008-0000-0100-000059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259162" name="Spinner 1114" hidden="1">
              <a:extLst>
                <a:ext uri="{63B3BB69-23CF-44E3-9099-C40C66FF867C}">
                  <a14:compatExt spid="_x0000_s259162"/>
                </a:ext>
                <a:ext uri="{FF2B5EF4-FFF2-40B4-BE49-F238E27FC236}">
                  <a16:creationId xmlns:a16="http://schemas.microsoft.com/office/drawing/2014/main" id="{00000000-0008-0000-0100-00005A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259163" name="Spinner 1115" hidden="1">
              <a:extLst>
                <a:ext uri="{63B3BB69-23CF-44E3-9099-C40C66FF867C}">
                  <a14:compatExt spid="_x0000_s259163"/>
                </a:ext>
                <a:ext uri="{FF2B5EF4-FFF2-40B4-BE49-F238E27FC236}">
                  <a16:creationId xmlns:a16="http://schemas.microsoft.com/office/drawing/2014/main" id="{00000000-0008-0000-0100-00005B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259164" name="Spinner 1116" hidden="1">
              <a:extLst>
                <a:ext uri="{63B3BB69-23CF-44E3-9099-C40C66FF867C}">
                  <a14:compatExt spid="_x0000_s259164"/>
                </a:ext>
                <a:ext uri="{FF2B5EF4-FFF2-40B4-BE49-F238E27FC236}">
                  <a16:creationId xmlns:a16="http://schemas.microsoft.com/office/drawing/2014/main" id="{00000000-0008-0000-0100-00005C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259165" name="Spinner 1117" hidden="1">
              <a:extLst>
                <a:ext uri="{63B3BB69-23CF-44E3-9099-C40C66FF867C}">
                  <a14:compatExt spid="_x0000_s259165"/>
                </a:ext>
                <a:ext uri="{FF2B5EF4-FFF2-40B4-BE49-F238E27FC236}">
                  <a16:creationId xmlns:a16="http://schemas.microsoft.com/office/drawing/2014/main" id="{00000000-0008-0000-0100-00005D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259166" name="Spinner 1118" hidden="1">
              <a:extLst>
                <a:ext uri="{63B3BB69-23CF-44E3-9099-C40C66FF867C}">
                  <a14:compatExt spid="_x0000_s259166"/>
                </a:ext>
                <a:ext uri="{FF2B5EF4-FFF2-40B4-BE49-F238E27FC236}">
                  <a16:creationId xmlns:a16="http://schemas.microsoft.com/office/drawing/2014/main" id="{00000000-0008-0000-0100-00005E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259167" name="Spinner 1119" hidden="1">
              <a:extLst>
                <a:ext uri="{63B3BB69-23CF-44E3-9099-C40C66FF867C}">
                  <a14:compatExt spid="_x0000_s259167"/>
                </a:ext>
                <a:ext uri="{FF2B5EF4-FFF2-40B4-BE49-F238E27FC236}">
                  <a16:creationId xmlns:a16="http://schemas.microsoft.com/office/drawing/2014/main" id="{00000000-0008-0000-0100-00005F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259168" name="Spinner 1120" hidden="1">
              <a:extLst>
                <a:ext uri="{63B3BB69-23CF-44E3-9099-C40C66FF867C}">
                  <a14:compatExt spid="_x0000_s259168"/>
                </a:ext>
                <a:ext uri="{FF2B5EF4-FFF2-40B4-BE49-F238E27FC236}">
                  <a16:creationId xmlns:a16="http://schemas.microsoft.com/office/drawing/2014/main" id="{00000000-0008-0000-0100-000060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259169" name="Spinner 1121" hidden="1">
              <a:extLst>
                <a:ext uri="{63B3BB69-23CF-44E3-9099-C40C66FF867C}">
                  <a14:compatExt spid="_x0000_s259169"/>
                </a:ext>
                <a:ext uri="{FF2B5EF4-FFF2-40B4-BE49-F238E27FC236}">
                  <a16:creationId xmlns:a16="http://schemas.microsoft.com/office/drawing/2014/main" id="{00000000-0008-0000-0100-000061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259170" name="Spinner 1122" hidden="1">
              <a:extLst>
                <a:ext uri="{63B3BB69-23CF-44E3-9099-C40C66FF867C}">
                  <a14:compatExt spid="_x0000_s259170"/>
                </a:ext>
                <a:ext uri="{FF2B5EF4-FFF2-40B4-BE49-F238E27FC236}">
                  <a16:creationId xmlns:a16="http://schemas.microsoft.com/office/drawing/2014/main" id="{00000000-0008-0000-0100-000062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259171" name="Spinner 1123" hidden="1">
              <a:extLst>
                <a:ext uri="{63B3BB69-23CF-44E3-9099-C40C66FF867C}">
                  <a14:compatExt spid="_x0000_s259171"/>
                </a:ext>
                <a:ext uri="{FF2B5EF4-FFF2-40B4-BE49-F238E27FC236}">
                  <a16:creationId xmlns:a16="http://schemas.microsoft.com/office/drawing/2014/main" id="{00000000-0008-0000-0100-000063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172" name="Spinner 1124" hidden="1">
              <a:extLst>
                <a:ext uri="{63B3BB69-23CF-44E3-9099-C40C66FF867C}">
                  <a14:compatExt spid="_x0000_s259172"/>
                </a:ext>
                <a:ext uri="{FF2B5EF4-FFF2-40B4-BE49-F238E27FC236}">
                  <a16:creationId xmlns:a16="http://schemas.microsoft.com/office/drawing/2014/main" id="{00000000-0008-0000-0100-000064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173" name="Spinner 1125" hidden="1">
              <a:extLst>
                <a:ext uri="{63B3BB69-23CF-44E3-9099-C40C66FF867C}">
                  <a14:compatExt spid="_x0000_s259173"/>
                </a:ext>
                <a:ext uri="{FF2B5EF4-FFF2-40B4-BE49-F238E27FC236}">
                  <a16:creationId xmlns:a16="http://schemas.microsoft.com/office/drawing/2014/main" id="{00000000-0008-0000-0100-000065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174" name="Spinner 1126" hidden="1">
              <a:extLst>
                <a:ext uri="{63B3BB69-23CF-44E3-9099-C40C66FF867C}">
                  <a14:compatExt spid="_x0000_s259174"/>
                </a:ext>
                <a:ext uri="{FF2B5EF4-FFF2-40B4-BE49-F238E27FC236}">
                  <a16:creationId xmlns:a16="http://schemas.microsoft.com/office/drawing/2014/main" id="{00000000-0008-0000-0100-000066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45</xdr:row>
          <xdr:rowOff>7620</xdr:rowOff>
        </xdr:from>
        <xdr:to>
          <xdr:col>10</xdr:col>
          <xdr:colOff>1295400</xdr:colOff>
          <xdr:row>45</xdr:row>
          <xdr:rowOff>236220</xdr:rowOff>
        </xdr:to>
        <xdr:sp macro="" textlink="">
          <xdr:nvSpPr>
            <xdr:cNvPr id="259175" name="Spinner 1127" hidden="1">
              <a:extLst>
                <a:ext uri="{63B3BB69-23CF-44E3-9099-C40C66FF867C}">
                  <a14:compatExt spid="_x0000_s259175"/>
                </a:ext>
                <a:ext uri="{FF2B5EF4-FFF2-40B4-BE49-F238E27FC236}">
                  <a16:creationId xmlns:a16="http://schemas.microsoft.com/office/drawing/2014/main" id="{00000000-0008-0000-0100-000067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45</xdr:row>
          <xdr:rowOff>7620</xdr:rowOff>
        </xdr:from>
        <xdr:to>
          <xdr:col>10</xdr:col>
          <xdr:colOff>1295400</xdr:colOff>
          <xdr:row>45</xdr:row>
          <xdr:rowOff>236220</xdr:rowOff>
        </xdr:to>
        <xdr:sp macro="" textlink="">
          <xdr:nvSpPr>
            <xdr:cNvPr id="259176" name="Spinner 1128" hidden="1">
              <a:extLst>
                <a:ext uri="{63B3BB69-23CF-44E3-9099-C40C66FF867C}">
                  <a14:compatExt spid="_x0000_s259176"/>
                </a:ext>
                <a:ext uri="{FF2B5EF4-FFF2-40B4-BE49-F238E27FC236}">
                  <a16:creationId xmlns:a16="http://schemas.microsoft.com/office/drawing/2014/main" id="{00000000-0008-0000-0100-000068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45</xdr:row>
          <xdr:rowOff>7620</xdr:rowOff>
        </xdr:from>
        <xdr:to>
          <xdr:col>10</xdr:col>
          <xdr:colOff>1295400</xdr:colOff>
          <xdr:row>45</xdr:row>
          <xdr:rowOff>236220</xdr:rowOff>
        </xdr:to>
        <xdr:sp macro="" textlink="">
          <xdr:nvSpPr>
            <xdr:cNvPr id="259177" name="Spinner 1129" hidden="1">
              <a:extLst>
                <a:ext uri="{63B3BB69-23CF-44E3-9099-C40C66FF867C}">
                  <a14:compatExt spid="_x0000_s259177"/>
                </a:ext>
                <a:ext uri="{FF2B5EF4-FFF2-40B4-BE49-F238E27FC236}">
                  <a16:creationId xmlns:a16="http://schemas.microsoft.com/office/drawing/2014/main" id="{00000000-0008-0000-0100-000069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178" name="Spinner 1130" hidden="1">
              <a:extLst>
                <a:ext uri="{63B3BB69-23CF-44E3-9099-C40C66FF867C}">
                  <a14:compatExt spid="_x0000_s259178"/>
                </a:ext>
                <a:ext uri="{FF2B5EF4-FFF2-40B4-BE49-F238E27FC236}">
                  <a16:creationId xmlns:a16="http://schemas.microsoft.com/office/drawing/2014/main" id="{00000000-0008-0000-0100-00006A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45</xdr:row>
          <xdr:rowOff>7620</xdr:rowOff>
        </xdr:from>
        <xdr:to>
          <xdr:col>10</xdr:col>
          <xdr:colOff>1295400</xdr:colOff>
          <xdr:row>45</xdr:row>
          <xdr:rowOff>236220</xdr:rowOff>
        </xdr:to>
        <xdr:sp macro="" textlink="">
          <xdr:nvSpPr>
            <xdr:cNvPr id="259179" name="Spinner 1131" hidden="1">
              <a:extLst>
                <a:ext uri="{63B3BB69-23CF-44E3-9099-C40C66FF867C}">
                  <a14:compatExt spid="_x0000_s259179"/>
                </a:ext>
                <a:ext uri="{FF2B5EF4-FFF2-40B4-BE49-F238E27FC236}">
                  <a16:creationId xmlns:a16="http://schemas.microsoft.com/office/drawing/2014/main" id="{00000000-0008-0000-0100-00006B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45</xdr:row>
          <xdr:rowOff>7620</xdr:rowOff>
        </xdr:from>
        <xdr:to>
          <xdr:col>10</xdr:col>
          <xdr:colOff>1295400</xdr:colOff>
          <xdr:row>45</xdr:row>
          <xdr:rowOff>236220</xdr:rowOff>
        </xdr:to>
        <xdr:sp macro="" textlink="">
          <xdr:nvSpPr>
            <xdr:cNvPr id="259180" name="Spinner 1132" hidden="1">
              <a:extLst>
                <a:ext uri="{63B3BB69-23CF-44E3-9099-C40C66FF867C}">
                  <a14:compatExt spid="_x0000_s259180"/>
                </a:ext>
                <a:ext uri="{FF2B5EF4-FFF2-40B4-BE49-F238E27FC236}">
                  <a16:creationId xmlns:a16="http://schemas.microsoft.com/office/drawing/2014/main" id="{00000000-0008-0000-0100-00006C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181" name="Spinner 1133" hidden="1">
              <a:extLst>
                <a:ext uri="{63B3BB69-23CF-44E3-9099-C40C66FF867C}">
                  <a14:compatExt spid="_x0000_s259181"/>
                </a:ext>
                <a:ext uri="{FF2B5EF4-FFF2-40B4-BE49-F238E27FC236}">
                  <a16:creationId xmlns:a16="http://schemas.microsoft.com/office/drawing/2014/main" id="{00000000-0008-0000-0100-00006D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182" name="Spinner 1134" hidden="1">
              <a:extLst>
                <a:ext uri="{63B3BB69-23CF-44E3-9099-C40C66FF867C}">
                  <a14:compatExt spid="_x0000_s259182"/>
                </a:ext>
                <a:ext uri="{FF2B5EF4-FFF2-40B4-BE49-F238E27FC236}">
                  <a16:creationId xmlns:a16="http://schemas.microsoft.com/office/drawing/2014/main" id="{00000000-0008-0000-0100-00006E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183" name="Spinner 1135" hidden="1">
              <a:extLst>
                <a:ext uri="{63B3BB69-23CF-44E3-9099-C40C66FF867C}">
                  <a14:compatExt spid="_x0000_s259183"/>
                </a:ext>
                <a:ext uri="{FF2B5EF4-FFF2-40B4-BE49-F238E27FC236}">
                  <a16:creationId xmlns:a16="http://schemas.microsoft.com/office/drawing/2014/main" id="{00000000-0008-0000-0100-00006F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184" name="Spinner 1136" hidden="1">
              <a:extLst>
                <a:ext uri="{63B3BB69-23CF-44E3-9099-C40C66FF867C}">
                  <a14:compatExt spid="_x0000_s259184"/>
                </a:ext>
                <a:ext uri="{FF2B5EF4-FFF2-40B4-BE49-F238E27FC236}">
                  <a16:creationId xmlns:a16="http://schemas.microsoft.com/office/drawing/2014/main" id="{00000000-0008-0000-0100-000070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185" name="Spinner 1137" hidden="1">
              <a:extLst>
                <a:ext uri="{63B3BB69-23CF-44E3-9099-C40C66FF867C}">
                  <a14:compatExt spid="_x0000_s259185"/>
                </a:ext>
                <a:ext uri="{FF2B5EF4-FFF2-40B4-BE49-F238E27FC236}">
                  <a16:creationId xmlns:a16="http://schemas.microsoft.com/office/drawing/2014/main" id="{00000000-0008-0000-0100-000071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186" name="Spinner 1138" hidden="1">
              <a:extLst>
                <a:ext uri="{63B3BB69-23CF-44E3-9099-C40C66FF867C}">
                  <a14:compatExt spid="_x0000_s259186"/>
                </a:ext>
                <a:ext uri="{FF2B5EF4-FFF2-40B4-BE49-F238E27FC236}">
                  <a16:creationId xmlns:a16="http://schemas.microsoft.com/office/drawing/2014/main" id="{00000000-0008-0000-0100-000072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187" name="Spinner 1139" hidden="1">
              <a:extLst>
                <a:ext uri="{63B3BB69-23CF-44E3-9099-C40C66FF867C}">
                  <a14:compatExt spid="_x0000_s259187"/>
                </a:ext>
                <a:ext uri="{FF2B5EF4-FFF2-40B4-BE49-F238E27FC236}">
                  <a16:creationId xmlns:a16="http://schemas.microsoft.com/office/drawing/2014/main" id="{00000000-0008-0000-0100-000073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188" name="Spinner 1140" hidden="1">
              <a:extLst>
                <a:ext uri="{63B3BB69-23CF-44E3-9099-C40C66FF867C}">
                  <a14:compatExt spid="_x0000_s259188"/>
                </a:ext>
                <a:ext uri="{FF2B5EF4-FFF2-40B4-BE49-F238E27FC236}">
                  <a16:creationId xmlns:a16="http://schemas.microsoft.com/office/drawing/2014/main" id="{00000000-0008-0000-0100-000074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189" name="Spinner 1141" hidden="1">
              <a:extLst>
                <a:ext uri="{63B3BB69-23CF-44E3-9099-C40C66FF867C}">
                  <a14:compatExt spid="_x0000_s259189"/>
                </a:ext>
                <a:ext uri="{FF2B5EF4-FFF2-40B4-BE49-F238E27FC236}">
                  <a16:creationId xmlns:a16="http://schemas.microsoft.com/office/drawing/2014/main" id="{00000000-0008-0000-0100-000075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190" name="Spinner 1142" hidden="1">
              <a:extLst>
                <a:ext uri="{63B3BB69-23CF-44E3-9099-C40C66FF867C}">
                  <a14:compatExt spid="_x0000_s259190"/>
                </a:ext>
                <a:ext uri="{FF2B5EF4-FFF2-40B4-BE49-F238E27FC236}">
                  <a16:creationId xmlns:a16="http://schemas.microsoft.com/office/drawing/2014/main" id="{00000000-0008-0000-0100-000076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191" name="Spinner 1143" hidden="1">
              <a:extLst>
                <a:ext uri="{63B3BB69-23CF-44E3-9099-C40C66FF867C}">
                  <a14:compatExt spid="_x0000_s259191"/>
                </a:ext>
                <a:ext uri="{FF2B5EF4-FFF2-40B4-BE49-F238E27FC236}">
                  <a16:creationId xmlns:a16="http://schemas.microsoft.com/office/drawing/2014/main" id="{00000000-0008-0000-0100-000077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192" name="Spinner 1144" hidden="1">
              <a:extLst>
                <a:ext uri="{63B3BB69-23CF-44E3-9099-C40C66FF867C}">
                  <a14:compatExt spid="_x0000_s259192"/>
                </a:ext>
                <a:ext uri="{FF2B5EF4-FFF2-40B4-BE49-F238E27FC236}">
                  <a16:creationId xmlns:a16="http://schemas.microsoft.com/office/drawing/2014/main" id="{00000000-0008-0000-0100-000078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193" name="Spinner 1145" hidden="1">
              <a:extLst>
                <a:ext uri="{63B3BB69-23CF-44E3-9099-C40C66FF867C}">
                  <a14:compatExt spid="_x0000_s259193"/>
                </a:ext>
                <a:ext uri="{FF2B5EF4-FFF2-40B4-BE49-F238E27FC236}">
                  <a16:creationId xmlns:a16="http://schemas.microsoft.com/office/drawing/2014/main" id="{00000000-0008-0000-0100-000079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194" name="Spinner 1146" hidden="1">
              <a:extLst>
                <a:ext uri="{63B3BB69-23CF-44E3-9099-C40C66FF867C}">
                  <a14:compatExt spid="_x0000_s259194"/>
                </a:ext>
                <a:ext uri="{FF2B5EF4-FFF2-40B4-BE49-F238E27FC236}">
                  <a16:creationId xmlns:a16="http://schemas.microsoft.com/office/drawing/2014/main" id="{00000000-0008-0000-0100-00007A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195" name="Spinner 1147" hidden="1">
              <a:extLst>
                <a:ext uri="{63B3BB69-23CF-44E3-9099-C40C66FF867C}">
                  <a14:compatExt spid="_x0000_s259195"/>
                </a:ext>
                <a:ext uri="{FF2B5EF4-FFF2-40B4-BE49-F238E27FC236}">
                  <a16:creationId xmlns:a16="http://schemas.microsoft.com/office/drawing/2014/main" id="{00000000-0008-0000-0100-00007B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196" name="Spinner 1148" hidden="1">
              <a:extLst>
                <a:ext uri="{63B3BB69-23CF-44E3-9099-C40C66FF867C}">
                  <a14:compatExt spid="_x0000_s259196"/>
                </a:ext>
                <a:ext uri="{FF2B5EF4-FFF2-40B4-BE49-F238E27FC236}">
                  <a16:creationId xmlns:a16="http://schemas.microsoft.com/office/drawing/2014/main" id="{00000000-0008-0000-0100-00007C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197" name="Spinner 1149" hidden="1">
              <a:extLst>
                <a:ext uri="{63B3BB69-23CF-44E3-9099-C40C66FF867C}">
                  <a14:compatExt spid="_x0000_s259197"/>
                </a:ext>
                <a:ext uri="{FF2B5EF4-FFF2-40B4-BE49-F238E27FC236}">
                  <a16:creationId xmlns:a16="http://schemas.microsoft.com/office/drawing/2014/main" id="{00000000-0008-0000-0100-00007D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198" name="Spinner 1150" hidden="1">
              <a:extLst>
                <a:ext uri="{63B3BB69-23CF-44E3-9099-C40C66FF867C}">
                  <a14:compatExt spid="_x0000_s259198"/>
                </a:ext>
                <a:ext uri="{FF2B5EF4-FFF2-40B4-BE49-F238E27FC236}">
                  <a16:creationId xmlns:a16="http://schemas.microsoft.com/office/drawing/2014/main" id="{00000000-0008-0000-0100-00007E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199" name="Spinner 1151" hidden="1">
              <a:extLst>
                <a:ext uri="{63B3BB69-23CF-44E3-9099-C40C66FF867C}">
                  <a14:compatExt spid="_x0000_s259199"/>
                </a:ext>
                <a:ext uri="{FF2B5EF4-FFF2-40B4-BE49-F238E27FC236}">
                  <a16:creationId xmlns:a16="http://schemas.microsoft.com/office/drawing/2014/main" id="{00000000-0008-0000-0100-00007F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200" name="Spinner 1152" hidden="1">
              <a:extLst>
                <a:ext uri="{63B3BB69-23CF-44E3-9099-C40C66FF867C}">
                  <a14:compatExt spid="_x0000_s259200"/>
                </a:ext>
                <a:ext uri="{FF2B5EF4-FFF2-40B4-BE49-F238E27FC236}">
                  <a16:creationId xmlns:a16="http://schemas.microsoft.com/office/drawing/2014/main" id="{00000000-0008-0000-0100-000080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201" name="Spinner 1153" hidden="1">
              <a:extLst>
                <a:ext uri="{63B3BB69-23CF-44E3-9099-C40C66FF867C}">
                  <a14:compatExt spid="_x0000_s259201"/>
                </a:ext>
                <a:ext uri="{FF2B5EF4-FFF2-40B4-BE49-F238E27FC236}">
                  <a16:creationId xmlns:a16="http://schemas.microsoft.com/office/drawing/2014/main" id="{00000000-0008-0000-0100-000081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202" name="Spinner 1154" hidden="1">
              <a:extLst>
                <a:ext uri="{63B3BB69-23CF-44E3-9099-C40C66FF867C}">
                  <a14:compatExt spid="_x0000_s259202"/>
                </a:ext>
                <a:ext uri="{FF2B5EF4-FFF2-40B4-BE49-F238E27FC236}">
                  <a16:creationId xmlns:a16="http://schemas.microsoft.com/office/drawing/2014/main" id="{00000000-0008-0000-0100-000082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203" name="Spinner 1155" hidden="1">
              <a:extLst>
                <a:ext uri="{63B3BB69-23CF-44E3-9099-C40C66FF867C}">
                  <a14:compatExt spid="_x0000_s259203"/>
                </a:ext>
                <a:ext uri="{FF2B5EF4-FFF2-40B4-BE49-F238E27FC236}">
                  <a16:creationId xmlns:a16="http://schemas.microsoft.com/office/drawing/2014/main" id="{00000000-0008-0000-0100-000083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204" name="Spinner 1156" hidden="1">
              <a:extLst>
                <a:ext uri="{63B3BB69-23CF-44E3-9099-C40C66FF867C}">
                  <a14:compatExt spid="_x0000_s259204"/>
                </a:ext>
                <a:ext uri="{FF2B5EF4-FFF2-40B4-BE49-F238E27FC236}">
                  <a16:creationId xmlns:a16="http://schemas.microsoft.com/office/drawing/2014/main" id="{00000000-0008-0000-0100-000084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205" name="Spinner 1157" hidden="1">
              <a:extLst>
                <a:ext uri="{63B3BB69-23CF-44E3-9099-C40C66FF867C}">
                  <a14:compatExt spid="_x0000_s259205"/>
                </a:ext>
                <a:ext uri="{FF2B5EF4-FFF2-40B4-BE49-F238E27FC236}">
                  <a16:creationId xmlns:a16="http://schemas.microsoft.com/office/drawing/2014/main" id="{00000000-0008-0000-0100-000085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206" name="Spinner 1158" hidden="1">
              <a:extLst>
                <a:ext uri="{63B3BB69-23CF-44E3-9099-C40C66FF867C}">
                  <a14:compatExt spid="_x0000_s259206"/>
                </a:ext>
                <a:ext uri="{FF2B5EF4-FFF2-40B4-BE49-F238E27FC236}">
                  <a16:creationId xmlns:a16="http://schemas.microsoft.com/office/drawing/2014/main" id="{00000000-0008-0000-0100-000086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207" name="Spinner 1159" hidden="1">
              <a:extLst>
                <a:ext uri="{63B3BB69-23CF-44E3-9099-C40C66FF867C}">
                  <a14:compatExt spid="_x0000_s259207"/>
                </a:ext>
                <a:ext uri="{FF2B5EF4-FFF2-40B4-BE49-F238E27FC236}">
                  <a16:creationId xmlns:a16="http://schemas.microsoft.com/office/drawing/2014/main" id="{00000000-0008-0000-0100-000087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208" name="Spinner 1160" hidden="1">
              <a:extLst>
                <a:ext uri="{63B3BB69-23CF-44E3-9099-C40C66FF867C}">
                  <a14:compatExt spid="_x0000_s259208"/>
                </a:ext>
                <a:ext uri="{FF2B5EF4-FFF2-40B4-BE49-F238E27FC236}">
                  <a16:creationId xmlns:a16="http://schemas.microsoft.com/office/drawing/2014/main" id="{00000000-0008-0000-0100-000088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209" name="Spinner 1161" hidden="1">
              <a:extLst>
                <a:ext uri="{63B3BB69-23CF-44E3-9099-C40C66FF867C}">
                  <a14:compatExt spid="_x0000_s259209"/>
                </a:ext>
                <a:ext uri="{FF2B5EF4-FFF2-40B4-BE49-F238E27FC236}">
                  <a16:creationId xmlns:a16="http://schemas.microsoft.com/office/drawing/2014/main" id="{00000000-0008-0000-0100-000089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210" name="Spinner 1162" hidden="1">
              <a:extLst>
                <a:ext uri="{63B3BB69-23CF-44E3-9099-C40C66FF867C}">
                  <a14:compatExt spid="_x0000_s259210"/>
                </a:ext>
                <a:ext uri="{FF2B5EF4-FFF2-40B4-BE49-F238E27FC236}">
                  <a16:creationId xmlns:a16="http://schemas.microsoft.com/office/drawing/2014/main" id="{00000000-0008-0000-0100-00008A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211" name="Spinner 1163" hidden="1">
              <a:extLst>
                <a:ext uri="{63B3BB69-23CF-44E3-9099-C40C66FF867C}">
                  <a14:compatExt spid="_x0000_s259211"/>
                </a:ext>
                <a:ext uri="{FF2B5EF4-FFF2-40B4-BE49-F238E27FC236}">
                  <a16:creationId xmlns:a16="http://schemas.microsoft.com/office/drawing/2014/main" id="{00000000-0008-0000-0100-00008B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212" name="Spinner 1164" hidden="1">
              <a:extLst>
                <a:ext uri="{63B3BB69-23CF-44E3-9099-C40C66FF867C}">
                  <a14:compatExt spid="_x0000_s259212"/>
                </a:ext>
                <a:ext uri="{FF2B5EF4-FFF2-40B4-BE49-F238E27FC236}">
                  <a16:creationId xmlns:a16="http://schemas.microsoft.com/office/drawing/2014/main" id="{00000000-0008-0000-0100-00008C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213" name="Spinner 1165" hidden="1">
              <a:extLst>
                <a:ext uri="{63B3BB69-23CF-44E3-9099-C40C66FF867C}">
                  <a14:compatExt spid="_x0000_s259213"/>
                </a:ext>
                <a:ext uri="{FF2B5EF4-FFF2-40B4-BE49-F238E27FC236}">
                  <a16:creationId xmlns:a16="http://schemas.microsoft.com/office/drawing/2014/main" id="{00000000-0008-0000-0100-00008D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214" name="Spinner 1166" hidden="1">
              <a:extLst>
                <a:ext uri="{63B3BB69-23CF-44E3-9099-C40C66FF867C}">
                  <a14:compatExt spid="_x0000_s259214"/>
                </a:ext>
                <a:ext uri="{FF2B5EF4-FFF2-40B4-BE49-F238E27FC236}">
                  <a16:creationId xmlns:a16="http://schemas.microsoft.com/office/drawing/2014/main" id="{00000000-0008-0000-0100-00008E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215" name="Spinner 1167" hidden="1">
              <a:extLst>
                <a:ext uri="{63B3BB69-23CF-44E3-9099-C40C66FF867C}">
                  <a14:compatExt spid="_x0000_s259215"/>
                </a:ext>
                <a:ext uri="{FF2B5EF4-FFF2-40B4-BE49-F238E27FC236}">
                  <a16:creationId xmlns:a16="http://schemas.microsoft.com/office/drawing/2014/main" id="{00000000-0008-0000-0100-00008F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216" name="Spinner 1168" hidden="1">
              <a:extLst>
                <a:ext uri="{63B3BB69-23CF-44E3-9099-C40C66FF867C}">
                  <a14:compatExt spid="_x0000_s259216"/>
                </a:ext>
                <a:ext uri="{FF2B5EF4-FFF2-40B4-BE49-F238E27FC236}">
                  <a16:creationId xmlns:a16="http://schemas.microsoft.com/office/drawing/2014/main" id="{00000000-0008-0000-0100-000090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217" name="Spinner 1169" hidden="1">
              <a:extLst>
                <a:ext uri="{63B3BB69-23CF-44E3-9099-C40C66FF867C}">
                  <a14:compatExt spid="_x0000_s259217"/>
                </a:ext>
                <a:ext uri="{FF2B5EF4-FFF2-40B4-BE49-F238E27FC236}">
                  <a16:creationId xmlns:a16="http://schemas.microsoft.com/office/drawing/2014/main" id="{00000000-0008-0000-0100-000091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218" name="Spinner 1170" hidden="1">
              <a:extLst>
                <a:ext uri="{63B3BB69-23CF-44E3-9099-C40C66FF867C}">
                  <a14:compatExt spid="_x0000_s259218"/>
                </a:ext>
                <a:ext uri="{FF2B5EF4-FFF2-40B4-BE49-F238E27FC236}">
                  <a16:creationId xmlns:a16="http://schemas.microsoft.com/office/drawing/2014/main" id="{00000000-0008-0000-0100-000092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219" name="Spinner 1171" hidden="1">
              <a:extLst>
                <a:ext uri="{63B3BB69-23CF-44E3-9099-C40C66FF867C}">
                  <a14:compatExt spid="_x0000_s259219"/>
                </a:ext>
                <a:ext uri="{FF2B5EF4-FFF2-40B4-BE49-F238E27FC236}">
                  <a16:creationId xmlns:a16="http://schemas.microsoft.com/office/drawing/2014/main" id="{00000000-0008-0000-0100-000093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220" name="Spinner 1172" hidden="1">
              <a:extLst>
                <a:ext uri="{63B3BB69-23CF-44E3-9099-C40C66FF867C}">
                  <a14:compatExt spid="_x0000_s259220"/>
                </a:ext>
                <a:ext uri="{FF2B5EF4-FFF2-40B4-BE49-F238E27FC236}">
                  <a16:creationId xmlns:a16="http://schemas.microsoft.com/office/drawing/2014/main" id="{00000000-0008-0000-0100-000094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221" name="Spinner 1173" hidden="1">
              <a:extLst>
                <a:ext uri="{63B3BB69-23CF-44E3-9099-C40C66FF867C}">
                  <a14:compatExt spid="_x0000_s259221"/>
                </a:ext>
                <a:ext uri="{FF2B5EF4-FFF2-40B4-BE49-F238E27FC236}">
                  <a16:creationId xmlns:a16="http://schemas.microsoft.com/office/drawing/2014/main" id="{00000000-0008-0000-0100-000095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222" name="Spinner 1174" hidden="1">
              <a:extLst>
                <a:ext uri="{63B3BB69-23CF-44E3-9099-C40C66FF867C}">
                  <a14:compatExt spid="_x0000_s259222"/>
                </a:ext>
                <a:ext uri="{FF2B5EF4-FFF2-40B4-BE49-F238E27FC236}">
                  <a16:creationId xmlns:a16="http://schemas.microsoft.com/office/drawing/2014/main" id="{00000000-0008-0000-0100-000096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223" name="Spinner 1175" hidden="1">
              <a:extLst>
                <a:ext uri="{63B3BB69-23CF-44E3-9099-C40C66FF867C}">
                  <a14:compatExt spid="_x0000_s259223"/>
                </a:ext>
                <a:ext uri="{FF2B5EF4-FFF2-40B4-BE49-F238E27FC236}">
                  <a16:creationId xmlns:a16="http://schemas.microsoft.com/office/drawing/2014/main" id="{00000000-0008-0000-0100-000097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224" name="Spinner 1176" hidden="1">
              <a:extLst>
                <a:ext uri="{63B3BB69-23CF-44E3-9099-C40C66FF867C}">
                  <a14:compatExt spid="_x0000_s259224"/>
                </a:ext>
                <a:ext uri="{FF2B5EF4-FFF2-40B4-BE49-F238E27FC236}">
                  <a16:creationId xmlns:a16="http://schemas.microsoft.com/office/drawing/2014/main" id="{00000000-0008-0000-0100-000098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225" name="Spinner 1177" hidden="1">
              <a:extLst>
                <a:ext uri="{63B3BB69-23CF-44E3-9099-C40C66FF867C}">
                  <a14:compatExt spid="_x0000_s259225"/>
                </a:ext>
                <a:ext uri="{FF2B5EF4-FFF2-40B4-BE49-F238E27FC236}">
                  <a16:creationId xmlns:a16="http://schemas.microsoft.com/office/drawing/2014/main" id="{00000000-0008-0000-0100-000099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226" name="Spinner 1178" hidden="1">
              <a:extLst>
                <a:ext uri="{63B3BB69-23CF-44E3-9099-C40C66FF867C}">
                  <a14:compatExt spid="_x0000_s259226"/>
                </a:ext>
                <a:ext uri="{FF2B5EF4-FFF2-40B4-BE49-F238E27FC236}">
                  <a16:creationId xmlns:a16="http://schemas.microsoft.com/office/drawing/2014/main" id="{00000000-0008-0000-0100-00009A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227" name="Spinner 1179" hidden="1">
              <a:extLst>
                <a:ext uri="{63B3BB69-23CF-44E3-9099-C40C66FF867C}">
                  <a14:compatExt spid="_x0000_s259227"/>
                </a:ext>
                <a:ext uri="{FF2B5EF4-FFF2-40B4-BE49-F238E27FC236}">
                  <a16:creationId xmlns:a16="http://schemas.microsoft.com/office/drawing/2014/main" id="{00000000-0008-0000-0100-00009B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228" name="Spinner 1180" hidden="1">
              <a:extLst>
                <a:ext uri="{63B3BB69-23CF-44E3-9099-C40C66FF867C}">
                  <a14:compatExt spid="_x0000_s259228"/>
                </a:ext>
                <a:ext uri="{FF2B5EF4-FFF2-40B4-BE49-F238E27FC236}">
                  <a16:creationId xmlns:a16="http://schemas.microsoft.com/office/drawing/2014/main" id="{00000000-0008-0000-0100-00009C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229" name="Spinner 1181" hidden="1">
              <a:extLst>
                <a:ext uri="{63B3BB69-23CF-44E3-9099-C40C66FF867C}">
                  <a14:compatExt spid="_x0000_s259229"/>
                </a:ext>
                <a:ext uri="{FF2B5EF4-FFF2-40B4-BE49-F238E27FC236}">
                  <a16:creationId xmlns:a16="http://schemas.microsoft.com/office/drawing/2014/main" id="{00000000-0008-0000-0100-00009D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230" name="Spinner 1182" hidden="1">
              <a:extLst>
                <a:ext uri="{63B3BB69-23CF-44E3-9099-C40C66FF867C}">
                  <a14:compatExt spid="_x0000_s259230"/>
                </a:ext>
                <a:ext uri="{FF2B5EF4-FFF2-40B4-BE49-F238E27FC236}">
                  <a16:creationId xmlns:a16="http://schemas.microsoft.com/office/drawing/2014/main" id="{00000000-0008-0000-0100-00009E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231" name="Spinner 1183" hidden="1">
              <a:extLst>
                <a:ext uri="{63B3BB69-23CF-44E3-9099-C40C66FF867C}">
                  <a14:compatExt spid="_x0000_s259231"/>
                </a:ext>
                <a:ext uri="{FF2B5EF4-FFF2-40B4-BE49-F238E27FC236}">
                  <a16:creationId xmlns:a16="http://schemas.microsoft.com/office/drawing/2014/main" id="{00000000-0008-0000-0100-00009F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232" name="Spinner 1184" hidden="1">
              <a:extLst>
                <a:ext uri="{63B3BB69-23CF-44E3-9099-C40C66FF867C}">
                  <a14:compatExt spid="_x0000_s259232"/>
                </a:ext>
                <a:ext uri="{FF2B5EF4-FFF2-40B4-BE49-F238E27FC236}">
                  <a16:creationId xmlns:a16="http://schemas.microsoft.com/office/drawing/2014/main" id="{00000000-0008-0000-0100-0000A0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233" name="Spinner 1185" hidden="1">
              <a:extLst>
                <a:ext uri="{63B3BB69-23CF-44E3-9099-C40C66FF867C}">
                  <a14:compatExt spid="_x0000_s259233"/>
                </a:ext>
                <a:ext uri="{FF2B5EF4-FFF2-40B4-BE49-F238E27FC236}">
                  <a16:creationId xmlns:a16="http://schemas.microsoft.com/office/drawing/2014/main" id="{00000000-0008-0000-0100-0000A1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234" name="Spinner 1186" hidden="1">
              <a:extLst>
                <a:ext uri="{63B3BB69-23CF-44E3-9099-C40C66FF867C}">
                  <a14:compatExt spid="_x0000_s259234"/>
                </a:ext>
                <a:ext uri="{FF2B5EF4-FFF2-40B4-BE49-F238E27FC236}">
                  <a16:creationId xmlns:a16="http://schemas.microsoft.com/office/drawing/2014/main" id="{00000000-0008-0000-0100-0000A2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235" name="Spinner 1187" hidden="1">
              <a:extLst>
                <a:ext uri="{63B3BB69-23CF-44E3-9099-C40C66FF867C}">
                  <a14:compatExt spid="_x0000_s259235"/>
                </a:ext>
                <a:ext uri="{FF2B5EF4-FFF2-40B4-BE49-F238E27FC236}">
                  <a16:creationId xmlns:a16="http://schemas.microsoft.com/office/drawing/2014/main" id="{00000000-0008-0000-0100-0000A3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236" name="Spinner 1188" hidden="1">
              <a:extLst>
                <a:ext uri="{63B3BB69-23CF-44E3-9099-C40C66FF867C}">
                  <a14:compatExt spid="_x0000_s259236"/>
                </a:ext>
                <a:ext uri="{FF2B5EF4-FFF2-40B4-BE49-F238E27FC236}">
                  <a16:creationId xmlns:a16="http://schemas.microsoft.com/office/drawing/2014/main" id="{00000000-0008-0000-0100-0000A4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237" name="Spinner 1189" hidden="1">
              <a:extLst>
                <a:ext uri="{63B3BB69-23CF-44E3-9099-C40C66FF867C}">
                  <a14:compatExt spid="_x0000_s259237"/>
                </a:ext>
                <a:ext uri="{FF2B5EF4-FFF2-40B4-BE49-F238E27FC236}">
                  <a16:creationId xmlns:a16="http://schemas.microsoft.com/office/drawing/2014/main" id="{00000000-0008-0000-0100-0000A5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238" name="Spinner 1190" hidden="1">
              <a:extLst>
                <a:ext uri="{63B3BB69-23CF-44E3-9099-C40C66FF867C}">
                  <a14:compatExt spid="_x0000_s259238"/>
                </a:ext>
                <a:ext uri="{FF2B5EF4-FFF2-40B4-BE49-F238E27FC236}">
                  <a16:creationId xmlns:a16="http://schemas.microsoft.com/office/drawing/2014/main" id="{00000000-0008-0000-0100-0000A6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239" name="Spinner 1191" hidden="1">
              <a:extLst>
                <a:ext uri="{63B3BB69-23CF-44E3-9099-C40C66FF867C}">
                  <a14:compatExt spid="_x0000_s259239"/>
                </a:ext>
                <a:ext uri="{FF2B5EF4-FFF2-40B4-BE49-F238E27FC236}">
                  <a16:creationId xmlns:a16="http://schemas.microsoft.com/office/drawing/2014/main" id="{00000000-0008-0000-0100-0000A7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240" name="Spinner 1192" hidden="1">
              <a:extLst>
                <a:ext uri="{63B3BB69-23CF-44E3-9099-C40C66FF867C}">
                  <a14:compatExt spid="_x0000_s259240"/>
                </a:ext>
                <a:ext uri="{FF2B5EF4-FFF2-40B4-BE49-F238E27FC236}">
                  <a16:creationId xmlns:a16="http://schemas.microsoft.com/office/drawing/2014/main" id="{00000000-0008-0000-0100-0000A8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241" name="Spinner 1193" hidden="1">
              <a:extLst>
                <a:ext uri="{63B3BB69-23CF-44E3-9099-C40C66FF867C}">
                  <a14:compatExt spid="_x0000_s259241"/>
                </a:ext>
                <a:ext uri="{FF2B5EF4-FFF2-40B4-BE49-F238E27FC236}">
                  <a16:creationId xmlns:a16="http://schemas.microsoft.com/office/drawing/2014/main" id="{00000000-0008-0000-0100-0000A9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242" name="Spinner 1194" hidden="1">
              <a:extLst>
                <a:ext uri="{63B3BB69-23CF-44E3-9099-C40C66FF867C}">
                  <a14:compatExt spid="_x0000_s259242"/>
                </a:ext>
                <a:ext uri="{FF2B5EF4-FFF2-40B4-BE49-F238E27FC236}">
                  <a16:creationId xmlns:a16="http://schemas.microsoft.com/office/drawing/2014/main" id="{00000000-0008-0000-0100-0000AA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243" name="Spinner 1195" hidden="1">
              <a:extLst>
                <a:ext uri="{63B3BB69-23CF-44E3-9099-C40C66FF867C}">
                  <a14:compatExt spid="_x0000_s259243"/>
                </a:ext>
                <a:ext uri="{FF2B5EF4-FFF2-40B4-BE49-F238E27FC236}">
                  <a16:creationId xmlns:a16="http://schemas.microsoft.com/office/drawing/2014/main" id="{00000000-0008-0000-0100-0000AB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244" name="Spinner 1196" hidden="1">
              <a:extLst>
                <a:ext uri="{63B3BB69-23CF-44E3-9099-C40C66FF867C}">
                  <a14:compatExt spid="_x0000_s259244"/>
                </a:ext>
                <a:ext uri="{FF2B5EF4-FFF2-40B4-BE49-F238E27FC236}">
                  <a16:creationId xmlns:a16="http://schemas.microsoft.com/office/drawing/2014/main" id="{00000000-0008-0000-0100-0000AC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245" name="Spinner 1197" hidden="1">
              <a:extLst>
                <a:ext uri="{63B3BB69-23CF-44E3-9099-C40C66FF867C}">
                  <a14:compatExt spid="_x0000_s259245"/>
                </a:ext>
                <a:ext uri="{FF2B5EF4-FFF2-40B4-BE49-F238E27FC236}">
                  <a16:creationId xmlns:a16="http://schemas.microsoft.com/office/drawing/2014/main" id="{00000000-0008-0000-0100-0000AD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246" name="Spinner 1198" hidden="1">
              <a:extLst>
                <a:ext uri="{63B3BB69-23CF-44E3-9099-C40C66FF867C}">
                  <a14:compatExt spid="_x0000_s259246"/>
                </a:ext>
                <a:ext uri="{FF2B5EF4-FFF2-40B4-BE49-F238E27FC236}">
                  <a16:creationId xmlns:a16="http://schemas.microsoft.com/office/drawing/2014/main" id="{00000000-0008-0000-0100-0000AE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247" name="Spinner 1199" hidden="1">
              <a:extLst>
                <a:ext uri="{63B3BB69-23CF-44E3-9099-C40C66FF867C}">
                  <a14:compatExt spid="_x0000_s259247"/>
                </a:ext>
                <a:ext uri="{FF2B5EF4-FFF2-40B4-BE49-F238E27FC236}">
                  <a16:creationId xmlns:a16="http://schemas.microsoft.com/office/drawing/2014/main" id="{00000000-0008-0000-0100-0000AF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248" name="Spinner 1200" hidden="1">
              <a:extLst>
                <a:ext uri="{63B3BB69-23CF-44E3-9099-C40C66FF867C}">
                  <a14:compatExt spid="_x0000_s259248"/>
                </a:ext>
                <a:ext uri="{FF2B5EF4-FFF2-40B4-BE49-F238E27FC236}">
                  <a16:creationId xmlns:a16="http://schemas.microsoft.com/office/drawing/2014/main" id="{00000000-0008-0000-0100-0000B0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249" name="Spinner 1201" hidden="1">
              <a:extLst>
                <a:ext uri="{63B3BB69-23CF-44E3-9099-C40C66FF867C}">
                  <a14:compatExt spid="_x0000_s259249"/>
                </a:ext>
                <a:ext uri="{FF2B5EF4-FFF2-40B4-BE49-F238E27FC236}">
                  <a16:creationId xmlns:a16="http://schemas.microsoft.com/office/drawing/2014/main" id="{00000000-0008-0000-0100-0000B1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250" name="Spinner 1202" hidden="1">
              <a:extLst>
                <a:ext uri="{63B3BB69-23CF-44E3-9099-C40C66FF867C}">
                  <a14:compatExt spid="_x0000_s259250"/>
                </a:ext>
                <a:ext uri="{FF2B5EF4-FFF2-40B4-BE49-F238E27FC236}">
                  <a16:creationId xmlns:a16="http://schemas.microsoft.com/office/drawing/2014/main" id="{00000000-0008-0000-0100-0000B2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251" name="Spinner 1203" hidden="1">
              <a:extLst>
                <a:ext uri="{63B3BB69-23CF-44E3-9099-C40C66FF867C}">
                  <a14:compatExt spid="_x0000_s259251"/>
                </a:ext>
                <a:ext uri="{FF2B5EF4-FFF2-40B4-BE49-F238E27FC236}">
                  <a16:creationId xmlns:a16="http://schemas.microsoft.com/office/drawing/2014/main" id="{00000000-0008-0000-0100-0000B3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46</xdr:row>
          <xdr:rowOff>7620</xdr:rowOff>
        </xdr:from>
        <xdr:to>
          <xdr:col>10</xdr:col>
          <xdr:colOff>1295400</xdr:colOff>
          <xdr:row>46</xdr:row>
          <xdr:rowOff>236220</xdr:rowOff>
        </xdr:to>
        <xdr:sp macro="" textlink="">
          <xdr:nvSpPr>
            <xdr:cNvPr id="259252" name="Spinner 1204" hidden="1">
              <a:extLst>
                <a:ext uri="{63B3BB69-23CF-44E3-9099-C40C66FF867C}">
                  <a14:compatExt spid="_x0000_s259252"/>
                </a:ext>
                <a:ext uri="{FF2B5EF4-FFF2-40B4-BE49-F238E27FC236}">
                  <a16:creationId xmlns:a16="http://schemas.microsoft.com/office/drawing/2014/main" id="{00000000-0008-0000-0100-0000B4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46</xdr:row>
          <xdr:rowOff>7620</xdr:rowOff>
        </xdr:from>
        <xdr:to>
          <xdr:col>10</xdr:col>
          <xdr:colOff>1295400</xdr:colOff>
          <xdr:row>46</xdr:row>
          <xdr:rowOff>236220</xdr:rowOff>
        </xdr:to>
        <xdr:sp macro="" textlink="">
          <xdr:nvSpPr>
            <xdr:cNvPr id="259253" name="Spinner 1205" hidden="1">
              <a:extLst>
                <a:ext uri="{63B3BB69-23CF-44E3-9099-C40C66FF867C}">
                  <a14:compatExt spid="_x0000_s259253"/>
                </a:ext>
                <a:ext uri="{FF2B5EF4-FFF2-40B4-BE49-F238E27FC236}">
                  <a16:creationId xmlns:a16="http://schemas.microsoft.com/office/drawing/2014/main" id="{00000000-0008-0000-0100-0000B5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46</xdr:row>
          <xdr:rowOff>7620</xdr:rowOff>
        </xdr:from>
        <xdr:to>
          <xdr:col>10</xdr:col>
          <xdr:colOff>1295400</xdr:colOff>
          <xdr:row>46</xdr:row>
          <xdr:rowOff>236220</xdr:rowOff>
        </xdr:to>
        <xdr:sp macro="" textlink="">
          <xdr:nvSpPr>
            <xdr:cNvPr id="259254" name="Spinner 1206" hidden="1">
              <a:extLst>
                <a:ext uri="{63B3BB69-23CF-44E3-9099-C40C66FF867C}">
                  <a14:compatExt spid="_x0000_s259254"/>
                </a:ext>
                <a:ext uri="{FF2B5EF4-FFF2-40B4-BE49-F238E27FC236}">
                  <a16:creationId xmlns:a16="http://schemas.microsoft.com/office/drawing/2014/main" id="{00000000-0008-0000-0100-0000B6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255" name="Spinner 1207" hidden="1">
              <a:extLst>
                <a:ext uri="{63B3BB69-23CF-44E3-9099-C40C66FF867C}">
                  <a14:compatExt spid="_x0000_s259255"/>
                </a:ext>
                <a:ext uri="{FF2B5EF4-FFF2-40B4-BE49-F238E27FC236}">
                  <a16:creationId xmlns:a16="http://schemas.microsoft.com/office/drawing/2014/main" id="{00000000-0008-0000-0100-0000B7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46</xdr:row>
          <xdr:rowOff>7620</xdr:rowOff>
        </xdr:from>
        <xdr:to>
          <xdr:col>10</xdr:col>
          <xdr:colOff>1295400</xdr:colOff>
          <xdr:row>46</xdr:row>
          <xdr:rowOff>236220</xdr:rowOff>
        </xdr:to>
        <xdr:sp macro="" textlink="">
          <xdr:nvSpPr>
            <xdr:cNvPr id="259256" name="Spinner 1208" hidden="1">
              <a:extLst>
                <a:ext uri="{63B3BB69-23CF-44E3-9099-C40C66FF867C}">
                  <a14:compatExt spid="_x0000_s259256"/>
                </a:ext>
                <a:ext uri="{FF2B5EF4-FFF2-40B4-BE49-F238E27FC236}">
                  <a16:creationId xmlns:a16="http://schemas.microsoft.com/office/drawing/2014/main" id="{00000000-0008-0000-0100-0000B8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46</xdr:row>
          <xdr:rowOff>7620</xdr:rowOff>
        </xdr:from>
        <xdr:to>
          <xdr:col>10</xdr:col>
          <xdr:colOff>1295400</xdr:colOff>
          <xdr:row>46</xdr:row>
          <xdr:rowOff>236220</xdr:rowOff>
        </xdr:to>
        <xdr:sp macro="" textlink="">
          <xdr:nvSpPr>
            <xdr:cNvPr id="259257" name="Spinner 1209" hidden="1">
              <a:extLst>
                <a:ext uri="{63B3BB69-23CF-44E3-9099-C40C66FF867C}">
                  <a14:compatExt spid="_x0000_s259257"/>
                </a:ext>
                <a:ext uri="{FF2B5EF4-FFF2-40B4-BE49-F238E27FC236}">
                  <a16:creationId xmlns:a16="http://schemas.microsoft.com/office/drawing/2014/main" id="{00000000-0008-0000-0100-0000B9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258" name="Spinner 1210" hidden="1">
              <a:extLst>
                <a:ext uri="{63B3BB69-23CF-44E3-9099-C40C66FF867C}">
                  <a14:compatExt spid="_x0000_s259258"/>
                </a:ext>
                <a:ext uri="{FF2B5EF4-FFF2-40B4-BE49-F238E27FC236}">
                  <a16:creationId xmlns:a16="http://schemas.microsoft.com/office/drawing/2014/main" id="{00000000-0008-0000-0100-0000BA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259" name="Spinner 1211" hidden="1">
              <a:extLst>
                <a:ext uri="{63B3BB69-23CF-44E3-9099-C40C66FF867C}">
                  <a14:compatExt spid="_x0000_s259259"/>
                </a:ext>
                <a:ext uri="{FF2B5EF4-FFF2-40B4-BE49-F238E27FC236}">
                  <a16:creationId xmlns:a16="http://schemas.microsoft.com/office/drawing/2014/main" id="{00000000-0008-0000-0100-0000BB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260" name="Spinner 1212" hidden="1">
              <a:extLst>
                <a:ext uri="{63B3BB69-23CF-44E3-9099-C40C66FF867C}">
                  <a14:compatExt spid="_x0000_s259260"/>
                </a:ext>
                <a:ext uri="{FF2B5EF4-FFF2-40B4-BE49-F238E27FC236}">
                  <a16:creationId xmlns:a16="http://schemas.microsoft.com/office/drawing/2014/main" id="{00000000-0008-0000-0100-0000BC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261" name="Spinner 1213" hidden="1">
              <a:extLst>
                <a:ext uri="{63B3BB69-23CF-44E3-9099-C40C66FF867C}">
                  <a14:compatExt spid="_x0000_s259261"/>
                </a:ext>
                <a:ext uri="{FF2B5EF4-FFF2-40B4-BE49-F238E27FC236}">
                  <a16:creationId xmlns:a16="http://schemas.microsoft.com/office/drawing/2014/main" id="{00000000-0008-0000-0100-0000BD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262" name="Spinner 1214" hidden="1">
              <a:extLst>
                <a:ext uri="{63B3BB69-23CF-44E3-9099-C40C66FF867C}">
                  <a14:compatExt spid="_x0000_s259262"/>
                </a:ext>
                <a:ext uri="{FF2B5EF4-FFF2-40B4-BE49-F238E27FC236}">
                  <a16:creationId xmlns:a16="http://schemas.microsoft.com/office/drawing/2014/main" id="{00000000-0008-0000-0100-0000BE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263" name="Spinner 1215" hidden="1">
              <a:extLst>
                <a:ext uri="{63B3BB69-23CF-44E3-9099-C40C66FF867C}">
                  <a14:compatExt spid="_x0000_s259263"/>
                </a:ext>
                <a:ext uri="{FF2B5EF4-FFF2-40B4-BE49-F238E27FC236}">
                  <a16:creationId xmlns:a16="http://schemas.microsoft.com/office/drawing/2014/main" id="{00000000-0008-0000-0100-0000BF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264" name="Spinner 1216" hidden="1">
              <a:extLst>
                <a:ext uri="{63B3BB69-23CF-44E3-9099-C40C66FF867C}">
                  <a14:compatExt spid="_x0000_s259264"/>
                </a:ext>
                <a:ext uri="{FF2B5EF4-FFF2-40B4-BE49-F238E27FC236}">
                  <a16:creationId xmlns:a16="http://schemas.microsoft.com/office/drawing/2014/main" id="{00000000-0008-0000-0100-0000C0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265" name="Spinner 1217" hidden="1">
              <a:extLst>
                <a:ext uri="{63B3BB69-23CF-44E3-9099-C40C66FF867C}">
                  <a14:compatExt spid="_x0000_s259265"/>
                </a:ext>
                <a:ext uri="{FF2B5EF4-FFF2-40B4-BE49-F238E27FC236}">
                  <a16:creationId xmlns:a16="http://schemas.microsoft.com/office/drawing/2014/main" id="{00000000-0008-0000-0100-0000C1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266" name="Spinner 1218" hidden="1">
              <a:extLst>
                <a:ext uri="{63B3BB69-23CF-44E3-9099-C40C66FF867C}">
                  <a14:compatExt spid="_x0000_s259266"/>
                </a:ext>
                <a:ext uri="{FF2B5EF4-FFF2-40B4-BE49-F238E27FC236}">
                  <a16:creationId xmlns:a16="http://schemas.microsoft.com/office/drawing/2014/main" id="{00000000-0008-0000-0100-0000C2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267" name="Spinner 1219" hidden="1">
              <a:extLst>
                <a:ext uri="{63B3BB69-23CF-44E3-9099-C40C66FF867C}">
                  <a14:compatExt spid="_x0000_s259267"/>
                </a:ext>
                <a:ext uri="{FF2B5EF4-FFF2-40B4-BE49-F238E27FC236}">
                  <a16:creationId xmlns:a16="http://schemas.microsoft.com/office/drawing/2014/main" id="{00000000-0008-0000-0100-0000C3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268" name="Spinner 1220" hidden="1">
              <a:extLst>
                <a:ext uri="{63B3BB69-23CF-44E3-9099-C40C66FF867C}">
                  <a14:compatExt spid="_x0000_s259268"/>
                </a:ext>
                <a:ext uri="{FF2B5EF4-FFF2-40B4-BE49-F238E27FC236}">
                  <a16:creationId xmlns:a16="http://schemas.microsoft.com/office/drawing/2014/main" id="{00000000-0008-0000-0100-0000C4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269" name="Spinner 1221" hidden="1">
              <a:extLst>
                <a:ext uri="{63B3BB69-23CF-44E3-9099-C40C66FF867C}">
                  <a14:compatExt spid="_x0000_s259269"/>
                </a:ext>
                <a:ext uri="{FF2B5EF4-FFF2-40B4-BE49-F238E27FC236}">
                  <a16:creationId xmlns:a16="http://schemas.microsoft.com/office/drawing/2014/main" id="{00000000-0008-0000-0100-0000C5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270" name="Spinner 1222" hidden="1">
              <a:extLst>
                <a:ext uri="{63B3BB69-23CF-44E3-9099-C40C66FF867C}">
                  <a14:compatExt spid="_x0000_s259270"/>
                </a:ext>
                <a:ext uri="{FF2B5EF4-FFF2-40B4-BE49-F238E27FC236}">
                  <a16:creationId xmlns:a16="http://schemas.microsoft.com/office/drawing/2014/main" id="{00000000-0008-0000-0100-0000C6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271" name="Spinner 1223" hidden="1">
              <a:extLst>
                <a:ext uri="{63B3BB69-23CF-44E3-9099-C40C66FF867C}">
                  <a14:compatExt spid="_x0000_s259271"/>
                </a:ext>
                <a:ext uri="{FF2B5EF4-FFF2-40B4-BE49-F238E27FC236}">
                  <a16:creationId xmlns:a16="http://schemas.microsoft.com/office/drawing/2014/main" id="{00000000-0008-0000-0100-0000C7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272" name="Spinner 1224" hidden="1">
              <a:extLst>
                <a:ext uri="{63B3BB69-23CF-44E3-9099-C40C66FF867C}">
                  <a14:compatExt spid="_x0000_s259272"/>
                </a:ext>
                <a:ext uri="{FF2B5EF4-FFF2-40B4-BE49-F238E27FC236}">
                  <a16:creationId xmlns:a16="http://schemas.microsoft.com/office/drawing/2014/main" id="{00000000-0008-0000-0100-0000C8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273" name="Spinner 1225" hidden="1">
              <a:extLst>
                <a:ext uri="{63B3BB69-23CF-44E3-9099-C40C66FF867C}">
                  <a14:compatExt spid="_x0000_s259273"/>
                </a:ext>
                <a:ext uri="{FF2B5EF4-FFF2-40B4-BE49-F238E27FC236}">
                  <a16:creationId xmlns:a16="http://schemas.microsoft.com/office/drawing/2014/main" id="{00000000-0008-0000-0100-0000C9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274" name="Spinner 1226" hidden="1">
              <a:extLst>
                <a:ext uri="{63B3BB69-23CF-44E3-9099-C40C66FF867C}">
                  <a14:compatExt spid="_x0000_s259274"/>
                </a:ext>
                <a:ext uri="{FF2B5EF4-FFF2-40B4-BE49-F238E27FC236}">
                  <a16:creationId xmlns:a16="http://schemas.microsoft.com/office/drawing/2014/main" id="{00000000-0008-0000-0100-0000CA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275" name="Spinner 1227" hidden="1">
              <a:extLst>
                <a:ext uri="{63B3BB69-23CF-44E3-9099-C40C66FF867C}">
                  <a14:compatExt spid="_x0000_s259275"/>
                </a:ext>
                <a:ext uri="{FF2B5EF4-FFF2-40B4-BE49-F238E27FC236}">
                  <a16:creationId xmlns:a16="http://schemas.microsoft.com/office/drawing/2014/main" id="{00000000-0008-0000-0100-0000CB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276" name="Spinner 1228" hidden="1">
              <a:extLst>
                <a:ext uri="{63B3BB69-23CF-44E3-9099-C40C66FF867C}">
                  <a14:compatExt spid="_x0000_s259276"/>
                </a:ext>
                <a:ext uri="{FF2B5EF4-FFF2-40B4-BE49-F238E27FC236}">
                  <a16:creationId xmlns:a16="http://schemas.microsoft.com/office/drawing/2014/main" id="{00000000-0008-0000-0100-0000CC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277" name="Spinner 1229" hidden="1">
              <a:extLst>
                <a:ext uri="{63B3BB69-23CF-44E3-9099-C40C66FF867C}">
                  <a14:compatExt spid="_x0000_s259277"/>
                </a:ext>
                <a:ext uri="{FF2B5EF4-FFF2-40B4-BE49-F238E27FC236}">
                  <a16:creationId xmlns:a16="http://schemas.microsoft.com/office/drawing/2014/main" id="{00000000-0008-0000-0100-0000CD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278" name="Spinner 1230" hidden="1">
              <a:extLst>
                <a:ext uri="{63B3BB69-23CF-44E3-9099-C40C66FF867C}">
                  <a14:compatExt spid="_x0000_s259278"/>
                </a:ext>
                <a:ext uri="{FF2B5EF4-FFF2-40B4-BE49-F238E27FC236}">
                  <a16:creationId xmlns:a16="http://schemas.microsoft.com/office/drawing/2014/main" id="{00000000-0008-0000-0100-0000CE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279" name="Spinner 1231" hidden="1">
              <a:extLst>
                <a:ext uri="{63B3BB69-23CF-44E3-9099-C40C66FF867C}">
                  <a14:compatExt spid="_x0000_s259279"/>
                </a:ext>
                <a:ext uri="{FF2B5EF4-FFF2-40B4-BE49-F238E27FC236}">
                  <a16:creationId xmlns:a16="http://schemas.microsoft.com/office/drawing/2014/main" id="{00000000-0008-0000-0100-0000CF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280" name="Spinner 1232" hidden="1">
              <a:extLst>
                <a:ext uri="{63B3BB69-23CF-44E3-9099-C40C66FF867C}">
                  <a14:compatExt spid="_x0000_s259280"/>
                </a:ext>
                <a:ext uri="{FF2B5EF4-FFF2-40B4-BE49-F238E27FC236}">
                  <a16:creationId xmlns:a16="http://schemas.microsoft.com/office/drawing/2014/main" id="{00000000-0008-0000-0100-0000D0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281" name="Spinner 1233" hidden="1">
              <a:extLst>
                <a:ext uri="{63B3BB69-23CF-44E3-9099-C40C66FF867C}">
                  <a14:compatExt spid="_x0000_s259281"/>
                </a:ext>
                <a:ext uri="{FF2B5EF4-FFF2-40B4-BE49-F238E27FC236}">
                  <a16:creationId xmlns:a16="http://schemas.microsoft.com/office/drawing/2014/main" id="{00000000-0008-0000-0100-0000D1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282" name="Spinner 1234" hidden="1">
              <a:extLst>
                <a:ext uri="{63B3BB69-23CF-44E3-9099-C40C66FF867C}">
                  <a14:compatExt spid="_x0000_s259282"/>
                </a:ext>
                <a:ext uri="{FF2B5EF4-FFF2-40B4-BE49-F238E27FC236}">
                  <a16:creationId xmlns:a16="http://schemas.microsoft.com/office/drawing/2014/main" id="{00000000-0008-0000-0100-0000D2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283" name="Spinner 1235" hidden="1">
              <a:extLst>
                <a:ext uri="{63B3BB69-23CF-44E3-9099-C40C66FF867C}">
                  <a14:compatExt spid="_x0000_s259283"/>
                </a:ext>
                <a:ext uri="{FF2B5EF4-FFF2-40B4-BE49-F238E27FC236}">
                  <a16:creationId xmlns:a16="http://schemas.microsoft.com/office/drawing/2014/main" id="{00000000-0008-0000-0100-0000D3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284" name="Spinner 1236" hidden="1">
              <a:extLst>
                <a:ext uri="{63B3BB69-23CF-44E3-9099-C40C66FF867C}">
                  <a14:compatExt spid="_x0000_s259284"/>
                </a:ext>
                <a:ext uri="{FF2B5EF4-FFF2-40B4-BE49-F238E27FC236}">
                  <a16:creationId xmlns:a16="http://schemas.microsoft.com/office/drawing/2014/main" id="{00000000-0008-0000-0100-0000D4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285" name="Spinner 1237" hidden="1">
              <a:extLst>
                <a:ext uri="{63B3BB69-23CF-44E3-9099-C40C66FF867C}">
                  <a14:compatExt spid="_x0000_s259285"/>
                </a:ext>
                <a:ext uri="{FF2B5EF4-FFF2-40B4-BE49-F238E27FC236}">
                  <a16:creationId xmlns:a16="http://schemas.microsoft.com/office/drawing/2014/main" id="{00000000-0008-0000-0100-0000D5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286" name="Spinner 1238" hidden="1">
              <a:extLst>
                <a:ext uri="{63B3BB69-23CF-44E3-9099-C40C66FF867C}">
                  <a14:compatExt spid="_x0000_s259286"/>
                </a:ext>
                <a:ext uri="{FF2B5EF4-FFF2-40B4-BE49-F238E27FC236}">
                  <a16:creationId xmlns:a16="http://schemas.microsoft.com/office/drawing/2014/main" id="{00000000-0008-0000-0100-0000D6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287" name="Spinner 1239" hidden="1">
              <a:extLst>
                <a:ext uri="{63B3BB69-23CF-44E3-9099-C40C66FF867C}">
                  <a14:compatExt spid="_x0000_s259287"/>
                </a:ext>
                <a:ext uri="{FF2B5EF4-FFF2-40B4-BE49-F238E27FC236}">
                  <a16:creationId xmlns:a16="http://schemas.microsoft.com/office/drawing/2014/main" id="{00000000-0008-0000-0100-0000D7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288" name="Spinner 1240" hidden="1">
              <a:extLst>
                <a:ext uri="{63B3BB69-23CF-44E3-9099-C40C66FF867C}">
                  <a14:compatExt spid="_x0000_s259288"/>
                </a:ext>
                <a:ext uri="{FF2B5EF4-FFF2-40B4-BE49-F238E27FC236}">
                  <a16:creationId xmlns:a16="http://schemas.microsoft.com/office/drawing/2014/main" id="{00000000-0008-0000-0100-0000D8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289" name="Spinner 1241" hidden="1">
              <a:extLst>
                <a:ext uri="{63B3BB69-23CF-44E3-9099-C40C66FF867C}">
                  <a14:compatExt spid="_x0000_s259289"/>
                </a:ext>
                <a:ext uri="{FF2B5EF4-FFF2-40B4-BE49-F238E27FC236}">
                  <a16:creationId xmlns:a16="http://schemas.microsoft.com/office/drawing/2014/main" id="{00000000-0008-0000-0100-0000D9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290" name="Spinner 1242" hidden="1">
              <a:extLst>
                <a:ext uri="{63B3BB69-23CF-44E3-9099-C40C66FF867C}">
                  <a14:compatExt spid="_x0000_s259290"/>
                </a:ext>
                <a:ext uri="{FF2B5EF4-FFF2-40B4-BE49-F238E27FC236}">
                  <a16:creationId xmlns:a16="http://schemas.microsoft.com/office/drawing/2014/main" id="{00000000-0008-0000-0100-0000DA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291" name="Spinner 1243" hidden="1">
              <a:extLst>
                <a:ext uri="{63B3BB69-23CF-44E3-9099-C40C66FF867C}">
                  <a14:compatExt spid="_x0000_s259291"/>
                </a:ext>
                <a:ext uri="{FF2B5EF4-FFF2-40B4-BE49-F238E27FC236}">
                  <a16:creationId xmlns:a16="http://schemas.microsoft.com/office/drawing/2014/main" id="{00000000-0008-0000-0100-0000DB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292" name="Spinner 1244" hidden="1">
              <a:extLst>
                <a:ext uri="{63B3BB69-23CF-44E3-9099-C40C66FF867C}">
                  <a14:compatExt spid="_x0000_s259292"/>
                </a:ext>
                <a:ext uri="{FF2B5EF4-FFF2-40B4-BE49-F238E27FC236}">
                  <a16:creationId xmlns:a16="http://schemas.microsoft.com/office/drawing/2014/main" id="{00000000-0008-0000-0100-0000DC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293" name="Spinner 1245" hidden="1">
              <a:extLst>
                <a:ext uri="{63B3BB69-23CF-44E3-9099-C40C66FF867C}">
                  <a14:compatExt spid="_x0000_s259293"/>
                </a:ext>
                <a:ext uri="{FF2B5EF4-FFF2-40B4-BE49-F238E27FC236}">
                  <a16:creationId xmlns:a16="http://schemas.microsoft.com/office/drawing/2014/main" id="{00000000-0008-0000-0100-0000DD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294" name="Spinner 1246" hidden="1">
              <a:extLst>
                <a:ext uri="{63B3BB69-23CF-44E3-9099-C40C66FF867C}">
                  <a14:compatExt spid="_x0000_s259294"/>
                </a:ext>
                <a:ext uri="{FF2B5EF4-FFF2-40B4-BE49-F238E27FC236}">
                  <a16:creationId xmlns:a16="http://schemas.microsoft.com/office/drawing/2014/main" id="{00000000-0008-0000-0100-0000DE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295" name="Spinner 1247" hidden="1">
              <a:extLst>
                <a:ext uri="{63B3BB69-23CF-44E3-9099-C40C66FF867C}">
                  <a14:compatExt spid="_x0000_s259295"/>
                </a:ext>
                <a:ext uri="{FF2B5EF4-FFF2-40B4-BE49-F238E27FC236}">
                  <a16:creationId xmlns:a16="http://schemas.microsoft.com/office/drawing/2014/main" id="{00000000-0008-0000-0100-0000DF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296" name="Spinner 1248" hidden="1">
              <a:extLst>
                <a:ext uri="{63B3BB69-23CF-44E3-9099-C40C66FF867C}">
                  <a14:compatExt spid="_x0000_s259296"/>
                </a:ext>
                <a:ext uri="{FF2B5EF4-FFF2-40B4-BE49-F238E27FC236}">
                  <a16:creationId xmlns:a16="http://schemas.microsoft.com/office/drawing/2014/main" id="{00000000-0008-0000-0100-0000E0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297" name="Spinner 1249" hidden="1">
              <a:extLst>
                <a:ext uri="{63B3BB69-23CF-44E3-9099-C40C66FF867C}">
                  <a14:compatExt spid="_x0000_s259297"/>
                </a:ext>
                <a:ext uri="{FF2B5EF4-FFF2-40B4-BE49-F238E27FC236}">
                  <a16:creationId xmlns:a16="http://schemas.microsoft.com/office/drawing/2014/main" id="{00000000-0008-0000-0100-0000E1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298" name="Spinner 1250" hidden="1">
              <a:extLst>
                <a:ext uri="{63B3BB69-23CF-44E3-9099-C40C66FF867C}">
                  <a14:compatExt spid="_x0000_s259298"/>
                </a:ext>
                <a:ext uri="{FF2B5EF4-FFF2-40B4-BE49-F238E27FC236}">
                  <a16:creationId xmlns:a16="http://schemas.microsoft.com/office/drawing/2014/main" id="{00000000-0008-0000-0100-0000E2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299" name="Spinner 1251" hidden="1">
              <a:extLst>
                <a:ext uri="{63B3BB69-23CF-44E3-9099-C40C66FF867C}">
                  <a14:compatExt spid="_x0000_s259299"/>
                </a:ext>
                <a:ext uri="{FF2B5EF4-FFF2-40B4-BE49-F238E27FC236}">
                  <a16:creationId xmlns:a16="http://schemas.microsoft.com/office/drawing/2014/main" id="{00000000-0008-0000-0100-0000E3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00" name="Spinner 1252" hidden="1">
              <a:extLst>
                <a:ext uri="{63B3BB69-23CF-44E3-9099-C40C66FF867C}">
                  <a14:compatExt spid="_x0000_s259300"/>
                </a:ext>
                <a:ext uri="{FF2B5EF4-FFF2-40B4-BE49-F238E27FC236}">
                  <a16:creationId xmlns:a16="http://schemas.microsoft.com/office/drawing/2014/main" id="{00000000-0008-0000-0100-0000E4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01" name="Spinner 1253" hidden="1">
              <a:extLst>
                <a:ext uri="{63B3BB69-23CF-44E3-9099-C40C66FF867C}">
                  <a14:compatExt spid="_x0000_s259301"/>
                </a:ext>
                <a:ext uri="{FF2B5EF4-FFF2-40B4-BE49-F238E27FC236}">
                  <a16:creationId xmlns:a16="http://schemas.microsoft.com/office/drawing/2014/main" id="{00000000-0008-0000-0100-0000E5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02" name="Spinner 1254" hidden="1">
              <a:extLst>
                <a:ext uri="{63B3BB69-23CF-44E3-9099-C40C66FF867C}">
                  <a14:compatExt spid="_x0000_s259302"/>
                </a:ext>
                <a:ext uri="{FF2B5EF4-FFF2-40B4-BE49-F238E27FC236}">
                  <a16:creationId xmlns:a16="http://schemas.microsoft.com/office/drawing/2014/main" id="{00000000-0008-0000-0100-0000E6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03" name="Spinner 1255" hidden="1">
              <a:extLst>
                <a:ext uri="{63B3BB69-23CF-44E3-9099-C40C66FF867C}">
                  <a14:compatExt spid="_x0000_s259303"/>
                </a:ext>
                <a:ext uri="{FF2B5EF4-FFF2-40B4-BE49-F238E27FC236}">
                  <a16:creationId xmlns:a16="http://schemas.microsoft.com/office/drawing/2014/main" id="{00000000-0008-0000-0100-0000E7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04" name="Spinner 1256" hidden="1">
              <a:extLst>
                <a:ext uri="{63B3BB69-23CF-44E3-9099-C40C66FF867C}">
                  <a14:compatExt spid="_x0000_s259304"/>
                </a:ext>
                <a:ext uri="{FF2B5EF4-FFF2-40B4-BE49-F238E27FC236}">
                  <a16:creationId xmlns:a16="http://schemas.microsoft.com/office/drawing/2014/main" id="{00000000-0008-0000-0100-0000E8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05" name="Spinner 1257" hidden="1">
              <a:extLst>
                <a:ext uri="{63B3BB69-23CF-44E3-9099-C40C66FF867C}">
                  <a14:compatExt spid="_x0000_s259305"/>
                </a:ext>
                <a:ext uri="{FF2B5EF4-FFF2-40B4-BE49-F238E27FC236}">
                  <a16:creationId xmlns:a16="http://schemas.microsoft.com/office/drawing/2014/main" id="{00000000-0008-0000-0100-0000E9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06" name="Spinner 1258" hidden="1">
              <a:extLst>
                <a:ext uri="{63B3BB69-23CF-44E3-9099-C40C66FF867C}">
                  <a14:compatExt spid="_x0000_s259306"/>
                </a:ext>
                <a:ext uri="{FF2B5EF4-FFF2-40B4-BE49-F238E27FC236}">
                  <a16:creationId xmlns:a16="http://schemas.microsoft.com/office/drawing/2014/main" id="{00000000-0008-0000-0100-0000EA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07" name="Spinner 1259" hidden="1">
              <a:extLst>
                <a:ext uri="{63B3BB69-23CF-44E3-9099-C40C66FF867C}">
                  <a14:compatExt spid="_x0000_s259307"/>
                </a:ext>
                <a:ext uri="{FF2B5EF4-FFF2-40B4-BE49-F238E27FC236}">
                  <a16:creationId xmlns:a16="http://schemas.microsoft.com/office/drawing/2014/main" id="{00000000-0008-0000-0100-0000EB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08" name="Spinner 1260" hidden="1">
              <a:extLst>
                <a:ext uri="{63B3BB69-23CF-44E3-9099-C40C66FF867C}">
                  <a14:compatExt spid="_x0000_s259308"/>
                </a:ext>
                <a:ext uri="{FF2B5EF4-FFF2-40B4-BE49-F238E27FC236}">
                  <a16:creationId xmlns:a16="http://schemas.microsoft.com/office/drawing/2014/main" id="{00000000-0008-0000-0100-0000EC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09" name="Spinner 1261" hidden="1">
              <a:extLst>
                <a:ext uri="{63B3BB69-23CF-44E3-9099-C40C66FF867C}">
                  <a14:compatExt spid="_x0000_s259309"/>
                </a:ext>
                <a:ext uri="{FF2B5EF4-FFF2-40B4-BE49-F238E27FC236}">
                  <a16:creationId xmlns:a16="http://schemas.microsoft.com/office/drawing/2014/main" id="{00000000-0008-0000-0100-0000ED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10" name="Spinner 1262" hidden="1">
              <a:extLst>
                <a:ext uri="{63B3BB69-23CF-44E3-9099-C40C66FF867C}">
                  <a14:compatExt spid="_x0000_s259310"/>
                </a:ext>
                <a:ext uri="{FF2B5EF4-FFF2-40B4-BE49-F238E27FC236}">
                  <a16:creationId xmlns:a16="http://schemas.microsoft.com/office/drawing/2014/main" id="{00000000-0008-0000-0100-0000EE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11" name="Spinner 1263" hidden="1">
              <a:extLst>
                <a:ext uri="{63B3BB69-23CF-44E3-9099-C40C66FF867C}">
                  <a14:compatExt spid="_x0000_s259311"/>
                </a:ext>
                <a:ext uri="{FF2B5EF4-FFF2-40B4-BE49-F238E27FC236}">
                  <a16:creationId xmlns:a16="http://schemas.microsoft.com/office/drawing/2014/main" id="{00000000-0008-0000-0100-0000EF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12" name="Spinner 1264" hidden="1">
              <a:extLst>
                <a:ext uri="{63B3BB69-23CF-44E3-9099-C40C66FF867C}">
                  <a14:compatExt spid="_x0000_s259312"/>
                </a:ext>
                <a:ext uri="{FF2B5EF4-FFF2-40B4-BE49-F238E27FC236}">
                  <a16:creationId xmlns:a16="http://schemas.microsoft.com/office/drawing/2014/main" id="{00000000-0008-0000-0100-0000F0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13" name="Spinner 1265" hidden="1">
              <a:extLst>
                <a:ext uri="{63B3BB69-23CF-44E3-9099-C40C66FF867C}">
                  <a14:compatExt spid="_x0000_s259313"/>
                </a:ext>
                <a:ext uri="{FF2B5EF4-FFF2-40B4-BE49-F238E27FC236}">
                  <a16:creationId xmlns:a16="http://schemas.microsoft.com/office/drawing/2014/main" id="{00000000-0008-0000-0100-0000F1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14" name="Spinner 1266" hidden="1">
              <a:extLst>
                <a:ext uri="{63B3BB69-23CF-44E3-9099-C40C66FF867C}">
                  <a14:compatExt spid="_x0000_s259314"/>
                </a:ext>
                <a:ext uri="{FF2B5EF4-FFF2-40B4-BE49-F238E27FC236}">
                  <a16:creationId xmlns:a16="http://schemas.microsoft.com/office/drawing/2014/main" id="{00000000-0008-0000-0100-0000F2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15" name="Spinner 1267" hidden="1">
              <a:extLst>
                <a:ext uri="{63B3BB69-23CF-44E3-9099-C40C66FF867C}">
                  <a14:compatExt spid="_x0000_s259315"/>
                </a:ext>
                <a:ext uri="{FF2B5EF4-FFF2-40B4-BE49-F238E27FC236}">
                  <a16:creationId xmlns:a16="http://schemas.microsoft.com/office/drawing/2014/main" id="{00000000-0008-0000-0100-0000F3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16" name="Spinner 1268" hidden="1">
              <a:extLst>
                <a:ext uri="{63B3BB69-23CF-44E3-9099-C40C66FF867C}">
                  <a14:compatExt spid="_x0000_s259316"/>
                </a:ext>
                <a:ext uri="{FF2B5EF4-FFF2-40B4-BE49-F238E27FC236}">
                  <a16:creationId xmlns:a16="http://schemas.microsoft.com/office/drawing/2014/main" id="{00000000-0008-0000-0100-0000F4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17" name="Spinner 1269" hidden="1">
              <a:extLst>
                <a:ext uri="{63B3BB69-23CF-44E3-9099-C40C66FF867C}">
                  <a14:compatExt spid="_x0000_s259317"/>
                </a:ext>
                <a:ext uri="{FF2B5EF4-FFF2-40B4-BE49-F238E27FC236}">
                  <a16:creationId xmlns:a16="http://schemas.microsoft.com/office/drawing/2014/main" id="{00000000-0008-0000-0100-0000F5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18" name="Spinner 1270" hidden="1">
              <a:extLst>
                <a:ext uri="{63B3BB69-23CF-44E3-9099-C40C66FF867C}">
                  <a14:compatExt spid="_x0000_s259318"/>
                </a:ext>
                <a:ext uri="{FF2B5EF4-FFF2-40B4-BE49-F238E27FC236}">
                  <a16:creationId xmlns:a16="http://schemas.microsoft.com/office/drawing/2014/main" id="{00000000-0008-0000-0100-0000F6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19" name="Spinner 1271" hidden="1">
              <a:extLst>
                <a:ext uri="{63B3BB69-23CF-44E3-9099-C40C66FF867C}">
                  <a14:compatExt spid="_x0000_s259319"/>
                </a:ext>
                <a:ext uri="{FF2B5EF4-FFF2-40B4-BE49-F238E27FC236}">
                  <a16:creationId xmlns:a16="http://schemas.microsoft.com/office/drawing/2014/main" id="{00000000-0008-0000-0100-0000F7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20" name="Spinner 1272" hidden="1">
              <a:extLst>
                <a:ext uri="{63B3BB69-23CF-44E3-9099-C40C66FF867C}">
                  <a14:compatExt spid="_x0000_s259320"/>
                </a:ext>
                <a:ext uri="{FF2B5EF4-FFF2-40B4-BE49-F238E27FC236}">
                  <a16:creationId xmlns:a16="http://schemas.microsoft.com/office/drawing/2014/main" id="{00000000-0008-0000-0100-0000F8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21" name="Spinner 1273" hidden="1">
              <a:extLst>
                <a:ext uri="{63B3BB69-23CF-44E3-9099-C40C66FF867C}">
                  <a14:compatExt spid="_x0000_s259321"/>
                </a:ext>
                <a:ext uri="{FF2B5EF4-FFF2-40B4-BE49-F238E27FC236}">
                  <a16:creationId xmlns:a16="http://schemas.microsoft.com/office/drawing/2014/main" id="{00000000-0008-0000-0100-0000F9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22" name="Spinner 1274" hidden="1">
              <a:extLst>
                <a:ext uri="{63B3BB69-23CF-44E3-9099-C40C66FF867C}">
                  <a14:compatExt spid="_x0000_s259322"/>
                </a:ext>
                <a:ext uri="{FF2B5EF4-FFF2-40B4-BE49-F238E27FC236}">
                  <a16:creationId xmlns:a16="http://schemas.microsoft.com/office/drawing/2014/main" id="{00000000-0008-0000-0100-0000FA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23" name="Spinner 1275" hidden="1">
              <a:extLst>
                <a:ext uri="{63B3BB69-23CF-44E3-9099-C40C66FF867C}">
                  <a14:compatExt spid="_x0000_s259323"/>
                </a:ext>
                <a:ext uri="{FF2B5EF4-FFF2-40B4-BE49-F238E27FC236}">
                  <a16:creationId xmlns:a16="http://schemas.microsoft.com/office/drawing/2014/main" id="{00000000-0008-0000-0100-0000FB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24" name="Spinner 1276" hidden="1">
              <a:extLst>
                <a:ext uri="{63B3BB69-23CF-44E3-9099-C40C66FF867C}">
                  <a14:compatExt spid="_x0000_s259324"/>
                </a:ext>
                <a:ext uri="{FF2B5EF4-FFF2-40B4-BE49-F238E27FC236}">
                  <a16:creationId xmlns:a16="http://schemas.microsoft.com/office/drawing/2014/main" id="{00000000-0008-0000-0100-0000FC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25" name="Spinner 1277" hidden="1">
              <a:extLst>
                <a:ext uri="{63B3BB69-23CF-44E3-9099-C40C66FF867C}">
                  <a14:compatExt spid="_x0000_s259325"/>
                </a:ext>
                <a:ext uri="{FF2B5EF4-FFF2-40B4-BE49-F238E27FC236}">
                  <a16:creationId xmlns:a16="http://schemas.microsoft.com/office/drawing/2014/main" id="{00000000-0008-0000-0100-0000FD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26" name="Spinner 1278" hidden="1">
              <a:extLst>
                <a:ext uri="{63B3BB69-23CF-44E3-9099-C40C66FF867C}">
                  <a14:compatExt spid="_x0000_s259326"/>
                </a:ext>
                <a:ext uri="{FF2B5EF4-FFF2-40B4-BE49-F238E27FC236}">
                  <a16:creationId xmlns:a16="http://schemas.microsoft.com/office/drawing/2014/main" id="{00000000-0008-0000-0100-0000FE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27" name="Spinner 1279" hidden="1">
              <a:extLst>
                <a:ext uri="{63B3BB69-23CF-44E3-9099-C40C66FF867C}">
                  <a14:compatExt spid="_x0000_s259327"/>
                </a:ext>
                <a:ext uri="{FF2B5EF4-FFF2-40B4-BE49-F238E27FC236}">
                  <a16:creationId xmlns:a16="http://schemas.microsoft.com/office/drawing/2014/main" id="{00000000-0008-0000-0100-0000FF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28" name="Spinner 1280" hidden="1">
              <a:extLst>
                <a:ext uri="{63B3BB69-23CF-44E3-9099-C40C66FF867C}">
                  <a14:compatExt spid="_x0000_s259328"/>
                </a:ext>
                <a:ext uri="{FF2B5EF4-FFF2-40B4-BE49-F238E27FC236}">
                  <a16:creationId xmlns:a16="http://schemas.microsoft.com/office/drawing/2014/main" id="{00000000-0008-0000-0100-000000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29" name="Spinner 1281" hidden="1">
              <a:extLst>
                <a:ext uri="{63B3BB69-23CF-44E3-9099-C40C66FF867C}">
                  <a14:compatExt spid="_x0000_s259329"/>
                </a:ext>
                <a:ext uri="{FF2B5EF4-FFF2-40B4-BE49-F238E27FC236}">
                  <a16:creationId xmlns:a16="http://schemas.microsoft.com/office/drawing/2014/main" id="{00000000-0008-0000-0100-000001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30" name="Spinner 1282" hidden="1">
              <a:extLst>
                <a:ext uri="{63B3BB69-23CF-44E3-9099-C40C66FF867C}">
                  <a14:compatExt spid="_x0000_s259330"/>
                </a:ext>
                <a:ext uri="{FF2B5EF4-FFF2-40B4-BE49-F238E27FC236}">
                  <a16:creationId xmlns:a16="http://schemas.microsoft.com/office/drawing/2014/main" id="{00000000-0008-0000-0100-000002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31" name="Spinner 1283" hidden="1">
              <a:extLst>
                <a:ext uri="{63B3BB69-23CF-44E3-9099-C40C66FF867C}">
                  <a14:compatExt spid="_x0000_s259331"/>
                </a:ext>
                <a:ext uri="{FF2B5EF4-FFF2-40B4-BE49-F238E27FC236}">
                  <a16:creationId xmlns:a16="http://schemas.microsoft.com/office/drawing/2014/main" id="{00000000-0008-0000-0100-000003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32" name="Spinner 1284" hidden="1">
              <a:extLst>
                <a:ext uri="{63B3BB69-23CF-44E3-9099-C40C66FF867C}">
                  <a14:compatExt spid="_x0000_s259332"/>
                </a:ext>
                <a:ext uri="{FF2B5EF4-FFF2-40B4-BE49-F238E27FC236}">
                  <a16:creationId xmlns:a16="http://schemas.microsoft.com/office/drawing/2014/main" id="{00000000-0008-0000-0100-000004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33" name="Spinner 1285" hidden="1">
              <a:extLst>
                <a:ext uri="{63B3BB69-23CF-44E3-9099-C40C66FF867C}">
                  <a14:compatExt spid="_x0000_s259333"/>
                </a:ext>
                <a:ext uri="{FF2B5EF4-FFF2-40B4-BE49-F238E27FC236}">
                  <a16:creationId xmlns:a16="http://schemas.microsoft.com/office/drawing/2014/main" id="{00000000-0008-0000-0100-000005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34" name="Spinner 1286" hidden="1">
              <a:extLst>
                <a:ext uri="{63B3BB69-23CF-44E3-9099-C40C66FF867C}">
                  <a14:compatExt spid="_x0000_s259334"/>
                </a:ext>
                <a:ext uri="{FF2B5EF4-FFF2-40B4-BE49-F238E27FC236}">
                  <a16:creationId xmlns:a16="http://schemas.microsoft.com/office/drawing/2014/main" id="{00000000-0008-0000-0100-000006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35" name="Spinner 1287" hidden="1">
              <a:extLst>
                <a:ext uri="{63B3BB69-23CF-44E3-9099-C40C66FF867C}">
                  <a14:compatExt spid="_x0000_s259335"/>
                </a:ext>
                <a:ext uri="{FF2B5EF4-FFF2-40B4-BE49-F238E27FC236}">
                  <a16:creationId xmlns:a16="http://schemas.microsoft.com/office/drawing/2014/main" id="{00000000-0008-0000-0100-000007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36" name="Spinner 1288" hidden="1">
              <a:extLst>
                <a:ext uri="{63B3BB69-23CF-44E3-9099-C40C66FF867C}">
                  <a14:compatExt spid="_x0000_s259336"/>
                </a:ext>
                <a:ext uri="{FF2B5EF4-FFF2-40B4-BE49-F238E27FC236}">
                  <a16:creationId xmlns:a16="http://schemas.microsoft.com/office/drawing/2014/main" id="{00000000-0008-0000-0100-000008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37" name="Spinner 1289" hidden="1">
              <a:extLst>
                <a:ext uri="{63B3BB69-23CF-44E3-9099-C40C66FF867C}">
                  <a14:compatExt spid="_x0000_s259337"/>
                </a:ext>
                <a:ext uri="{FF2B5EF4-FFF2-40B4-BE49-F238E27FC236}">
                  <a16:creationId xmlns:a16="http://schemas.microsoft.com/office/drawing/2014/main" id="{00000000-0008-0000-0100-000009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38" name="Spinner 1290" hidden="1">
              <a:extLst>
                <a:ext uri="{63B3BB69-23CF-44E3-9099-C40C66FF867C}">
                  <a14:compatExt spid="_x0000_s259338"/>
                </a:ext>
                <a:ext uri="{FF2B5EF4-FFF2-40B4-BE49-F238E27FC236}">
                  <a16:creationId xmlns:a16="http://schemas.microsoft.com/office/drawing/2014/main" id="{00000000-0008-0000-0100-00000A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39" name="Spinner 1291" hidden="1">
              <a:extLst>
                <a:ext uri="{63B3BB69-23CF-44E3-9099-C40C66FF867C}">
                  <a14:compatExt spid="_x0000_s259339"/>
                </a:ext>
                <a:ext uri="{FF2B5EF4-FFF2-40B4-BE49-F238E27FC236}">
                  <a16:creationId xmlns:a16="http://schemas.microsoft.com/office/drawing/2014/main" id="{00000000-0008-0000-0100-00000B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40" name="Spinner 1292" hidden="1">
              <a:extLst>
                <a:ext uri="{63B3BB69-23CF-44E3-9099-C40C66FF867C}">
                  <a14:compatExt spid="_x0000_s259340"/>
                </a:ext>
                <a:ext uri="{FF2B5EF4-FFF2-40B4-BE49-F238E27FC236}">
                  <a16:creationId xmlns:a16="http://schemas.microsoft.com/office/drawing/2014/main" id="{00000000-0008-0000-0100-00000C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41" name="Spinner 1293" hidden="1">
              <a:extLst>
                <a:ext uri="{63B3BB69-23CF-44E3-9099-C40C66FF867C}">
                  <a14:compatExt spid="_x0000_s259341"/>
                </a:ext>
                <a:ext uri="{FF2B5EF4-FFF2-40B4-BE49-F238E27FC236}">
                  <a16:creationId xmlns:a16="http://schemas.microsoft.com/office/drawing/2014/main" id="{00000000-0008-0000-0100-00000D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42" name="Spinner 1294" hidden="1">
              <a:extLst>
                <a:ext uri="{63B3BB69-23CF-44E3-9099-C40C66FF867C}">
                  <a14:compatExt spid="_x0000_s259342"/>
                </a:ext>
                <a:ext uri="{FF2B5EF4-FFF2-40B4-BE49-F238E27FC236}">
                  <a16:creationId xmlns:a16="http://schemas.microsoft.com/office/drawing/2014/main" id="{00000000-0008-0000-0100-00000E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43" name="Spinner 1295" hidden="1">
              <a:extLst>
                <a:ext uri="{63B3BB69-23CF-44E3-9099-C40C66FF867C}">
                  <a14:compatExt spid="_x0000_s259343"/>
                </a:ext>
                <a:ext uri="{FF2B5EF4-FFF2-40B4-BE49-F238E27FC236}">
                  <a16:creationId xmlns:a16="http://schemas.microsoft.com/office/drawing/2014/main" id="{00000000-0008-0000-0100-00000F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44" name="Spinner 1296" hidden="1">
              <a:extLst>
                <a:ext uri="{63B3BB69-23CF-44E3-9099-C40C66FF867C}">
                  <a14:compatExt spid="_x0000_s259344"/>
                </a:ext>
                <a:ext uri="{FF2B5EF4-FFF2-40B4-BE49-F238E27FC236}">
                  <a16:creationId xmlns:a16="http://schemas.microsoft.com/office/drawing/2014/main" id="{00000000-0008-0000-0100-000010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45" name="Spinner 1297" hidden="1">
              <a:extLst>
                <a:ext uri="{63B3BB69-23CF-44E3-9099-C40C66FF867C}">
                  <a14:compatExt spid="_x0000_s259345"/>
                </a:ext>
                <a:ext uri="{FF2B5EF4-FFF2-40B4-BE49-F238E27FC236}">
                  <a16:creationId xmlns:a16="http://schemas.microsoft.com/office/drawing/2014/main" id="{00000000-0008-0000-0100-000011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46" name="Spinner 1298" hidden="1">
              <a:extLst>
                <a:ext uri="{63B3BB69-23CF-44E3-9099-C40C66FF867C}">
                  <a14:compatExt spid="_x0000_s259346"/>
                </a:ext>
                <a:ext uri="{FF2B5EF4-FFF2-40B4-BE49-F238E27FC236}">
                  <a16:creationId xmlns:a16="http://schemas.microsoft.com/office/drawing/2014/main" id="{00000000-0008-0000-0100-000012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47" name="Spinner 1299" hidden="1">
              <a:extLst>
                <a:ext uri="{63B3BB69-23CF-44E3-9099-C40C66FF867C}">
                  <a14:compatExt spid="_x0000_s259347"/>
                </a:ext>
                <a:ext uri="{FF2B5EF4-FFF2-40B4-BE49-F238E27FC236}">
                  <a16:creationId xmlns:a16="http://schemas.microsoft.com/office/drawing/2014/main" id="{00000000-0008-0000-0100-000013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48" name="Spinner 1300" hidden="1">
              <a:extLst>
                <a:ext uri="{63B3BB69-23CF-44E3-9099-C40C66FF867C}">
                  <a14:compatExt spid="_x0000_s259348"/>
                </a:ext>
                <a:ext uri="{FF2B5EF4-FFF2-40B4-BE49-F238E27FC236}">
                  <a16:creationId xmlns:a16="http://schemas.microsoft.com/office/drawing/2014/main" id="{00000000-0008-0000-0100-000014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49" name="Spinner 1301" hidden="1">
              <a:extLst>
                <a:ext uri="{63B3BB69-23CF-44E3-9099-C40C66FF867C}">
                  <a14:compatExt spid="_x0000_s259349"/>
                </a:ext>
                <a:ext uri="{FF2B5EF4-FFF2-40B4-BE49-F238E27FC236}">
                  <a16:creationId xmlns:a16="http://schemas.microsoft.com/office/drawing/2014/main" id="{00000000-0008-0000-0100-000015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50" name="Spinner 1302" hidden="1">
              <a:extLst>
                <a:ext uri="{63B3BB69-23CF-44E3-9099-C40C66FF867C}">
                  <a14:compatExt spid="_x0000_s259350"/>
                </a:ext>
                <a:ext uri="{FF2B5EF4-FFF2-40B4-BE49-F238E27FC236}">
                  <a16:creationId xmlns:a16="http://schemas.microsoft.com/office/drawing/2014/main" id="{00000000-0008-0000-0100-000016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51" name="Spinner 1303" hidden="1">
              <a:extLst>
                <a:ext uri="{63B3BB69-23CF-44E3-9099-C40C66FF867C}">
                  <a14:compatExt spid="_x0000_s259351"/>
                </a:ext>
                <a:ext uri="{FF2B5EF4-FFF2-40B4-BE49-F238E27FC236}">
                  <a16:creationId xmlns:a16="http://schemas.microsoft.com/office/drawing/2014/main" id="{00000000-0008-0000-0100-000017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52" name="Spinner 1304" hidden="1">
              <a:extLst>
                <a:ext uri="{63B3BB69-23CF-44E3-9099-C40C66FF867C}">
                  <a14:compatExt spid="_x0000_s259352"/>
                </a:ext>
                <a:ext uri="{FF2B5EF4-FFF2-40B4-BE49-F238E27FC236}">
                  <a16:creationId xmlns:a16="http://schemas.microsoft.com/office/drawing/2014/main" id="{00000000-0008-0000-0100-000018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53" name="Spinner 1305" hidden="1">
              <a:extLst>
                <a:ext uri="{63B3BB69-23CF-44E3-9099-C40C66FF867C}">
                  <a14:compatExt spid="_x0000_s259353"/>
                </a:ext>
                <a:ext uri="{FF2B5EF4-FFF2-40B4-BE49-F238E27FC236}">
                  <a16:creationId xmlns:a16="http://schemas.microsoft.com/office/drawing/2014/main" id="{00000000-0008-0000-0100-000019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54" name="Spinner 1306" hidden="1">
              <a:extLst>
                <a:ext uri="{63B3BB69-23CF-44E3-9099-C40C66FF867C}">
                  <a14:compatExt spid="_x0000_s259354"/>
                </a:ext>
                <a:ext uri="{FF2B5EF4-FFF2-40B4-BE49-F238E27FC236}">
                  <a16:creationId xmlns:a16="http://schemas.microsoft.com/office/drawing/2014/main" id="{00000000-0008-0000-0100-00001A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55" name="Spinner 1307" hidden="1">
              <a:extLst>
                <a:ext uri="{63B3BB69-23CF-44E3-9099-C40C66FF867C}">
                  <a14:compatExt spid="_x0000_s259355"/>
                </a:ext>
                <a:ext uri="{FF2B5EF4-FFF2-40B4-BE49-F238E27FC236}">
                  <a16:creationId xmlns:a16="http://schemas.microsoft.com/office/drawing/2014/main" id="{00000000-0008-0000-0100-00001B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56" name="Spinner 1308" hidden="1">
              <a:extLst>
                <a:ext uri="{63B3BB69-23CF-44E3-9099-C40C66FF867C}">
                  <a14:compatExt spid="_x0000_s259356"/>
                </a:ext>
                <a:ext uri="{FF2B5EF4-FFF2-40B4-BE49-F238E27FC236}">
                  <a16:creationId xmlns:a16="http://schemas.microsoft.com/office/drawing/2014/main" id="{00000000-0008-0000-0100-00001C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57" name="Spinner 1309" hidden="1">
              <a:extLst>
                <a:ext uri="{63B3BB69-23CF-44E3-9099-C40C66FF867C}">
                  <a14:compatExt spid="_x0000_s259357"/>
                </a:ext>
                <a:ext uri="{FF2B5EF4-FFF2-40B4-BE49-F238E27FC236}">
                  <a16:creationId xmlns:a16="http://schemas.microsoft.com/office/drawing/2014/main" id="{00000000-0008-0000-0100-00001D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58" name="Spinner 1310" hidden="1">
              <a:extLst>
                <a:ext uri="{63B3BB69-23CF-44E3-9099-C40C66FF867C}">
                  <a14:compatExt spid="_x0000_s259358"/>
                </a:ext>
                <a:ext uri="{FF2B5EF4-FFF2-40B4-BE49-F238E27FC236}">
                  <a16:creationId xmlns:a16="http://schemas.microsoft.com/office/drawing/2014/main" id="{00000000-0008-0000-0100-00001E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59" name="Spinner 1311" hidden="1">
              <a:extLst>
                <a:ext uri="{63B3BB69-23CF-44E3-9099-C40C66FF867C}">
                  <a14:compatExt spid="_x0000_s259359"/>
                </a:ext>
                <a:ext uri="{FF2B5EF4-FFF2-40B4-BE49-F238E27FC236}">
                  <a16:creationId xmlns:a16="http://schemas.microsoft.com/office/drawing/2014/main" id="{00000000-0008-0000-0100-00001F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60" name="Spinner 1312" hidden="1">
              <a:extLst>
                <a:ext uri="{63B3BB69-23CF-44E3-9099-C40C66FF867C}">
                  <a14:compatExt spid="_x0000_s259360"/>
                </a:ext>
                <a:ext uri="{FF2B5EF4-FFF2-40B4-BE49-F238E27FC236}">
                  <a16:creationId xmlns:a16="http://schemas.microsoft.com/office/drawing/2014/main" id="{00000000-0008-0000-0100-000020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61" name="Spinner 1313" hidden="1">
              <a:extLst>
                <a:ext uri="{63B3BB69-23CF-44E3-9099-C40C66FF867C}">
                  <a14:compatExt spid="_x0000_s259361"/>
                </a:ext>
                <a:ext uri="{FF2B5EF4-FFF2-40B4-BE49-F238E27FC236}">
                  <a16:creationId xmlns:a16="http://schemas.microsoft.com/office/drawing/2014/main" id="{00000000-0008-0000-0100-000021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362" name="Spinner 1314" hidden="1">
              <a:extLst>
                <a:ext uri="{63B3BB69-23CF-44E3-9099-C40C66FF867C}">
                  <a14:compatExt spid="_x0000_s259362"/>
                </a:ext>
                <a:ext uri="{FF2B5EF4-FFF2-40B4-BE49-F238E27FC236}">
                  <a16:creationId xmlns:a16="http://schemas.microsoft.com/office/drawing/2014/main" id="{00000000-0008-0000-0100-000022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363" name="Spinner 1315" hidden="1">
              <a:extLst>
                <a:ext uri="{63B3BB69-23CF-44E3-9099-C40C66FF867C}">
                  <a14:compatExt spid="_x0000_s259363"/>
                </a:ext>
                <a:ext uri="{FF2B5EF4-FFF2-40B4-BE49-F238E27FC236}">
                  <a16:creationId xmlns:a16="http://schemas.microsoft.com/office/drawing/2014/main" id="{00000000-0008-0000-0100-000023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364" name="Spinner 1316" hidden="1">
              <a:extLst>
                <a:ext uri="{63B3BB69-23CF-44E3-9099-C40C66FF867C}">
                  <a14:compatExt spid="_x0000_s259364"/>
                </a:ext>
                <a:ext uri="{FF2B5EF4-FFF2-40B4-BE49-F238E27FC236}">
                  <a16:creationId xmlns:a16="http://schemas.microsoft.com/office/drawing/2014/main" id="{00000000-0008-0000-0100-000024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47</xdr:row>
          <xdr:rowOff>7620</xdr:rowOff>
        </xdr:from>
        <xdr:to>
          <xdr:col>10</xdr:col>
          <xdr:colOff>1295400</xdr:colOff>
          <xdr:row>47</xdr:row>
          <xdr:rowOff>236220</xdr:rowOff>
        </xdr:to>
        <xdr:sp macro="" textlink="">
          <xdr:nvSpPr>
            <xdr:cNvPr id="259365" name="Spinner 1317" hidden="1">
              <a:extLst>
                <a:ext uri="{63B3BB69-23CF-44E3-9099-C40C66FF867C}">
                  <a14:compatExt spid="_x0000_s259365"/>
                </a:ext>
                <a:ext uri="{FF2B5EF4-FFF2-40B4-BE49-F238E27FC236}">
                  <a16:creationId xmlns:a16="http://schemas.microsoft.com/office/drawing/2014/main" id="{00000000-0008-0000-0100-000025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47</xdr:row>
          <xdr:rowOff>7620</xdr:rowOff>
        </xdr:from>
        <xdr:to>
          <xdr:col>10</xdr:col>
          <xdr:colOff>1295400</xdr:colOff>
          <xdr:row>47</xdr:row>
          <xdr:rowOff>236220</xdr:rowOff>
        </xdr:to>
        <xdr:sp macro="" textlink="">
          <xdr:nvSpPr>
            <xdr:cNvPr id="259366" name="Spinner 1318" hidden="1">
              <a:extLst>
                <a:ext uri="{63B3BB69-23CF-44E3-9099-C40C66FF867C}">
                  <a14:compatExt spid="_x0000_s259366"/>
                </a:ext>
                <a:ext uri="{FF2B5EF4-FFF2-40B4-BE49-F238E27FC236}">
                  <a16:creationId xmlns:a16="http://schemas.microsoft.com/office/drawing/2014/main" id="{00000000-0008-0000-0100-000026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47</xdr:row>
          <xdr:rowOff>7620</xdr:rowOff>
        </xdr:from>
        <xdr:to>
          <xdr:col>10</xdr:col>
          <xdr:colOff>1295400</xdr:colOff>
          <xdr:row>47</xdr:row>
          <xdr:rowOff>236220</xdr:rowOff>
        </xdr:to>
        <xdr:sp macro="" textlink="">
          <xdr:nvSpPr>
            <xdr:cNvPr id="259367" name="Spinner 1319" hidden="1">
              <a:extLst>
                <a:ext uri="{63B3BB69-23CF-44E3-9099-C40C66FF867C}">
                  <a14:compatExt spid="_x0000_s259367"/>
                </a:ext>
                <a:ext uri="{FF2B5EF4-FFF2-40B4-BE49-F238E27FC236}">
                  <a16:creationId xmlns:a16="http://schemas.microsoft.com/office/drawing/2014/main" id="{00000000-0008-0000-0100-000027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368" name="Spinner 1320" hidden="1">
              <a:extLst>
                <a:ext uri="{63B3BB69-23CF-44E3-9099-C40C66FF867C}">
                  <a14:compatExt spid="_x0000_s259368"/>
                </a:ext>
                <a:ext uri="{FF2B5EF4-FFF2-40B4-BE49-F238E27FC236}">
                  <a16:creationId xmlns:a16="http://schemas.microsoft.com/office/drawing/2014/main" id="{00000000-0008-0000-0100-000028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47</xdr:row>
          <xdr:rowOff>7620</xdr:rowOff>
        </xdr:from>
        <xdr:to>
          <xdr:col>10</xdr:col>
          <xdr:colOff>1295400</xdr:colOff>
          <xdr:row>47</xdr:row>
          <xdr:rowOff>236220</xdr:rowOff>
        </xdr:to>
        <xdr:sp macro="" textlink="">
          <xdr:nvSpPr>
            <xdr:cNvPr id="259369" name="Spinner 1321" hidden="1">
              <a:extLst>
                <a:ext uri="{63B3BB69-23CF-44E3-9099-C40C66FF867C}">
                  <a14:compatExt spid="_x0000_s259369"/>
                </a:ext>
                <a:ext uri="{FF2B5EF4-FFF2-40B4-BE49-F238E27FC236}">
                  <a16:creationId xmlns:a16="http://schemas.microsoft.com/office/drawing/2014/main" id="{00000000-0008-0000-0100-000029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47</xdr:row>
          <xdr:rowOff>7620</xdr:rowOff>
        </xdr:from>
        <xdr:to>
          <xdr:col>10</xdr:col>
          <xdr:colOff>1295400</xdr:colOff>
          <xdr:row>47</xdr:row>
          <xdr:rowOff>236220</xdr:rowOff>
        </xdr:to>
        <xdr:sp macro="" textlink="">
          <xdr:nvSpPr>
            <xdr:cNvPr id="259370" name="Spinner 1322" hidden="1">
              <a:extLst>
                <a:ext uri="{63B3BB69-23CF-44E3-9099-C40C66FF867C}">
                  <a14:compatExt spid="_x0000_s259370"/>
                </a:ext>
                <a:ext uri="{FF2B5EF4-FFF2-40B4-BE49-F238E27FC236}">
                  <a16:creationId xmlns:a16="http://schemas.microsoft.com/office/drawing/2014/main" id="{00000000-0008-0000-0100-00002A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371" name="Spinner 1323" hidden="1">
              <a:extLst>
                <a:ext uri="{63B3BB69-23CF-44E3-9099-C40C66FF867C}">
                  <a14:compatExt spid="_x0000_s259371"/>
                </a:ext>
                <a:ext uri="{FF2B5EF4-FFF2-40B4-BE49-F238E27FC236}">
                  <a16:creationId xmlns:a16="http://schemas.microsoft.com/office/drawing/2014/main" id="{00000000-0008-0000-0100-00002B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372" name="Spinner 1324" hidden="1">
              <a:extLst>
                <a:ext uri="{63B3BB69-23CF-44E3-9099-C40C66FF867C}">
                  <a14:compatExt spid="_x0000_s259372"/>
                </a:ext>
                <a:ext uri="{FF2B5EF4-FFF2-40B4-BE49-F238E27FC236}">
                  <a16:creationId xmlns:a16="http://schemas.microsoft.com/office/drawing/2014/main" id="{00000000-0008-0000-0100-00002C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373" name="Spinner 1325" hidden="1">
              <a:extLst>
                <a:ext uri="{63B3BB69-23CF-44E3-9099-C40C66FF867C}">
                  <a14:compatExt spid="_x0000_s259373"/>
                </a:ext>
                <a:ext uri="{FF2B5EF4-FFF2-40B4-BE49-F238E27FC236}">
                  <a16:creationId xmlns:a16="http://schemas.microsoft.com/office/drawing/2014/main" id="{00000000-0008-0000-0100-00002D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374" name="Spinner 1326" hidden="1">
              <a:extLst>
                <a:ext uri="{63B3BB69-23CF-44E3-9099-C40C66FF867C}">
                  <a14:compatExt spid="_x0000_s259374"/>
                </a:ext>
                <a:ext uri="{FF2B5EF4-FFF2-40B4-BE49-F238E27FC236}">
                  <a16:creationId xmlns:a16="http://schemas.microsoft.com/office/drawing/2014/main" id="{00000000-0008-0000-0100-00002E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375" name="Spinner 1327" hidden="1">
              <a:extLst>
                <a:ext uri="{63B3BB69-23CF-44E3-9099-C40C66FF867C}">
                  <a14:compatExt spid="_x0000_s259375"/>
                </a:ext>
                <a:ext uri="{FF2B5EF4-FFF2-40B4-BE49-F238E27FC236}">
                  <a16:creationId xmlns:a16="http://schemas.microsoft.com/office/drawing/2014/main" id="{00000000-0008-0000-0100-00002F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376" name="Spinner 1328" hidden="1">
              <a:extLst>
                <a:ext uri="{63B3BB69-23CF-44E3-9099-C40C66FF867C}">
                  <a14:compatExt spid="_x0000_s259376"/>
                </a:ext>
                <a:ext uri="{FF2B5EF4-FFF2-40B4-BE49-F238E27FC236}">
                  <a16:creationId xmlns:a16="http://schemas.microsoft.com/office/drawing/2014/main" id="{00000000-0008-0000-0100-000030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377" name="Spinner 1329" hidden="1">
              <a:extLst>
                <a:ext uri="{63B3BB69-23CF-44E3-9099-C40C66FF867C}">
                  <a14:compatExt spid="_x0000_s259377"/>
                </a:ext>
                <a:ext uri="{FF2B5EF4-FFF2-40B4-BE49-F238E27FC236}">
                  <a16:creationId xmlns:a16="http://schemas.microsoft.com/office/drawing/2014/main" id="{00000000-0008-0000-0100-000031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378" name="Spinner 1330" hidden="1">
              <a:extLst>
                <a:ext uri="{63B3BB69-23CF-44E3-9099-C40C66FF867C}">
                  <a14:compatExt spid="_x0000_s259378"/>
                </a:ext>
                <a:ext uri="{FF2B5EF4-FFF2-40B4-BE49-F238E27FC236}">
                  <a16:creationId xmlns:a16="http://schemas.microsoft.com/office/drawing/2014/main" id="{00000000-0008-0000-0100-000032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379" name="Spinner 1331" hidden="1">
              <a:extLst>
                <a:ext uri="{63B3BB69-23CF-44E3-9099-C40C66FF867C}">
                  <a14:compatExt spid="_x0000_s259379"/>
                </a:ext>
                <a:ext uri="{FF2B5EF4-FFF2-40B4-BE49-F238E27FC236}">
                  <a16:creationId xmlns:a16="http://schemas.microsoft.com/office/drawing/2014/main" id="{00000000-0008-0000-0100-000033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380" name="Spinner 1332" hidden="1">
              <a:extLst>
                <a:ext uri="{63B3BB69-23CF-44E3-9099-C40C66FF867C}">
                  <a14:compatExt spid="_x0000_s259380"/>
                </a:ext>
                <a:ext uri="{FF2B5EF4-FFF2-40B4-BE49-F238E27FC236}">
                  <a16:creationId xmlns:a16="http://schemas.microsoft.com/office/drawing/2014/main" id="{00000000-0008-0000-0100-000034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381" name="Spinner 1333" hidden="1">
              <a:extLst>
                <a:ext uri="{63B3BB69-23CF-44E3-9099-C40C66FF867C}">
                  <a14:compatExt spid="_x0000_s259381"/>
                </a:ext>
                <a:ext uri="{FF2B5EF4-FFF2-40B4-BE49-F238E27FC236}">
                  <a16:creationId xmlns:a16="http://schemas.microsoft.com/office/drawing/2014/main" id="{00000000-0008-0000-0100-000035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382" name="Spinner 1334" hidden="1">
              <a:extLst>
                <a:ext uri="{63B3BB69-23CF-44E3-9099-C40C66FF867C}">
                  <a14:compatExt spid="_x0000_s259382"/>
                </a:ext>
                <a:ext uri="{FF2B5EF4-FFF2-40B4-BE49-F238E27FC236}">
                  <a16:creationId xmlns:a16="http://schemas.microsoft.com/office/drawing/2014/main" id="{00000000-0008-0000-0100-000036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383" name="Spinner 1335" hidden="1">
              <a:extLst>
                <a:ext uri="{63B3BB69-23CF-44E3-9099-C40C66FF867C}">
                  <a14:compatExt spid="_x0000_s259383"/>
                </a:ext>
                <a:ext uri="{FF2B5EF4-FFF2-40B4-BE49-F238E27FC236}">
                  <a16:creationId xmlns:a16="http://schemas.microsoft.com/office/drawing/2014/main" id="{00000000-0008-0000-0100-000037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384" name="Spinner 1336" hidden="1">
              <a:extLst>
                <a:ext uri="{63B3BB69-23CF-44E3-9099-C40C66FF867C}">
                  <a14:compatExt spid="_x0000_s259384"/>
                </a:ext>
                <a:ext uri="{FF2B5EF4-FFF2-40B4-BE49-F238E27FC236}">
                  <a16:creationId xmlns:a16="http://schemas.microsoft.com/office/drawing/2014/main" id="{00000000-0008-0000-0100-000038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385" name="Spinner 1337" hidden="1">
              <a:extLst>
                <a:ext uri="{63B3BB69-23CF-44E3-9099-C40C66FF867C}">
                  <a14:compatExt spid="_x0000_s259385"/>
                </a:ext>
                <a:ext uri="{FF2B5EF4-FFF2-40B4-BE49-F238E27FC236}">
                  <a16:creationId xmlns:a16="http://schemas.microsoft.com/office/drawing/2014/main" id="{00000000-0008-0000-0100-000039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386" name="Spinner 1338" hidden="1">
              <a:extLst>
                <a:ext uri="{63B3BB69-23CF-44E3-9099-C40C66FF867C}">
                  <a14:compatExt spid="_x0000_s259386"/>
                </a:ext>
                <a:ext uri="{FF2B5EF4-FFF2-40B4-BE49-F238E27FC236}">
                  <a16:creationId xmlns:a16="http://schemas.microsoft.com/office/drawing/2014/main" id="{00000000-0008-0000-0100-00003A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387" name="Spinner 1339" hidden="1">
              <a:extLst>
                <a:ext uri="{63B3BB69-23CF-44E3-9099-C40C66FF867C}">
                  <a14:compatExt spid="_x0000_s259387"/>
                </a:ext>
                <a:ext uri="{FF2B5EF4-FFF2-40B4-BE49-F238E27FC236}">
                  <a16:creationId xmlns:a16="http://schemas.microsoft.com/office/drawing/2014/main" id="{00000000-0008-0000-0100-00003B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388" name="Spinner 1340" hidden="1">
              <a:extLst>
                <a:ext uri="{63B3BB69-23CF-44E3-9099-C40C66FF867C}">
                  <a14:compatExt spid="_x0000_s259388"/>
                </a:ext>
                <a:ext uri="{FF2B5EF4-FFF2-40B4-BE49-F238E27FC236}">
                  <a16:creationId xmlns:a16="http://schemas.microsoft.com/office/drawing/2014/main" id="{00000000-0008-0000-0100-00003C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389" name="Spinner 1341" hidden="1">
              <a:extLst>
                <a:ext uri="{63B3BB69-23CF-44E3-9099-C40C66FF867C}">
                  <a14:compatExt spid="_x0000_s259389"/>
                </a:ext>
                <a:ext uri="{FF2B5EF4-FFF2-40B4-BE49-F238E27FC236}">
                  <a16:creationId xmlns:a16="http://schemas.microsoft.com/office/drawing/2014/main" id="{00000000-0008-0000-0100-00003D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390" name="Spinner 1342" hidden="1">
              <a:extLst>
                <a:ext uri="{63B3BB69-23CF-44E3-9099-C40C66FF867C}">
                  <a14:compatExt spid="_x0000_s259390"/>
                </a:ext>
                <a:ext uri="{FF2B5EF4-FFF2-40B4-BE49-F238E27FC236}">
                  <a16:creationId xmlns:a16="http://schemas.microsoft.com/office/drawing/2014/main" id="{00000000-0008-0000-0100-00003E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391" name="Spinner 1343" hidden="1">
              <a:extLst>
                <a:ext uri="{63B3BB69-23CF-44E3-9099-C40C66FF867C}">
                  <a14:compatExt spid="_x0000_s259391"/>
                </a:ext>
                <a:ext uri="{FF2B5EF4-FFF2-40B4-BE49-F238E27FC236}">
                  <a16:creationId xmlns:a16="http://schemas.microsoft.com/office/drawing/2014/main" id="{00000000-0008-0000-0100-00003F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392" name="Spinner 1344" hidden="1">
              <a:extLst>
                <a:ext uri="{63B3BB69-23CF-44E3-9099-C40C66FF867C}">
                  <a14:compatExt spid="_x0000_s259392"/>
                </a:ext>
                <a:ext uri="{FF2B5EF4-FFF2-40B4-BE49-F238E27FC236}">
                  <a16:creationId xmlns:a16="http://schemas.microsoft.com/office/drawing/2014/main" id="{00000000-0008-0000-0100-000040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393" name="Spinner 1345" hidden="1">
              <a:extLst>
                <a:ext uri="{63B3BB69-23CF-44E3-9099-C40C66FF867C}">
                  <a14:compatExt spid="_x0000_s259393"/>
                </a:ext>
                <a:ext uri="{FF2B5EF4-FFF2-40B4-BE49-F238E27FC236}">
                  <a16:creationId xmlns:a16="http://schemas.microsoft.com/office/drawing/2014/main" id="{00000000-0008-0000-0100-000041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394" name="Spinner 1346" hidden="1">
              <a:extLst>
                <a:ext uri="{63B3BB69-23CF-44E3-9099-C40C66FF867C}">
                  <a14:compatExt spid="_x0000_s259394"/>
                </a:ext>
                <a:ext uri="{FF2B5EF4-FFF2-40B4-BE49-F238E27FC236}">
                  <a16:creationId xmlns:a16="http://schemas.microsoft.com/office/drawing/2014/main" id="{00000000-0008-0000-0100-000042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395" name="Spinner 1347" hidden="1">
              <a:extLst>
                <a:ext uri="{63B3BB69-23CF-44E3-9099-C40C66FF867C}">
                  <a14:compatExt spid="_x0000_s259395"/>
                </a:ext>
                <a:ext uri="{FF2B5EF4-FFF2-40B4-BE49-F238E27FC236}">
                  <a16:creationId xmlns:a16="http://schemas.microsoft.com/office/drawing/2014/main" id="{00000000-0008-0000-0100-000043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396" name="Spinner 1348" hidden="1">
              <a:extLst>
                <a:ext uri="{63B3BB69-23CF-44E3-9099-C40C66FF867C}">
                  <a14:compatExt spid="_x0000_s259396"/>
                </a:ext>
                <a:ext uri="{FF2B5EF4-FFF2-40B4-BE49-F238E27FC236}">
                  <a16:creationId xmlns:a16="http://schemas.microsoft.com/office/drawing/2014/main" id="{00000000-0008-0000-0100-000044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397" name="Spinner 1349" hidden="1">
              <a:extLst>
                <a:ext uri="{63B3BB69-23CF-44E3-9099-C40C66FF867C}">
                  <a14:compatExt spid="_x0000_s259397"/>
                </a:ext>
                <a:ext uri="{FF2B5EF4-FFF2-40B4-BE49-F238E27FC236}">
                  <a16:creationId xmlns:a16="http://schemas.microsoft.com/office/drawing/2014/main" id="{00000000-0008-0000-0100-000045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398" name="Spinner 1350" hidden="1">
              <a:extLst>
                <a:ext uri="{63B3BB69-23CF-44E3-9099-C40C66FF867C}">
                  <a14:compatExt spid="_x0000_s259398"/>
                </a:ext>
                <a:ext uri="{FF2B5EF4-FFF2-40B4-BE49-F238E27FC236}">
                  <a16:creationId xmlns:a16="http://schemas.microsoft.com/office/drawing/2014/main" id="{00000000-0008-0000-0100-000046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399" name="Spinner 1351" hidden="1">
              <a:extLst>
                <a:ext uri="{63B3BB69-23CF-44E3-9099-C40C66FF867C}">
                  <a14:compatExt spid="_x0000_s259399"/>
                </a:ext>
                <a:ext uri="{FF2B5EF4-FFF2-40B4-BE49-F238E27FC236}">
                  <a16:creationId xmlns:a16="http://schemas.microsoft.com/office/drawing/2014/main" id="{00000000-0008-0000-0100-000047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400" name="Spinner 1352" hidden="1">
              <a:extLst>
                <a:ext uri="{63B3BB69-23CF-44E3-9099-C40C66FF867C}">
                  <a14:compatExt spid="_x0000_s259400"/>
                </a:ext>
                <a:ext uri="{FF2B5EF4-FFF2-40B4-BE49-F238E27FC236}">
                  <a16:creationId xmlns:a16="http://schemas.microsoft.com/office/drawing/2014/main" id="{00000000-0008-0000-0100-000048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401" name="Spinner 1353" hidden="1">
              <a:extLst>
                <a:ext uri="{63B3BB69-23CF-44E3-9099-C40C66FF867C}">
                  <a14:compatExt spid="_x0000_s259401"/>
                </a:ext>
                <a:ext uri="{FF2B5EF4-FFF2-40B4-BE49-F238E27FC236}">
                  <a16:creationId xmlns:a16="http://schemas.microsoft.com/office/drawing/2014/main" id="{00000000-0008-0000-0100-000049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402" name="Spinner 1354" hidden="1">
              <a:extLst>
                <a:ext uri="{63B3BB69-23CF-44E3-9099-C40C66FF867C}">
                  <a14:compatExt spid="_x0000_s259402"/>
                </a:ext>
                <a:ext uri="{FF2B5EF4-FFF2-40B4-BE49-F238E27FC236}">
                  <a16:creationId xmlns:a16="http://schemas.microsoft.com/office/drawing/2014/main" id="{00000000-0008-0000-0100-00004A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403" name="Spinner 1355" hidden="1">
              <a:extLst>
                <a:ext uri="{63B3BB69-23CF-44E3-9099-C40C66FF867C}">
                  <a14:compatExt spid="_x0000_s259403"/>
                </a:ext>
                <a:ext uri="{FF2B5EF4-FFF2-40B4-BE49-F238E27FC236}">
                  <a16:creationId xmlns:a16="http://schemas.microsoft.com/office/drawing/2014/main" id="{00000000-0008-0000-0100-00004B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404" name="Spinner 1356" hidden="1">
              <a:extLst>
                <a:ext uri="{63B3BB69-23CF-44E3-9099-C40C66FF867C}">
                  <a14:compatExt spid="_x0000_s259404"/>
                </a:ext>
                <a:ext uri="{FF2B5EF4-FFF2-40B4-BE49-F238E27FC236}">
                  <a16:creationId xmlns:a16="http://schemas.microsoft.com/office/drawing/2014/main" id="{00000000-0008-0000-0100-00004C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405" name="Spinner 1357" hidden="1">
              <a:extLst>
                <a:ext uri="{63B3BB69-23CF-44E3-9099-C40C66FF867C}">
                  <a14:compatExt spid="_x0000_s259405"/>
                </a:ext>
                <a:ext uri="{FF2B5EF4-FFF2-40B4-BE49-F238E27FC236}">
                  <a16:creationId xmlns:a16="http://schemas.microsoft.com/office/drawing/2014/main" id="{00000000-0008-0000-0100-00004D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406" name="Spinner 1358" hidden="1">
              <a:extLst>
                <a:ext uri="{63B3BB69-23CF-44E3-9099-C40C66FF867C}">
                  <a14:compatExt spid="_x0000_s259406"/>
                </a:ext>
                <a:ext uri="{FF2B5EF4-FFF2-40B4-BE49-F238E27FC236}">
                  <a16:creationId xmlns:a16="http://schemas.microsoft.com/office/drawing/2014/main" id="{00000000-0008-0000-0100-00004E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407" name="Spinner 1359" hidden="1">
              <a:extLst>
                <a:ext uri="{63B3BB69-23CF-44E3-9099-C40C66FF867C}">
                  <a14:compatExt spid="_x0000_s259407"/>
                </a:ext>
                <a:ext uri="{FF2B5EF4-FFF2-40B4-BE49-F238E27FC236}">
                  <a16:creationId xmlns:a16="http://schemas.microsoft.com/office/drawing/2014/main" id="{00000000-0008-0000-0100-00004F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408" name="Spinner 1360" hidden="1">
              <a:extLst>
                <a:ext uri="{63B3BB69-23CF-44E3-9099-C40C66FF867C}">
                  <a14:compatExt spid="_x0000_s259408"/>
                </a:ext>
                <a:ext uri="{FF2B5EF4-FFF2-40B4-BE49-F238E27FC236}">
                  <a16:creationId xmlns:a16="http://schemas.microsoft.com/office/drawing/2014/main" id="{00000000-0008-0000-0100-000050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409" name="Spinner 1361" hidden="1">
              <a:extLst>
                <a:ext uri="{63B3BB69-23CF-44E3-9099-C40C66FF867C}">
                  <a14:compatExt spid="_x0000_s259409"/>
                </a:ext>
                <a:ext uri="{FF2B5EF4-FFF2-40B4-BE49-F238E27FC236}">
                  <a16:creationId xmlns:a16="http://schemas.microsoft.com/office/drawing/2014/main" id="{00000000-0008-0000-0100-000051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410" name="Spinner 1362" hidden="1">
              <a:extLst>
                <a:ext uri="{63B3BB69-23CF-44E3-9099-C40C66FF867C}">
                  <a14:compatExt spid="_x0000_s259410"/>
                </a:ext>
                <a:ext uri="{FF2B5EF4-FFF2-40B4-BE49-F238E27FC236}">
                  <a16:creationId xmlns:a16="http://schemas.microsoft.com/office/drawing/2014/main" id="{00000000-0008-0000-0100-000052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411" name="Spinner 1363" hidden="1">
              <a:extLst>
                <a:ext uri="{63B3BB69-23CF-44E3-9099-C40C66FF867C}">
                  <a14:compatExt spid="_x0000_s259411"/>
                </a:ext>
                <a:ext uri="{FF2B5EF4-FFF2-40B4-BE49-F238E27FC236}">
                  <a16:creationId xmlns:a16="http://schemas.microsoft.com/office/drawing/2014/main" id="{00000000-0008-0000-0100-000053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412" name="Spinner 1364" hidden="1">
              <a:extLst>
                <a:ext uri="{63B3BB69-23CF-44E3-9099-C40C66FF867C}">
                  <a14:compatExt spid="_x0000_s259412"/>
                </a:ext>
                <a:ext uri="{FF2B5EF4-FFF2-40B4-BE49-F238E27FC236}">
                  <a16:creationId xmlns:a16="http://schemas.microsoft.com/office/drawing/2014/main" id="{00000000-0008-0000-0100-000054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413" name="Spinner 1365" hidden="1">
              <a:extLst>
                <a:ext uri="{63B3BB69-23CF-44E3-9099-C40C66FF867C}">
                  <a14:compatExt spid="_x0000_s259413"/>
                </a:ext>
                <a:ext uri="{FF2B5EF4-FFF2-40B4-BE49-F238E27FC236}">
                  <a16:creationId xmlns:a16="http://schemas.microsoft.com/office/drawing/2014/main" id="{00000000-0008-0000-0100-000055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414" name="Spinner 1366" hidden="1">
              <a:extLst>
                <a:ext uri="{63B3BB69-23CF-44E3-9099-C40C66FF867C}">
                  <a14:compatExt spid="_x0000_s259414"/>
                </a:ext>
                <a:ext uri="{FF2B5EF4-FFF2-40B4-BE49-F238E27FC236}">
                  <a16:creationId xmlns:a16="http://schemas.microsoft.com/office/drawing/2014/main" id="{00000000-0008-0000-0100-000056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415" name="Spinner 1367" hidden="1">
              <a:extLst>
                <a:ext uri="{63B3BB69-23CF-44E3-9099-C40C66FF867C}">
                  <a14:compatExt spid="_x0000_s259415"/>
                </a:ext>
                <a:ext uri="{FF2B5EF4-FFF2-40B4-BE49-F238E27FC236}">
                  <a16:creationId xmlns:a16="http://schemas.microsoft.com/office/drawing/2014/main" id="{00000000-0008-0000-0100-000057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416" name="Spinner 1368" hidden="1">
              <a:extLst>
                <a:ext uri="{63B3BB69-23CF-44E3-9099-C40C66FF867C}">
                  <a14:compatExt spid="_x0000_s259416"/>
                </a:ext>
                <a:ext uri="{FF2B5EF4-FFF2-40B4-BE49-F238E27FC236}">
                  <a16:creationId xmlns:a16="http://schemas.microsoft.com/office/drawing/2014/main" id="{00000000-0008-0000-0100-000058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417" name="Spinner 1369" hidden="1">
              <a:extLst>
                <a:ext uri="{63B3BB69-23CF-44E3-9099-C40C66FF867C}">
                  <a14:compatExt spid="_x0000_s259417"/>
                </a:ext>
                <a:ext uri="{FF2B5EF4-FFF2-40B4-BE49-F238E27FC236}">
                  <a16:creationId xmlns:a16="http://schemas.microsoft.com/office/drawing/2014/main" id="{00000000-0008-0000-0100-000059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418" name="Spinner 1370" hidden="1">
              <a:extLst>
                <a:ext uri="{63B3BB69-23CF-44E3-9099-C40C66FF867C}">
                  <a14:compatExt spid="_x0000_s259418"/>
                </a:ext>
                <a:ext uri="{FF2B5EF4-FFF2-40B4-BE49-F238E27FC236}">
                  <a16:creationId xmlns:a16="http://schemas.microsoft.com/office/drawing/2014/main" id="{00000000-0008-0000-0100-00005A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419" name="Spinner 1371" hidden="1">
              <a:extLst>
                <a:ext uri="{63B3BB69-23CF-44E3-9099-C40C66FF867C}">
                  <a14:compatExt spid="_x0000_s259419"/>
                </a:ext>
                <a:ext uri="{FF2B5EF4-FFF2-40B4-BE49-F238E27FC236}">
                  <a16:creationId xmlns:a16="http://schemas.microsoft.com/office/drawing/2014/main" id="{00000000-0008-0000-0100-00005B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420" name="Spinner 1372" hidden="1">
              <a:extLst>
                <a:ext uri="{63B3BB69-23CF-44E3-9099-C40C66FF867C}">
                  <a14:compatExt spid="_x0000_s259420"/>
                </a:ext>
                <a:ext uri="{FF2B5EF4-FFF2-40B4-BE49-F238E27FC236}">
                  <a16:creationId xmlns:a16="http://schemas.microsoft.com/office/drawing/2014/main" id="{00000000-0008-0000-0100-00005C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421" name="Spinner 1373" hidden="1">
              <a:extLst>
                <a:ext uri="{63B3BB69-23CF-44E3-9099-C40C66FF867C}">
                  <a14:compatExt spid="_x0000_s259421"/>
                </a:ext>
                <a:ext uri="{FF2B5EF4-FFF2-40B4-BE49-F238E27FC236}">
                  <a16:creationId xmlns:a16="http://schemas.microsoft.com/office/drawing/2014/main" id="{00000000-0008-0000-0100-00005D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422" name="Spinner 1374" hidden="1">
              <a:extLst>
                <a:ext uri="{63B3BB69-23CF-44E3-9099-C40C66FF867C}">
                  <a14:compatExt spid="_x0000_s259422"/>
                </a:ext>
                <a:ext uri="{FF2B5EF4-FFF2-40B4-BE49-F238E27FC236}">
                  <a16:creationId xmlns:a16="http://schemas.microsoft.com/office/drawing/2014/main" id="{00000000-0008-0000-0100-00005E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423" name="Spinner 1375" hidden="1">
              <a:extLst>
                <a:ext uri="{63B3BB69-23CF-44E3-9099-C40C66FF867C}">
                  <a14:compatExt spid="_x0000_s259423"/>
                </a:ext>
                <a:ext uri="{FF2B5EF4-FFF2-40B4-BE49-F238E27FC236}">
                  <a16:creationId xmlns:a16="http://schemas.microsoft.com/office/drawing/2014/main" id="{00000000-0008-0000-0100-00005F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424" name="Spinner 1376" hidden="1">
              <a:extLst>
                <a:ext uri="{63B3BB69-23CF-44E3-9099-C40C66FF867C}">
                  <a14:compatExt spid="_x0000_s259424"/>
                </a:ext>
                <a:ext uri="{FF2B5EF4-FFF2-40B4-BE49-F238E27FC236}">
                  <a16:creationId xmlns:a16="http://schemas.microsoft.com/office/drawing/2014/main" id="{00000000-0008-0000-0100-000060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425" name="Spinner 1377" hidden="1">
              <a:extLst>
                <a:ext uri="{63B3BB69-23CF-44E3-9099-C40C66FF867C}">
                  <a14:compatExt spid="_x0000_s259425"/>
                </a:ext>
                <a:ext uri="{FF2B5EF4-FFF2-40B4-BE49-F238E27FC236}">
                  <a16:creationId xmlns:a16="http://schemas.microsoft.com/office/drawing/2014/main" id="{00000000-0008-0000-0100-000061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426" name="Spinner 1378" hidden="1">
              <a:extLst>
                <a:ext uri="{63B3BB69-23CF-44E3-9099-C40C66FF867C}">
                  <a14:compatExt spid="_x0000_s259426"/>
                </a:ext>
                <a:ext uri="{FF2B5EF4-FFF2-40B4-BE49-F238E27FC236}">
                  <a16:creationId xmlns:a16="http://schemas.microsoft.com/office/drawing/2014/main" id="{00000000-0008-0000-0100-000062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427" name="Spinner 1379" hidden="1">
              <a:extLst>
                <a:ext uri="{63B3BB69-23CF-44E3-9099-C40C66FF867C}">
                  <a14:compatExt spid="_x0000_s259427"/>
                </a:ext>
                <a:ext uri="{FF2B5EF4-FFF2-40B4-BE49-F238E27FC236}">
                  <a16:creationId xmlns:a16="http://schemas.microsoft.com/office/drawing/2014/main" id="{00000000-0008-0000-0100-000063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428" name="Spinner 1380" hidden="1">
              <a:extLst>
                <a:ext uri="{63B3BB69-23CF-44E3-9099-C40C66FF867C}">
                  <a14:compatExt spid="_x0000_s259428"/>
                </a:ext>
                <a:ext uri="{FF2B5EF4-FFF2-40B4-BE49-F238E27FC236}">
                  <a16:creationId xmlns:a16="http://schemas.microsoft.com/office/drawing/2014/main" id="{00000000-0008-0000-0100-000064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429" name="Spinner 1381" hidden="1">
              <a:extLst>
                <a:ext uri="{63B3BB69-23CF-44E3-9099-C40C66FF867C}">
                  <a14:compatExt spid="_x0000_s259429"/>
                </a:ext>
                <a:ext uri="{FF2B5EF4-FFF2-40B4-BE49-F238E27FC236}">
                  <a16:creationId xmlns:a16="http://schemas.microsoft.com/office/drawing/2014/main" id="{00000000-0008-0000-0100-000065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430" name="Spinner 1382" hidden="1">
              <a:extLst>
                <a:ext uri="{63B3BB69-23CF-44E3-9099-C40C66FF867C}">
                  <a14:compatExt spid="_x0000_s259430"/>
                </a:ext>
                <a:ext uri="{FF2B5EF4-FFF2-40B4-BE49-F238E27FC236}">
                  <a16:creationId xmlns:a16="http://schemas.microsoft.com/office/drawing/2014/main" id="{00000000-0008-0000-0100-000066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431" name="Spinner 1383" hidden="1">
              <a:extLst>
                <a:ext uri="{63B3BB69-23CF-44E3-9099-C40C66FF867C}">
                  <a14:compatExt spid="_x0000_s259431"/>
                </a:ext>
                <a:ext uri="{FF2B5EF4-FFF2-40B4-BE49-F238E27FC236}">
                  <a16:creationId xmlns:a16="http://schemas.microsoft.com/office/drawing/2014/main" id="{00000000-0008-0000-0100-000067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432" name="Spinner 1384" hidden="1">
              <a:extLst>
                <a:ext uri="{63B3BB69-23CF-44E3-9099-C40C66FF867C}">
                  <a14:compatExt spid="_x0000_s259432"/>
                </a:ext>
                <a:ext uri="{FF2B5EF4-FFF2-40B4-BE49-F238E27FC236}">
                  <a16:creationId xmlns:a16="http://schemas.microsoft.com/office/drawing/2014/main" id="{00000000-0008-0000-0100-000068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433" name="Spinner 1385" hidden="1">
              <a:extLst>
                <a:ext uri="{63B3BB69-23CF-44E3-9099-C40C66FF867C}">
                  <a14:compatExt spid="_x0000_s259433"/>
                </a:ext>
                <a:ext uri="{FF2B5EF4-FFF2-40B4-BE49-F238E27FC236}">
                  <a16:creationId xmlns:a16="http://schemas.microsoft.com/office/drawing/2014/main" id="{00000000-0008-0000-0100-000069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434" name="Spinner 1386" hidden="1">
              <a:extLst>
                <a:ext uri="{63B3BB69-23CF-44E3-9099-C40C66FF867C}">
                  <a14:compatExt spid="_x0000_s259434"/>
                </a:ext>
                <a:ext uri="{FF2B5EF4-FFF2-40B4-BE49-F238E27FC236}">
                  <a16:creationId xmlns:a16="http://schemas.microsoft.com/office/drawing/2014/main" id="{00000000-0008-0000-0100-00006A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435" name="Spinner 1387" hidden="1">
              <a:extLst>
                <a:ext uri="{63B3BB69-23CF-44E3-9099-C40C66FF867C}">
                  <a14:compatExt spid="_x0000_s259435"/>
                </a:ext>
                <a:ext uri="{FF2B5EF4-FFF2-40B4-BE49-F238E27FC236}">
                  <a16:creationId xmlns:a16="http://schemas.microsoft.com/office/drawing/2014/main" id="{00000000-0008-0000-0100-00006B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436" name="Spinner 1388" hidden="1">
              <a:extLst>
                <a:ext uri="{63B3BB69-23CF-44E3-9099-C40C66FF867C}">
                  <a14:compatExt spid="_x0000_s259436"/>
                </a:ext>
                <a:ext uri="{FF2B5EF4-FFF2-40B4-BE49-F238E27FC236}">
                  <a16:creationId xmlns:a16="http://schemas.microsoft.com/office/drawing/2014/main" id="{00000000-0008-0000-0100-00006C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437" name="Spinner 1389" hidden="1">
              <a:extLst>
                <a:ext uri="{63B3BB69-23CF-44E3-9099-C40C66FF867C}">
                  <a14:compatExt spid="_x0000_s259437"/>
                </a:ext>
                <a:ext uri="{FF2B5EF4-FFF2-40B4-BE49-F238E27FC236}">
                  <a16:creationId xmlns:a16="http://schemas.microsoft.com/office/drawing/2014/main" id="{00000000-0008-0000-0100-00006D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438" name="Spinner 1390" hidden="1">
              <a:extLst>
                <a:ext uri="{63B3BB69-23CF-44E3-9099-C40C66FF867C}">
                  <a14:compatExt spid="_x0000_s259438"/>
                </a:ext>
                <a:ext uri="{FF2B5EF4-FFF2-40B4-BE49-F238E27FC236}">
                  <a16:creationId xmlns:a16="http://schemas.microsoft.com/office/drawing/2014/main" id="{00000000-0008-0000-0100-00006E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41</xdr:col>
      <xdr:colOff>438150</xdr:colOff>
      <xdr:row>127</xdr:row>
      <xdr:rowOff>114301</xdr:rowOff>
    </xdr:from>
    <xdr:to>
      <xdr:col>48</xdr:col>
      <xdr:colOff>247650</xdr:colOff>
      <xdr:row>131</xdr:row>
      <xdr:rowOff>95251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00000000-0008-0000-0400-000003000000}"/>
                </a:ext>
              </a:extLst>
            </xdr:cNvPr>
            <xdr:cNvSpPr txBox="1"/>
          </xdr:nvSpPr>
          <xdr:spPr>
            <a:xfrm>
              <a:off x="35594925" y="16392526"/>
              <a:ext cx="4076700" cy="74295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pt-BR" sz="2500"/>
                <a:t>v</a:t>
              </a:r>
              <a:r>
                <a:rPr lang="pt-BR" sz="2500" baseline="0"/>
                <a:t> = </a:t>
              </a:r>
              <a14:m>
                <m:oMath xmlns:m="http://schemas.openxmlformats.org/officeDocument/2006/math">
                  <m:f>
                    <m:fPr>
                      <m:ctrlPr>
                        <a:rPr lang="pt-BR" sz="2500" i="1" baseline="0">
                          <a:latin typeface="Cambria Math" panose="02040503050406030204" pitchFamily="18" charset="0"/>
                        </a:rPr>
                      </m:ctrlPr>
                    </m:fPr>
                    <m:num>
                      <m:sSup>
                        <m:sSupPr>
                          <m:ctrlPr>
                            <a:rPr lang="pt-BR" sz="2500" i="1" baseline="0">
                              <a:latin typeface="Cambria Math" panose="02040503050406030204" pitchFamily="18" charset="0"/>
                            </a:rPr>
                          </m:ctrlPr>
                        </m:sSupPr>
                        <m:e>
                          <m:r>
                            <a:rPr lang="pt-BR" sz="2500" b="0" i="1" baseline="0">
                              <a:latin typeface="Cambria Math" panose="02040503050406030204" pitchFamily="18" charset="0"/>
                            </a:rPr>
                            <m:t>(</m:t>
                          </m:r>
                          <m:r>
                            <a:rPr lang="pt-BR" sz="2500" b="0" i="1" baseline="0">
                              <a:latin typeface="Cambria Math" panose="02040503050406030204" pitchFamily="18" charset="0"/>
                            </a:rPr>
                            <m:t>𝑇</m:t>
                          </m:r>
                          <m:r>
                            <a:rPr lang="pt-BR" sz="2500" b="0" i="1" baseline="0">
                              <a:latin typeface="Cambria Math" panose="02040503050406030204" pitchFamily="18" charset="0"/>
                            </a:rPr>
                            <m:t>+5,5)</m:t>
                          </m:r>
                        </m:e>
                        <m:sup>
                          <m:r>
                            <a:rPr lang="pt-BR" sz="2500" b="0" i="1" baseline="0">
                              <a:latin typeface="Cambria Math" panose="02040503050406030204" pitchFamily="18" charset="0"/>
                            </a:rPr>
                            <m:t>2,0743124</m:t>
                          </m:r>
                        </m:sup>
                      </m:sSup>
                    </m:num>
                    <m:den>
                      <m:sSup>
                        <m:sSupPr>
                          <m:ctrlPr>
                            <a:rPr lang="pt-BR" sz="2500" i="1" baseline="0">
                              <a:latin typeface="Cambria Math" panose="02040503050406030204" pitchFamily="18" charset="0"/>
                            </a:rPr>
                          </m:ctrlPr>
                        </m:sSupPr>
                        <m:e>
                          <m:r>
                            <a:rPr lang="pt-BR" sz="2500" b="0" i="1" baseline="0">
                              <a:latin typeface="Cambria Math" panose="02040503050406030204" pitchFamily="18" charset="0"/>
                            </a:rPr>
                            <m:t>(</m:t>
                          </m:r>
                          <m:r>
                            <a:rPr lang="pt-BR" sz="2500" b="0" i="1" baseline="0">
                              <a:latin typeface="Cambria Math" panose="02040503050406030204" pitchFamily="18" charset="0"/>
                            </a:rPr>
                            <m:t>𝑇</m:t>
                          </m:r>
                          <m:r>
                            <a:rPr lang="pt-BR" sz="2500" b="0" i="1" baseline="0">
                              <a:latin typeface="Cambria Math" panose="02040503050406030204" pitchFamily="18" charset="0"/>
                            </a:rPr>
                            <m:t>+305,5)</m:t>
                          </m:r>
                        </m:e>
                        <m:sup>
                          <m:r>
                            <a:rPr lang="pt-BR" sz="2500" b="0" i="1" baseline="0">
                              <a:latin typeface="Cambria Math" panose="02040503050406030204" pitchFamily="18" charset="0"/>
                            </a:rPr>
                            <m:t>0,531</m:t>
                          </m:r>
                        </m:sup>
                      </m:sSup>
                    </m:den>
                  </m:f>
                  <m:r>
                    <a:rPr lang="pt-BR" sz="2500" i="1" baseline="0">
                      <a:latin typeface="Cambria Math" panose="02040503050406030204" pitchFamily="18" charset="0"/>
                      <a:ea typeface="Cambria Math" panose="02040503050406030204" pitchFamily="18" charset="0"/>
                    </a:rPr>
                    <m:t>∙</m:t>
                  </m:r>
                  <m:r>
                    <a:rPr lang="pt-BR" sz="2500" b="0" i="1" baseline="0">
                      <a:latin typeface="Cambria Math" panose="02040503050406030204" pitchFamily="18" charset="0"/>
                      <a:ea typeface="Cambria Math" panose="02040503050406030204" pitchFamily="18" charset="0"/>
                    </a:rPr>
                    <m:t>3,3∙</m:t>
                  </m:r>
                  <m:sSup>
                    <m:sSupPr>
                      <m:ctrlPr>
                        <a:rPr lang="pt-BR" sz="2500" b="0" i="1" baseline="0"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</m:ctrlPr>
                    </m:sSupPr>
                    <m:e>
                      <m:r>
                        <a:rPr lang="pt-BR" sz="2500" b="0" i="1" baseline="0"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  <m:t>10</m:t>
                      </m:r>
                    </m:e>
                    <m:sup>
                      <m:r>
                        <a:rPr lang="pt-BR" sz="2500" b="0" i="1" baseline="0"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  <m:t>−9</m:t>
                      </m:r>
                    </m:sup>
                  </m:sSup>
                </m:oMath>
              </a14:m>
              <a:endParaRPr lang="pt-BR" sz="2500"/>
            </a:p>
          </xdr:txBody>
        </xdr:sp>
      </mc:Choice>
      <mc:Fallback xmlns="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909F352A-30A9-4871-9123-BD81EC44571E}"/>
                </a:ext>
              </a:extLst>
            </xdr:cNvPr>
            <xdr:cNvSpPr txBox="1"/>
          </xdr:nvSpPr>
          <xdr:spPr>
            <a:xfrm>
              <a:off x="35594925" y="16392526"/>
              <a:ext cx="4076700" cy="74295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pt-BR" sz="2500"/>
                <a:t>v</a:t>
              </a:r>
              <a:r>
                <a:rPr lang="pt-BR" sz="2500" baseline="0"/>
                <a:t> = </a:t>
              </a:r>
              <a:r>
                <a:rPr lang="pt-BR" sz="2500" i="0" baseline="0">
                  <a:latin typeface="Cambria Math" panose="02040503050406030204" pitchFamily="18" charset="0"/>
                </a:rPr>
                <a:t>〖</a:t>
              </a:r>
              <a:r>
                <a:rPr lang="pt-BR" sz="2500" b="0" i="0" baseline="0">
                  <a:latin typeface="Cambria Math" panose="02040503050406030204" pitchFamily="18" charset="0"/>
                </a:rPr>
                <a:t>(𝑇+5,5)〗^2,0743124/〖(𝑇+305,5)〗^0,531 </a:t>
              </a:r>
              <a:r>
                <a:rPr lang="pt-BR" sz="2500" i="0" baseline="0">
                  <a:latin typeface="Cambria Math" panose="02040503050406030204" pitchFamily="18" charset="0"/>
                  <a:ea typeface="Cambria Math" panose="02040503050406030204" pitchFamily="18" charset="0"/>
                </a:rPr>
                <a:t>∙</a:t>
              </a:r>
              <a:r>
                <a:rPr lang="pt-BR" sz="2500" b="0" i="0" baseline="0">
                  <a:latin typeface="Cambria Math" panose="02040503050406030204" pitchFamily="18" charset="0"/>
                  <a:ea typeface="Cambria Math" panose="02040503050406030204" pitchFamily="18" charset="0"/>
                </a:rPr>
                <a:t>3,3∙〖10〗^(−9)</a:t>
              </a:r>
              <a:endParaRPr lang="pt-BR" sz="2500"/>
            </a:p>
          </xdr:txBody>
        </xdr:sp>
      </mc:Fallback>
    </mc:AlternateContent>
    <xdr:clientData/>
  </xdr:twoCellAnchor>
  <xdr:twoCellAnchor>
    <xdr:from>
      <xdr:col>41</xdr:col>
      <xdr:colOff>571500</xdr:colOff>
      <xdr:row>135</xdr:row>
      <xdr:rowOff>123825</xdr:rowOff>
    </xdr:from>
    <xdr:to>
      <xdr:col>47</xdr:col>
      <xdr:colOff>581025</xdr:colOff>
      <xdr:row>139</xdr:row>
      <xdr:rowOff>66675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00000000-0008-0000-0400-000004000000}"/>
                </a:ext>
              </a:extLst>
            </xdr:cNvPr>
            <xdr:cNvSpPr txBox="1"/>
          </xdr:nvSpPr>
          <xdr:spPr>
            <a:xfrm>
              <a:off x="35728275" y="17935575"/>
              <a:ext cx="3667125" cy="70485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14:m>
                <m:oMath xmlns:m="http://schemas.openxmlformats.org/officeDocument/2006/math">
                  <m:r>
                    <a:rPr lang="pt-BR" sz="2500" b="0" i="1">
                      <a:latin typeface="Cambria Math" panose="02040503050406030204" pitchFamily="18" charset="0"/>
                    </a:rPr>
                    <m:t>𝑅𝑒</m:t>
                  </m:r>
                  <m:r>
                    <a:rPr lang="pt-BR" sz="2500" b="0" i="1">
                      <a:latin typeface="Cambria Math" panose="02040503050406030204" pitchFamily="18" charset="0"/>
                    </a:rPr>
                    <m:t>=</m:t>
                  </m:r>
                  <m:f>
                    <m:fPr>
                      <m:ctrlPr>
                        <a:rPr lang="pt-BR" sz="2500" i="1">
                          <a:latin typeface="Cambria Math" panose="02040503050406030204" pitchFamily="18" charset="0"/>
                        </a:rPr>
                      </m:ctrlPr>
                    </m:fPr>
                    <m:num>
                      <m:r>
                        <a:rPr lang="pt-BR" sz="2500" i="1"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  <m:t>𝜌</m:t>
                      </m:r>
                      <m:r>
                        <a:rPr lang="pt-BR" sz="2500" i="1"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  <m:t>∙</m:t>
                      </m:r>
                      <m:r>
                        <a:rPr lang="pt-BR" sz="2500" b="0" i="1"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  <m:t>𝑈</m:t>
                      </m:r>
                      <m:r>
                        <a:rPr lang="pt-BR" sz="2500" b="0" i="1"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  <m:t>∙</m:t>
                      </m:r>
                      <m:r>
                        <a:rPr lang="pt-BR" sz="2500" b="0" i="1"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  <m:t>𝐷</m:t>
                      </m:r>
                    </m:num>
                    <m:den>
                      <m:r>
                        <a:rPr lang="pt-BR" sz="2500" i="1"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  <m:t>𝜇</m:t>
                      </m:r>
                    </m:den>
                  </m:f>
                </m:oMath>
              </a14:m>
              <a:r>
                <a:rPr lang="pt-BR" sz="2500"/>
                <a:t> </a:t>
              </a:r>
              <a:r>
                <a:rPr lang="pt-BR" sz="2500" baseline="0"/>
                <a:t>  ou  </a:t>
              </a:r>
              <a14:m>
                <m:oMath xmlns:m="http://schemas.openxmlformats.org/officeDocument/2006/math">
                  <m:r>
                    <a:rPr lang="pt-BR" sz="2500" b="0" i="1" baseline="0">
                      <a:latin typeface="Cambria Math" panose="02040503050406030204" pitchFamily="18" charset="0"/>
                    </a:rPr>
                    <m:t>𝑅𝑒</m:t>
                  </m:r>
                  <m:r>
                    <a:rPr lang="pt-BR" sz="2500" b="0" i="1" baseline="0">
                      <a:latin typeface="Cambria Math" panose="02040503050406030204" pitchFamily="18" charset="0"/>
                    </a:rPr>
                    <m:t>= </m:t>
                  </m:r>
                  <m:f>
                    <m:fPr>
                      <m:ctrlPr>
                        <a:rPr lang="pt-BR" sz="2500" b="0" i="1" baseline="0">
                          <a:latin typeface="Cambria Math" panose="02040503050406030204" pitchFamily="18" charset="0"/>
                        </a:rPr>
                      </m:ctrlPr>
                    </m:fPr>
                    <m:num>
                      <m:r>
                        <a:rPr lang="pt-BR" sz="2500" b="0" i="1" baseline="0">
                          <a:latin typeface="Cambria Math" panose="02040503050406030204" pitchFamily="18" charset="0"/>
                        </a:rPr>
                        <m:t>𝑈</m:t>
                      </m:r>
                      <m:r>
                        <a:rPr lang="pt-BR" sz="2500" b="0" i="1" baseline="0"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  <m:t>∙</m:t>
                      </m:r>
                      <m:r>
                        <a:rPr lang="pt-BR" sz="2500" b="0" i="1" baseline="0"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  <m:t>𝐷</m:t>
                      </m:r>
                    </m:num>
                    <m:den>
                      <m:r>
                        <a:rPr lang="pt-BR" sz="2500" b="0" i="1" baseline="0">
                          <a:latin typeface="Cambria Math" panose="02040503050406030204" pitchFamily="18" charset="0"/>
                        </a:rPr>
                        <m:t>𝑣</m:t>
                      </m:r>
                    </m:den>
                  </m:f>
                </m:oMath>
              </a14:m>
              <a:endParaRPr lang="pt-BR" sz="2500"/>
            </a:p>
          </xdr:txBody>
        </xdr:sp>
      </mc:Choice>
      <mc:Fallback xmlns="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085A4293-926A-4AA4-8BE7-2D978F6835B3}"/>
                </a:ext>
              </a:extLst>
            </xdr:cNvPr>
            <xdr:cNvSpPr txBox="1"/>
          </xdr:nvSpPr>
          <xdr:spPr>
            <a:xfrm>
              <a:off x="35728275" y="17935575"/>
              <a:ext cx="3667125" cy="70485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pt-BR" sz="2500" b="0" i="0">
                  <a:latin typeface="Cambria Math" panose="02040503050406030204" pitchFamily="18" charset="0"/>
                </a:rPr>
                <a:t>𝑅𝑒=</a:t>
              </a:r>
              <a:r>
                <a:rPr lang="pt-BR" sz="2500" i="0">
                  <a:latin typeface="Cambria Math" panose="02040503050406030204" pitchFamily="18" charset="0"/>
                </a:rPr>
                <a:t>(</a:t>
              </a:r>
              <a:r>
                <a:rPr lang="pt-BR" sz="25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𝜌∙</a:t>
              </a:r>
              <a:r>
                <a:rPr lang="pt-BR" sz="25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𝑈∙𝐷)/</a:t>
              </a:r>
              <a:r>
                <a:rPr lang="pt-BR" sz="25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</a:t>
              </a:r>
              <a:r>
                <a:rPr lang="pt-BR" sz="2500"/>
                <a:t> </a:t>
              </a:r>
              <a:r>
                <a:rPr lang="pt-BR" sz="2500" baseline="0"/>
                <a:t>  ou  </a:t>
              </a:r>
              <a:r>
                <a:rPr lang="pt-BR" sz="2500" b="0" i="0" baseline="0">
                  <a:latin typeface="Cambria Math" panose="02040503050406030204" pitchFamily="18" charset="0"/>
                </a:rPr>
                <a:t>𝑅𝑒=  (𝑈</a:t>
              </a:r>
              <a:r>
                <a:rPr lang="pt-BR" sz="2500" b="0" i="0" baseline="0">
                  <a:latin typeface="Cambria Math" panose="02040503050406030204" pitchFamily="18" charset="0"/>
                  <a:ea typeface="Cambria Math" panose="02040503050406030204" pitchFamily="18" charset="0"/>
                </a:rPr>
                <a:t>∙𝐷)/</a:t>
              </a:r>
              <a:r>
                <a:rPr lang="pt-BR" sz="2500" b="0" i="0" baseline="0">
                  <a:latin typeface="Cambria Math" panose="02040503050406030204" pitchFamily="18" charset="0"/>
                </a:rPr>
                <a:t>𝑣</a:t>
              </a:r>
              <a:endParaRPr lang="pt-BR" sz="2500"/>
            </a:p>
          </xdr:txBody>
        </xdr:sp>
      </mc:Fallback>
    </mc:AlternateContent>
    <xdr:clientData/>
  </xdr:twoCellAnchor>
  <xdr:twoCellAnchor>
    <xdr:from>
      <xdr:col>41</xdr:col>
      <xdr:colOff>59531</xdr:colOff>
      <xdr:row>144</xdr:row>
      <xdr:rowOff>152400</xdr:rowOff>
    </xdr:from>
    <xdr:to>
      <xdr:col>48</xdr:col>
      <xdr:colOff>228600</xdr:colOff>
      <xdr:row>148</xdr:row>
      <xdr:rowOff>66675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00000000-0008-0000-0400-000005000000}"/>
                </a:ext>
              </a:extLst>
            </xdr:cNvPr>
            <xdr:cNvSpPr txBox="1"/>
          </xdr:nvSpPr>
          <xdr:spPr>
            <a:xfrm>
              <a:off x="36183094" y="31870650"/>
              <a:ext cx="4419600" cy="676275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14:m>
                <m:oMath xmlns:m="http://schemas.openxmlformats.org/officeDocument/2006/math">
                  <m:r>
                    <a:rPr lang="pt-BR" sz="2000" b="0" i="1">
                      <a:solidFill>
                        <a:schemeClr val="dk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𝑓</m:t>
                  </m:r>
                  <m:r>
                    <a:rPr lang="pt-BR" sz="2000" b="0" i="1">
                      <a:latin typeface="Cambria Math" panose="02040503050406030204" pitchFamily="18" charset="0"/>
                    </a:rPr>
                    <m:t>=</m:t>
                  </m:r>
                </m:oMath>
              </a14:m>
              <a:r>
                <a:rPr lang="pt-BR" sz="2000"/>
                <a:t> 0,0055∙</a:t>
              </a:r>
              <a:r>
                <a:rPr lang="pt-BR" sz="2000" baseline="0"/>
                <a:t> [1+</a:t>
              </a:r>
              <a14:m>
                <m:oMath xmlns:m="http://schemas.openxmlformats.org/officeDocument/2006/math">
                  <m:r>
                    <a:rPr lang="pt-BR" sz="2000" b="0" i="0" baseline="0">
                      <a:latin typeface="Cambria Math" panose="02040503050406030204" pitchFamily="18" charset="0"/>
                    </a:rPr>
                    <m:t> </m:t>
                  </m:r>
                  <m:sSup>
                    <m:sSupPr>
                      <m:ctrlPr>
                        <a:rPr lang="pt-BR" sz="2000" b="0" i="1" baseline="0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m:rPr>
                          <m:nor/>
                        </m:rPr>
                        <a:rPr lang="pt-BR" sz="2000" baseline="0">
                          <a:solidFill>
                            <a:schemeClr val="dk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(20.000 ∙ </m:t>
                      </m:r>
                      <m:f>
                        <m:fPr>
                          <m:ctrlPr>
                            <a:rPr lang="pt-BR" sz="2000" i="1" baseline="0">
                              <a:solidFill>
                                <a:schemeClr val="dk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pt-BR" sz="2000" b="0" i="1" baseline="0">
                              <a:solidFill>
                                <a:schemeClr val="dk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𝑒</m:t>
                          </m:r>
                        </m:num>
                        <m:den>
                          <m:r>
                            <a:rPr lang="pt-BR" sz="2000" b="0" i="1" baseline="0">
                              <a:solidFill>
                                <a:schemeClr val="dk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𝐷</m:t>
                          </m:r>
                        </m:den>
                      </m:f>
                      <m:r>
                        <a:rPr lang="pt-BR" sz="2000" b="0" i="1" baseline="0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+</m:t>
                      </m:r>
                      <m:f>
                        <m:fPr>
                          <m:ctrlPr>
                            <a:rPr lang="pt-BR" sz="2000" b="0" i="1" baseline="0">
                              <a:solidFill>
                                <a:schemeClr val="dk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sSup>
                            <m:sSupPr>
                              <m:ctrlPr>
                                <a:rPr lang="pt-BR" sz="2000" b="0" i="1" baseline="0">
                                  <a:solidFill>
                                    <a:schemeClr val="dk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pPr>
                            <m:e>
                              <m:r>
                                <a:rPr lang="pt-BR" sz="2000" b="0" i="1" baseline="0">
                                  <a:solidFill>
                                    <a:schemeClr val="dk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10</m:t>
                              </m:r>
                            </m:e>
                            <m:sup>
                              <m:r>
                                <a:rPr lang="pt-BR" sz="2000" b="0" i="1" baseline="0">
                                  <a:solidFill>
                                    <a:schemeClr val="dk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6</m:t>
                              </m:r>
                            </m:sup>
                          </m:sSup>
                        </m:num>
                        <m:den>
                          <m:r>
                            <a:rPr lang="pt-BR" sz="2000" b="0" i="1" baseline="0">
                              <a:solidFill>
                                <a:schemeClr val="dk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𝑅𝑒</m:t>
                          </m:r>
                        </m:den>
                      </m:f>
                      <m:r>
                        <a:rPr lang="pt-BR" sz="2000" b="0" i="1" baseline="0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)</m:t>
                      </m:r>
                    </m:e>
                    <m:sup>
                      <m:f>
                        <m:fPr>
                          <m:type m:val="skw"/>
                          <m:ctrlPr>
                            <a:rPr lang="pt-BR" sz="2000" b="0" i="1" baseline="0"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BR" sz="2000" b="0" i="1" baseline="0">
                              <a:latin typeface="Cambria Math" panose="02040503050406030204" pitchFamily="18" charset="0"/>
                            </a:rPr>
                            <m:t>1</m:t>
                          </m:r>
                        </m:num>
                        <m:den>
                          <m:r>
                            <a:rPr lang="pt-BR" sz="2000" b="0" i="1" baseline="0">
                              <a:latin typeface="Cambria Math" panose="02040503050406030204" pitchFamily="18" charset="0"/>
                            </a:rPr>
                            <m:t>3</m:t>
                          </m:r>
                        </m:den>
                      </m:f>
                    </m:sup>
                  </m:sSup>
                </m:oMath>
              </a14:m>
              <a:r>
                <a:rPr lang="pt-BR" sz="2000"/>
                <a:t>]</a:t>
              </a:r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E660EE29-2761-4867-9B43-243CC80A6E68}"/>
                </a:ext>
              </a:extLst>
            </xdr:cNvPr>
            <xdr:cNvSpPr txBox="1"/>
          </xdr:nvSpPr>
          <xdr:spPr>
            <a:xfrm>
              <a:off x="36183094" y="31870650"/>
              <a:ext cx="4419600" cy="676275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pt-BR" sz="2000" b="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𝑓</a:t>
              </a:r>
              <a:r>
                <a:rPr lang="pt-BR" sz="2000" b="0" i="0">
                  <a:latin typeface="Cambria Math" panose="02040503050406030204" pitchFamily="18" charset="0"/>
                </a:rPr>
                <a:t>=</a:t>
              </a:r>
              <a:r>
                <a:rPr lang="pt-BR" sz="2000"/>
                <a:t> 0,0055∙</a:t>
              </a:r>
              <a:r>
                <a:rPr lang="pt-BR" sz="2000" baseline="0"/>
                <a:t> [1+</a:t>
              </a:r>
              <a:r>
                <a:rPr lang="pt-BR" sz="2000" b="0" i="0" baseline="0">
                  <a:latin typeface="Cambria Math" panose="02040503050406030204" pitchFamily="18" charset="0"/>
                </a:rPr>
                <a:t> 〖</a:t>
              </a:r>
              <a:r>
                <a:rPr lang="pt-BR" sz="2000" b="0" i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pt-BR" sz="2000" i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(20.000 ∙ </a:t>
              </a:r>
              <a:r>
                <a:rPr lang="pt-BR" sz="2000" i="0" baseline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BR" sz="2000" b="0" i="0" baseline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𝑒/𝐷+〖10〗^6/𝑅𝑒)〗^(</a:t>
              </a:r>
              <a:r>
                <a:rPr lang="pt-BR" sz="2000" b="0" i="0" baseline="0">
                  <a:latin typeface="Cambria Math" panose="02040503050406030204" pitchFamily="18" charset="0"/>
                </a:rPr>
                <a:t>1⁄3)</a:t>
              </a:r>
              <a:r>
                <a:rPr lang="pt-BR" sz="2000"/>
                <a:t>]</a:t>
              </a:r>
            </a:p>
          </xdr:txBody>
        </xdr:sp>
      </mc:Fallback>
    </mc:AlternateContent>
    <xdr:clientData/>
  </xdr:twoCellAnchor>
  <xdr:twoCellAnchor>
    <xdr:from>
      <xdr:col>42</xdr:col>
      <xdr:colOff>485776</xdr:colOff>
      <xdr:row>152</xdr:row>
      <xdr:rowOff>152400</xdr:rowOff>
    </xdr:from>
    <xdr:to>
      <xdr:col>47</xdr:col>
      <xdr:colOff>85726</xdr:colOff>
      <xdr:row>156</xdr:row>
      <xdr:rowOff>133350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00000000-0008-0000-0400-000006000000}"/>
                </a:ext>
              </a:extLst>
            </xdr:cNvPr>
            <xdr:cNvSpPr txBox="1"/>
          </xdr:nvSpPr>
          <xdr:spPr>
            <a:xfrm>
              <a:off x="36252151" y="21221700"/>
              <a:ext cx="2647950" cy="74295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pt-BR" sz="2500" b="0"/>
                <a:t>hf</a:t>
              </a:r>
              <a:r>
                <a:rPr lang="pt-BR" sz="2500" b="0" baseline="0"/>
                <a:t> </a:t>
              </a:r>
              <a14:m>
                <m:oMath xmlns:m="http://schemas.openxmlformats.org/officeDocument/2006/math">
                  <m:r>
                    <a:rPr lang="pt-BR" sz="2500" b="0" i="1">
                      <a:latin typeface="Cambria Math" panose="02040503050406030204" pitchFamily="18" charset="0"/>
                    </a:rPr>
                    <m:t>=(</m:t>
                  </m:r>
                  <m:r>
                    <a:rPr lang="pt-BR" sz="2500" b="0" i="1">
                      <a:latin typeface="Cambria Math" panose="02040503050406030204" pitchFamily="18" charset="0"/>
                    </a:rPr>
                    <m:t>𝑓</m:t>
                  </m:r>
                  <m:r>
                    <a:rPr lang="pt-BR" sz="2500" b="0" i="1">
                      <a:latin typeface="Cambria Math" panose="02040503050406030204" pitchFamily="18" charset="0"/>
                      <a:ea typeface="Cambria Math" panose="02040503050406030204" pitchFamily="18" charset="0"/>
                    </a:rPr>
                    <m:t>∙</m:t>
                  </m:r>
                  <m:f>
                    <m:fPr>
                      <m:ctrlPr>
                        <a:rPr lang="pt-BR" sz="2500" b="0" i="1"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</m:ctrlPr>
                    </m:fPr>
                    <m:num>
                      <m:r>
                        <a:rPr lang="pt-BR" sz="2500" b="0" i="1"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  <m:t>𝐿</m:t>
                      </m:r>
                    </m:num>
                    <m:den>
                      <m:r>
                        <a:rPr lang="pt-BR" sz="2500" b="0" i="1"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  <m:t>𝐷</m:t>
                      </m:r>
                    </m:den>
                  </m:f>
                  <m:r>
                    <a:rPr lang="pt-BR" sz="2500" b="0" i="1">
                      <a:latin typeface="Cambria Math" panose="02040503050406030204" pitchFamily="18" charset="0"/>
                      <a:ea typeface="Cambria Math" panose="02040503050406030204" pitchFamily="18" charset="0"/>
                    </a:rPr>
                    <m:t>∙</m:t>
                  </m:r>
                  <m:f>
                    <m:fPr>
                      <m:ctrlPr>
                        <a:rPr lang="pt-BR" sz="2500" b="0" i="1"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</m:ctrlPr>
                    </m:fPr>
                    <m:num>
                      <m:sSup>
                        <m:sSupPr>
                          <m:ctrlPr>
                            <a:rPr lang="pt-BR" sz="2500" b="0" i="1">
                              <a:latin typeface="Cambria Math" panose="02040503050406030204" pitchFamily="18" charset="0"/>
                              <a:ea typeface="Cambria Math" panose="02040503050406030204" pitchFamily="18" charset="0"/>
                            </a:rPr>
                          </m:ctrlPr>
                        </m:sSupPr>
                        <m:e>
                          <m:r>
                            <a:rPr lang="pt-BR" sz="2500" b="0" i="1">
                              <a:latin typeface="Cambria Math" panose="02040503050406030204" pitchFamily="18" charset="0"/>
                              <a:ea typeface="Cambria Math" panose="02040503050406030204" pitchFamily="18" charset="0"/>
                            </a:rPr>
                            <m:t>𝑉</m:t>
                          </m:r>
                        </m:e>
                        <m:sup>
                          <m:r>
                            <a:rPr lang="pt-BR" sz="2500" b="0" i="1">
                              <a:latin typeface="Cambria Math" panose="02040503050406030204" pitchFamily="18" charset="0"/>
                              <a:ea typeface="Cambria Math" panose="02040503050406030204" pitchFamily="18" charset="0"/>
                            </a:rPr>
                            <m:t>2</m:t>
                          </m:r>
                        </m:sup>
                      </m:sSup>
                    </m:num>
                    <m:den>
                      <m:r>
                        <a:rPr lang="pt-BR" sz="2500" b="0" i="1"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  <m:t>2</m:t>
                      </m:r>
                      <m:r>
                        <a:rPr lang="pt-BR" sz="2500" b="0" i="1"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  <m:t>𝑔</m:t>
                      </m:r>
                    </m:den>
                  </m:f>
                  <m:r>
                    <a:rPr lang="pt-BR" sz="2500" b="0" i="1">
                      <a:latin typeface="Cambria Math" panose="02040503050406030204" pitchFamily="18" charset="0"/>
                      <a:ea typeface="Cambria Math" panose="02040503050406030204" pitchFamily="18" charset="0"/>
                    </a:rPr>
                    <m:t>)∙</m:t>
                  </m:r>
                  <m:r>
                    <a:rPr lang="pt-BR" sz="2500" b="0" i="1">
                      <a:latin typeface="Cambria Math" panose="02040503050406030204" pitchFamily="18" charset="0"/>
                      <a:ea typeface="Cambria Math" panose="02040503050406030204" pitchFamily="18" charset="0"/>
                    </a:rPr>
                    <m:t>𝛾</m:t>
                  </m:r>
                </m:oMath>
              </a14:m>
              <a:endParaRPr lang="pt-BR" sz="2500"/>
            </a:p>
          </xdr:txBody>
        </xdr:sp>
      </mc:Choice>
      <mc:Fallback xmlns="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4D9D17C9-6AE0-4BB6-859E-A0F988CCFCFB}"/>
                </a:ext>
              </a:extLst>
            </xdr:cNvPr>
            <xdr:cNvSpPr txBox="1"/>
          </xdr:nvSpPr>
          <xdr:spPr>
            <a:xfrm>
              <a:off x="36252151" y="21221700"/>
              <a:ext cx="2647950" cy="74295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pt-BR" sz="2500" b="0"/>
                <a:t>hf</a:t>
              </a:r>
              <a:r>
                <a:rPr lang="pt-BR" sz="2500" b="0" baseline="0"/>
                <a:t> </a:t>
              </a:r>
              <a:r>
                <a:rPr lang="pt-BR" sz="2500" b="0" i="0">
                  <a:latin typeface="Cambria Math" panose="02040503050406030204" pitchFamily="18" charset="0"/>
                </a:rPr>
                <a:t>=(𝑓</a:t>
              </a:r>
              <a:r>
                <a:rPr lang="pt-BR" sz="25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∙𝐿/𝐷∙𝑉^2/2𝑔)∙𝛾</a:t>
              </a:r>
              <a:endParaRPr lang="pt-BR" sz="2500"/>
            </a:p>
          </xdr:txBody>
        </xdr:sp>
      </mc:Fallback>
    </mc:AlternateContent>
    <xdr:clientData/>
  </xdr:twoCellAnchor>
  <xdr:twoCellAnchor>
    <xdr:from>
      <xdr:col>41</xdr:col>
      <xdr:colOff>266701</xdr:colOff>
      <xdr:row>163</xdr:row>
      <xdr:rowOff>0</xdr:rowOff>
    </xdr:from>
    <xdr:to>
      <xdr:col>48</xdr:col>
      <xdr:colOff>304801</xdr:colOff>
      <xdr:row>166</xdr:row>
      <xdr:rowOff>171449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00000000-0008-0000-0400-000007000000}"/>
                </a:ext>
              </a:extLst>
            </xdr:cNvPr>
            <xdr:cNvSpPr txBox="1"/>
          </xdr:nvSpPr>
          <xdr:spPr>
            <a:xfrm>
              <a:off x="35423476" y="23174325"/>
              <a:ext cx="4305300" cy="742949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pt-BR" sz="2500" b="0" baseline="0"/>
                <a:t>De1. </a:t>
              </a:r>
              <a14:m>
                <m:oMath xmlns:m="http://schemas.openxmlformats.org/officeDocument/2006/math">
                  <m:r>
                    <a:rPr lang="pt-BR" sz="2500" b="0" i="1">
                      <a:latin typeface="Cambria Math" panose="02040503050406030204" pitchFamily="18" charset="0"/>
                    </a:rPr>
                    <m:t>=</m:t>
                  </m:r>
                  <m:f>
                    <m:fPr>
                      <m:ctrlPr>
                        <a:rPr lang="pt-BR" sz="2500" b="0" i="1">
                          <a:latin typeface="Cambria Math" panose="02040503050406030204" pitchFamily="18" charset="0"/>
                        </a:rPr>
                      </m:ctrlPr>
                    </m:fPr>
                    <m:num>
                      <m:r>
                        <a:rPr lang="pt-BR" sz="2500" b="0" i="1">
                          <a:latin typeface="Cambria Math" panose="02040503050406030204" pitchFamily="18" charset="0"/>
                        </a:rPr>
                        <m:t>1,30 ∙</m:t>
                      </m:r>
                      <m:sSup>
                        <m:sSupPr>
                          <m:ctrlPr>
                            <a:rPr lang="pt-BR" sz="2500" b="0" i="1">
                              <a:latin typeface="Cambria Math" panose="02040503050406030204" pitchFamily="18" charset="0"/>
                            </a:rPr>
                          </m:ctrlPr>
                        </m:sSupPr>
                        <m:e>
                          <m:r>
                            <a:rPr lang="pt-BR" sz="2500" b="0" i="1">
                              <a:latin typeface="Cambria Math" panose="02040503050406030204" pitchFamily="18" charset="0"/>
                            </a:rPr>
                            <m:t>(</m:t>
                          </m:r>
                          <m:r>
                            <a:rPr lang="pt-BR" sz="2500" b="0" i="1">
                              <a:latin typeface="Cambria Math" panose="02040503050406030204" pitchFamily="18" charset="0"/>
                            </a:rPr>
                            <m:t>𝑎𝑙𝑡𝑢𝑟𝑎</m:t>
                          </m:r>
                          <m:r>
                            <a:rPr lang="pt-BR" sz="2500" b="0" i="1">
                              <a:latin typeface="Cambria Math" panose="02040503050406030204" pitchFamily="18" charset="0"/>
                            </a:rPr>
                            <m:t> ∙</m:t>
                          </m:r>
                          <m:r>
                            <a:rPr lang="pt-BR" sz="2500" b="0" i="1">
                              <a:latin typeface="Cambria Math" panose="02040503050406030204" pitchFamily="18" charset="0"/>
                              <a:ea typeface="Cambria Math" panose="02040503050406030204" pitchFamily="18" charset="0"/>
                            </a:rPr>
                            <m:t>𝑙𝑎𝑟𝑔𝑢𝑟𝑎</m:t>
                          </m:r>
                          <m:r>
                            <a:rPr lang="pt-BR" sz="2500" b="0" i="1">
                              <a:latin typeface="Cambria Math" panose="02040503050406030204" pitchFamily="18" charset="0"/>
                              <a:ea typeface="Cambria Math" panose="02040503050406030204" pitchFamily="18" charset="0"/>
                            </a:rPr>
                            <m:t>)</m:t>
                          </m:r>
                        </m:e>
                        <m:sup>
                          <m:r>
                            <a:rPr lang="pt-BR" sz="2500" b="0" i="1">
                              <a:latin typeface="Cambria Math" panose="02040503050406030204" pitchFamily="18" charset="0"/>
                            </a:rPr>
                            <m:t>0,625</m:t>
                          </m:r>
                        </m:sup>
                      </m:sSup>
                      <m:r>
                        <a:rPr lang="pt-BR" sz="2500" b="0" i="1">
                          <a:latin typeface="Cambria Math" panose="02040503050406030204" pitchFamily="18" charset="0"/>
                        </a:rPr>
                        <m:t> </m:t>
                      </m:r>
                    </m:num>
                    <m:den>
                      <m:sSup>
                        <m:sSupPr>
                          <m:ctrlPr>
                            <a:rPr lang="pt-BR" sz="2500" b="0" i="1">
                              <a:latin typeface="Cambria Math" panose="02040503050406030204" pitchFamily="18" charset="0"/>
                            </a:rPr>
                          </m:ctrlPr>
                        </m:sSupPr>
                        <m:e>
                          <m:r>
                            <a:rPr lang="pt-BR" sz="2500" b="0" i="1">
                              <a:latin typeface="Cambria Math" panose="02040503050406030204" pitchFamily="18" charset="0"/>
                            </a:rPr>
                            <m:t>(</m:t>
                          </m:r>
                          <m:r>
                            <a:rPr lang="pt-BR" sz="2500" b="0" i="1">
                              <a:latin typeface="Cambria Math" panose="02040503050406030204" pitchFamily="18" charset="0"/>
                            </a:rPr>
                            <m:t>𝑎𝑙𝑡𝑢𝑟𝑎</m:t>
                          </m:r>
                          <m:r>
                            <a:rPr lang="pt-BR" sz="2500" b="0" i="1">
                              <a:latin typeface="Cambria Math" panose="02040503050406030204" pitchFamily="18" charset="0"/>
                            </a:rPr>
                            <m:t>+ </m:t>
                          </m:r>
                          <m:r>
                            <a:rPr lang="pt-BR" sz="2500" b="0" i="1">
                              <a:latin typeface="Cambria Math" panose="02040503050406030204" pitchFamily="18" charset="0"/>
                              <a:ea typeface="Cambria Math" panose="02040503050406030204" pitchFamily="18" charset="0"/>
                            </a:rPr>
                            <m:t>𝑙𝑎𝑟𝑔𝑢𝑟𝑎</m:t>
                          </m:r>
                          <m:r>
                            <a:rPr lang="pt-BR" sz="2500" b="0" i="1">
                              <a:latin typeface="Cambria Math" panose="02040503050406030204" pitchFamily="18" charset="0"/>
                              <a:ea typeface="Cambria Math" panose="02040503050406030204" pitchFamily="18" charset="0"/>
                            </a:rPr>
                            <m:t>)</m:t>
                          </m:r>
                        </m:e>
                        <m:sup>
                          <m:r>
                            <a:rPr lang="pt-BR" sz="2500" b="0" i="1">
                              <a:latin typeface="Cambria Math" panose="02040503050406030204" pitchFamily="18" charset="0"/>
                            </a:rPr>
                            <m:t>0,25</m:t>
                          </m:r>
                        </m:sup>
                      </m:sSup>
                      <m:r>
                        <a:rPr lang="pt-BR" sz="2500" b="0" i="1">
                          <a:latin typeface="Cambria Math" panose="02040503050406030204" pitchFamily="18" charset="0"/>
                        </a:rPr>
                        <m:t> </m:t>
                      </m:r>
                    </m:den>
                  </m:f>
                </m:oMath>
              </a14:m>
              <a:endParaRPr lang="pt-BR" sz="2500"/>
            </a:p>
          </xdr:txBody>
        </xdr:sp>
      </mc:Choice>
      <mc:Fallback xmlns="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D21D48E8-DCEE-4865-AB62-E896B9058F95}"/>
                </a:ext>
              </a:extLst>
            </xdr:cNvPr>
            <xdr:cNvSpPr txBox="1"/>
          </xdr:nvSpPr>
          <xdr:spPr>
            <a:xfrm>
              <a:off x="35423476" y="23174325"/>
              <a:ext cx="4305300" cy="742949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pt-BR" sz="2500" b="0" baseline="0"/>
                <a:t>De1. </a:t>
              </a:r>
              <a:r>
                <a:rPr lang="pt-BR" sz="2500" b="0" i="0">
                  <a:latin typeface="Cambria Math" panose="02040503050406030204" pitchFamily="18" charset="0"/>
                </a:rPr>
                <a:t>=(1,30 ∙〖(𝑎𝑙𝑡𝑢𝑟𝑎 ∙</a:t>
              </a:r>
              <a:r>
                <a:rPr lang="pt-BR" sz="25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𝑙𝑎𝑟𝑔𝑢𝑟𝑎)〗^</a:t>
              </a:r>
              <a:r>
                <a:rPr lang="pt-BR" sz="2500" b="0" i="0">
                  <a:latin typeface="Cambria Math" panose="02040503050406030204" pitchFamily="18" charset="0"/>
                </a:rPr>
                <a:t>0,625  )/(〖(𝑎𝑙𝑡𝑢𝑟𝑎+ </a:t>
              </a:r>
              <a:r>
                <a:rPr lang="pt-BR" sz="25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𝑙𝑎𝑟𝑔𝑢𝑟𝑎)〗^</a:t>
              </a:r>
              <a:r>
                <a:rPr lang="pt-BR" sz="2500" b="0" i="0">
                  <a:latin typeface="Cambria Math" panose="02040503050406030204" pitchFamily="18" charset="0"/>
                </a:rPr>
                <a:t>0,25  )</a:t>
              </a:r>
              <a:endParaRPr lang="pt-BR" sz="2500"/>
            </a:p>
          </xdr:txBody>
        </xdr:sp>
      </mc:Fallback>
    </mc:AlternateContent>
    <xdr:clientData/>
  </xdr:twoCellAnchor>
  <xdr:twoCellAnchor>
    <xdr:from>
      <xdr:col>39</xdr:col>
      <xdr:colOff>285751</xdr:colOff>
      <xdr:row>169</xdr:row>
      <xdr:rowOff>133350</xdr:rowOff>
    </xdr:from>
    <xdr:to>
      <xdr:col>48</xdr:col>
      <xdr:colOff>342900</xdr:colOff>
      <xdr:row>174</xdr:row>
      <xdr:rowOff>38099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00000000-0008-0000-0400-000008000000}"/>
                </a:ext>
              </a:extLst>
            </xdr:cNvPr>
            <xdr:cNvSpPr txBox="1"/>
          </xdr:nvSpPr>
          <xdr:spPr>
            <a:xfrm>
              <a:off x="33030584" y="29396267"/>
              <a:ext cx="5581649" cy="857249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pt-BR" sz="2500" b="0" baseline="0"/>
                <a:t>De2. </a:t>
              </a:r>
              <a14:m>
                <m:oMath xmlns:m="http://schemas.openxmlformats.org/officeDocument/2006/math">
                  <m:r>
                    <a:rPr lang="pt-BR" sz="2500" b="0" i="1">
                      <a:latin typeface="Cambria Math" panose="02040503050406030204" pitchFamily="18" charset="0"/>
                    </a:rPr>
                    <m:t>=</m:t>
                  </m:r>
                  <m:f>
                    <m:fPr>
                      <m:ctrlPr>
                        <a:rPr lang="pt-BR" sz="2500" b="0" i="1">
                          <a:latin typeface="Cambria Math" panose="02040503050406030204" pitchFamily="18" charset="0"/>
                        </a:rPr>
                      </m:ctrlPr>
                    </m:fPr>
                    <m:num>
                      <m:r>
                        <a:rPr lang="pt-BR" sz="2500" b="0" i="1">
                          <a:latin typeface="Cambria Math" panose="02040503050406030204" pitchFamily="18" charset="0"/>
                        </a:rPr>
                        <m:t>1,55 ∙</m:t>
                      </m:r>
                      <m:sSup>
                        <m:sSupPr>
                          <m:ctrlPr>
                            <a:rPr lang="pt-BR" sz="2500" b="0" i="1">
                              <a:latin typeface="Cambria Math" panose="02040503050406030204" pitchFamily="18" charset="0"/>
                            </a:rPr>
                          </m:ctrlPr>
                        </m:sSupPr>
                        <m:e>
                          <m:r>
                            <a:rPr lang="pt-BR" sz="2500" b="0" i="1">
                              <a:latin typeface="Cambria Math" panose="02040503050406030204" pitchFamily="18" charset="0"/>
                            </a:rPr>
                            <m:t>(á</m:t>
                          </m:r>
                          <m:r>
                            <a:rPr lang="pt-BR" sz="2500" b="0" i="1">
                              <a:latin typeface="Cambria Math" panose="02040503050406030204" pitchFamily="18" charset="0"/>
                            </a:rPr>
                            <m:t>𝑟𝑒𝑎</m:t>
                          </m:r>
                          <m:r>
                            <a:rPr lang="pt-BR" sz="2500" b="0" i="1">
                              <a:latin typeface="Cambria Math" panose="02040503050406030204" pitchFamily="18" charset="0"/>
                            </a:rPr>
                            <m:t> </m:t>
                          </m:r>
                          <m:r>
                            <a:rPr lang="pt-BR" sz="2500" b="0" i="1">
                              <a:latin typeface="Cambria Math" panose="02040503050406030204" pitchFamily="18" charset="0"/>
                            </a:rPr>
                            <m:t>𝑑𝑎</m:t>
                          </m:r>
                          <m:r>
                            <a:rPr lang="pt-BR" sz="2500" b="0" i="1">
                              <a:latin typeface="Cambria Math" panose="02040503050406030204" pitchFamily="18" charset="0"/>
                            </a:rPr>
                            <m:t> </m:t>
                          </m:r>
                          <m:r>
                            <a:rPr lang="pt-BR" sz="2500" b="0" i="1">
                              <a:latin typeface="Cambria Math" panose="02040503050406030204" pitchFamily="18" charset="0"/>
                            </a:rPr>
                            <m:t>𝑠𝑒𝑐</m:t>
                          </m:r>
                          <m:r>
                            <a:rPr lang="pt-BR" sz="2500" b="0" i="1">
                              <a:latin typeface="Cambria Math" panose="02040503050406030204" pitchFamily="18" charset="0"/>
                            </a:rPr>
                            <m:t>çã</m:t>
                          </m:r>
                          <m:r>
                            <a:rPr lang="pt-BR" sz="2500" b="0" i="1">
                              <a:latin typeface="Cambria Math" panose="02040503050406030204" pitchFamily="18" charset="0"/>
                            </a:rPr>
                            <m:t>𝑜</m:t>
                          </m:r>
                          <m:r>
                            <a:rPr lang="pt-BR" sz="2500" b="0" i="1">
                              <a:latin typeface="Cambria Math" panose="02040503050406030204" pitchFamily="18" charset="0"/>
                            </a:rPr>
                            <m:t> </m:t>
                          </m:r>
                          <m:r>
                            <a:rPr lang="pt-BR" sz="2500" b="0" i="1">
                              <a:latin typeface="Cambria Math" panose="02040503050406030204" pitchFamily="18" charset="0"/>
                            </a:rPr>
                            <m:t>𝑡𝑟𝑎𝑛𝑠𝑣𝑒𝑟𝑠𝑎𝑙</m:t>
                          </m:r>
                          <m:r>
                            <a:rPr lang="pt-BR" sz="2500" b="0" i="1">
                              <a:latin typeface="Cambria Math" panose="02040503050406030204" pitchFamily="18" charset="0"/>
                              <a:ea typeface="Cambria Math" panose="02040503050406030204" pitchFamily="18" charset="0"/>
                            </a:rPr>
                            <m:t>)</m:t>
                          </m:r>
                        </m:e>
                        <m:sup>
                          <m:r>
                            <a:rPr lang="pt-BR" sz="2500" b="0" i="1">
                              <a:latin typeface="Cambria Math" panose="02040503050406030204" pitchFamily="18" charset="0"/>
                            </a:rPr>
                            <m:t>0,625</m:t>
                          </m:r>
                        </m:sup>
                      </m:sSup>
                      <m:r>
                        <a:rPr lang="pt-BR" sz="2500" b="0" i="1">
                          <a:latin typeface="Cambria Math" panose="02040503050406030204" pitchFamily="18" charset="0"/>
                        </a:rPr>
                        <m:t> </m:t>
                      </m:r>
                    </m:num>
                    <m:den>
                      <m:sSup>
                        <m:sSupPr>
                          <m:ctrlPr>
                            <a:rPr lang="pt-BR" sz="2500" b="0" i="1">
                              <a:latin typeface="Cambria Math" panose="02040503050406030204" pitchFamily="18" charset="0"/>
                            </a:rPr>
                          </m:ctrlPr>
                        </m:sSupPr>
                        <m:e>
                          <m:r>
                            <a:rPr lang="pt-BR" sz="2500" b="0" i="1">
                              <a:latin typeface="Cambria Math" panose="02040503050406030204" pitchFamily="18" charset="0"/>
                            </a:rPr>
                            <m:t>(</m:t>
                          </m:r>
                          <m:r>
                            <a:rPr lang="pt-BR" sz="2500" b="0" i="1">
                              <a:latin typeface="Cambria Math" panose="02040503050406030204" pitchFamily="18" charset="0"/>
                            </a:rPr>
                            <m:t>𝑝𝑒𝑟</m:t>
                          </m:r>
                          <m:r>
                            <a:rPr lang="pt-BR" sz="2500" b="0" i="1">
                              <a:latin typeface="Cambria Math" panose="02040503050406030204" pitchFamily="18" charset="0"/>
                            </a:rPr>
                            <m:t>í</m:t>
                          </m:r>
                          <m:r>
                            <a:rPr lang="pt-BR" sz="2500" b="0" i="1">
                              <a:latin typeface="Cambria Math" panose="02040503050406030204" pitchFamily="18" charset="0"/>
                            </a:rPr>
                            <m:t>𝑚𝑒𝑡𝑟𝑜</m:t>
                          </m:r>
                          <m:r>
                            <a:rPr lang="pt-BR" sz="2500" b="0" i="1">
                              <a:latin typeface="Cambria Math" panose="02040503050406030204" pitchFamily="18" charset="0"/>
                              <a:ea typeface="Cambria Math" panose="02040503050406030204" pitchFamily="18" charset="0"/>
                            </a:rPr>
                            <m:t>)</m:t>
                          </m:r>
                        </m:e>
                        <m:sup>
                          <m:r>
                            <a:rPr lang="pt-BR" sz="2500" b="0" i="1">
                              <a:latin typeface="Cambria Math" panose="02040503050406030204" pitchFamily="18" charset="0"/>
                            </a:rPr>
                            <m:t>0,25</m:t>
                          </m:r>
                        </m:sup>
                      </m:sSup>
                      <m:r>
                        <a:rPr lang="pt-BR" sz="2500" b="0" i="1">
                          <a:latin typeface="Cambria Math" panose="02040503050406030204" pitchFamily="18" charset="0"/>
                        </a:rPr>
                        <m:t> </m:t>
                      </m:r>
                    </m:den>
                  </m:f>
                </m:oMath>
              </a14:m>
              <a:endParaRPr lang="pt-BR" sz="2500"/>
            </a:p>
          </xdr:txBody>
        </xdr:sp>
      </mc:Choice>
      <mc:Fallback xmlns="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6CD2345B-85AB-40FF-83CD-AD7A864BE48F}"/>
                </a:ext>
              </a:extLst>
            </xdr:cNvPr>
            <xdr:cNvSpPr txBox="1"/>
          </xdr:nvSpPr>
          <xdr:spPr>
            <a:xfrm>
              <a:off x="33030584" y="29396267"/>
              <a:ext cx="5581649" cy="857249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pt-BR" sz="2500" b="0" baseline="0"/>
                <a:t>De2. </a:t>
              </a:r>
              <a:r>
                <a:rPr lang="pt-BR" sz="2500" b="0" i="0">
                  <a:latin typeface="Cambria Math" panose="02040503050406030204" pitchFamily="18" charset="0"/>
                </a:rPr>
                <a:t>=(1,55 ∙〖(á𝑟𝑒𝑎 𝑑𝑎 𝑠𝑒𝑐çã𝑜 𝑡𝑟𝑎𝑛𝑠𝑣𝑒𝑟𝑠𝑎𝑙</a:t>
              </a:r>
              <a:r>
                <a:rPr lang="pt-BR" sz="25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)〗^</a:t>
              </a:r>
              <a:r>
                <a:rPr lang="pt-BR" sz="2500" b="0" i="0">
                  <a:latin typeface="Cambria Math" panose="02040503050406030204" pitchFamily="18" charset="0"/>
                </a:rPr>
                <a:t>0,625  )/(〖(𝑝𝑒𝑟í𝑚𝑒𝑡𝑟𝑜</a:t>
              </a:r>
              <a:r>
                <a:rPr lang="pt-BR" sz="25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)〗^</a:t>
              </a:r>
              <a:r>
                <a:rPr lang="pt-BR" sz="2500" b="0" i="0">
                  <a:latin typeface="Cambria Math" panose="02040503050406030204" pitchFamily="18" charset="0"/>
                </a:rPr>
                <a:t>0,25  )</a:t>
              </a:r>
              <a:endParaRPr lang="pt-BR" sz="2500"/>
            </a:p>
          </xdr:txBody>
        </xdr:sp>
      </mc:Fallback>
    </mc:AlternateContent>
    <xdr:clientData/>
  </xdr:twoCellAnchor>
  <xdr:twoCellAnchor>
    <xdr:from>
      <xdr:col>41</xdr:col>
      <xdr:colOff>85725</xdr:colOff>
      <xdr:row>178</xdr:row>
      <xdr:rowOff>123825</xdr:rowOff>
    </xdr:from>
    <xdr:to>
      <xdr:col>48</xdr:col>
      <xdr:colOff>514350</xdr:colOff>
      <xdr:row>183</xdr:row>
      <xdr:rowOff>47625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aixaDeTexto 8">
              <a:extLst>
                <a:ext uri="{FF2B5EF4-FFF2-40B4-BE49-F238E27FC236}">
                  <a16:creationId xmlns:a16="http://schemas.microsoft.com/office/drawing/2014/main" id="{00000000-0008-0000-0400-000009000000}"/>
                </a:ext>
              </a:extLst>
            </xdr:cNvPr>
            <xdr:cNvSpPr txBox="1"/>
          </xdr:nvSpPr>
          <xdr:spPr>
            <a:xfrm>
              <a:off x="35242500" y="26165175"/>
              <a:ext cx="4695825" cy="87630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BR" sz="1800" b="0" i="1">
                        <a:latin typeface="Cambria Math" panose="02040503050406030204" pitchFamily="18" charset="0"/>
                      </a:rPr>
                      <m:t>𝑝</m:t>
                    </m:r>
                    <m:r>
                      <a:rPr lang="pt-BR" sz="1800" b="0" i="1">
                        <a:latin typeface="Cambria Math" panose="02040503050406030204" pitchFamily="18" charset="0"/>
                      </a:rPr>
                      <m:t>2=</m:t>
                    </m:r>
                    <m:r>
                      <a:rPr lang="pt-BR" sz="1800" b="0" i="1">
                        <a:latin typeface="Cambria Math" panose="02040503050406030204" pitchFamily="18" charset="0"/>
                      </a:rPr>
                      <m:t>𝑝𝑎𝑡𝑚</m:t>
                    </m:r>
                    <m:r>
                      <a:rPr lang="pt-BR" sz="18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∙</m:t>
                    </m:r>
                    <m:sSup>
                      <m:sSupPr>
                        <m:ctrlPr>
                          <a:rPr lang="pt-BR" sz="18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pPr>
                      <m:e>
                        <m:d>
                          <m:dPr>
                            <m:ctrlPr>
                              <a:rPr lang="pt-BR" sz="18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pt-BR" sz="1800" b="0" i="1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fPr>
                              <m:num>
                                <m:r>
                                  <a:rPr lang="pt-BR" sz="1800" b="0" i="1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𝑇</m:t>
                                </m:r>
                                <m:r>
                                  <a:rPr lang="pt-BR" sz="1800" b="0" i="1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+273,15 −0,0065∙</m:t>
                                </m:r>
                                <m:r>
                                  <a:rPr lang="pt-BR" sz="1800" b="0" i="1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𝑧</m:t>
                                </m:r>
                                <m:r>
                                  <a:rPr lang="pt-BR" sz="1800" b="0" i="1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num>
                              <m:den>
                                <m:r>
                                  <a:rPr lang="pt-BR" sz="1800" b="0" i="1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𝑇</m:t>
                                </m:r>
                                <m:r>
                                  <a:rPr lang="pt-BR" sz="1800" b="0" i="1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+273,15</m:t>
                                </m:r>
                              </m:den>
                            </m:f>
                          </m:e>
                        </m:d>
                      </m:e>
                      <m:sup>
                        <m:r>
                          <a:rPr lang="pt-BR" sz="18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5,256</m:t>
                        </m:r>
                      </m:sup>
                    </m:sSup>
                  </m:oMath>
                </m:oMathPara>
              </a14:m>
              <a:endParaRPr lang="pt-BR" sz="1800"/>
            </a:p>
          </xdr:txBody>
        </xdr:sp>
      </mc:Choice>
      <mc:Fallback xmlns="">
        <xdr:sp macro="" textlink="">
          <xdr:nvSpPr>
            <xdr:cNvPr id="9" name="CaixaDeTexto 8">
              <a:extLst>
                <a:ext uri="{FF2B5EF4-FFF2-40B4-BE49-F238E27FC236}">
                  <a16:creationId xmlns:a16="http://schemas.microsoft.com/office/drawing/2014/main" id="{74510290-9E1C-41ED-A57A-8BDDA599EE47}"/>
                </a:ext>
              </a:extLst>
            </xdr:cNvPr>
            <xdr:cNvSpPr txBox="1"/>
          </xdr:nvSpPr>
          <xdr:spPr>
            <a:xfrm>
              <a:off x="35242500" y="26165175"/>
              <a:ext cx="4695825" cy="87630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/>
              <a:r>
                <a:rPr lang="pt-BR" sz="1800" b="0" i="0">
                  <a:latin typeface="Cambria Math" panose="02040503050406030204" pitchFamily="18" charset="0"/>
                </a:rPr>
                <a:t>𝑝2=𝑝𝑎𝑡𝑚</a:t>
              </a:r>
              <a:r>
                <a:rPr lang="pt-BR" sz="18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∙(</a:t>
              </a:r>
              <a:r>
                <a:rPr lang="pt-BR" sz="1800" b="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(𝑇+273,15 −0,0065∙𝑧2)/(𝑇+273,15))</a:t>
              </a:r>
              <a:r>
                <a:rPr lang="pt-BR" sz="1800" b="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^</a:t>
              </a:r>
              <a:r>
                <a:rPr lang="pt-BR" sz="18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5,256</a:t>
              </a:r>
              <a:endParaRPr lang="pt-BR" sz="1800"/>
            </a:p>
          </xdr:txBody>
        </xdr:sp>
      </mc:Fallback>
    </mc:AlternateContent>
    <xdr:clientData/>
  </xdr:twoCellAnchor>
  <xdr:twoCellAnchor>
    <xdr:from>
      <xdr:col>41</xdr:col>
      <xdr:colOff>381000</xdr:colOff>
      <xdr:row>189</xdr:row>
      <xdr:rowOff>52915</xdr:rowOff>
    </xdr:from>
    <xdr:to>
      <xdr:col>48</xdr:col>
      <xdr:colOff>1</xdr:colOff>
      <xdr:row>191</xdr:row>
      <xdr:rowOff>161924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00000000-0008-0000-0400-00000A000000}"/>
                </a:ext>
              </a:extLst>
            </xdr:cNvPr>
            <xdr:cNvSpPr txBox="1"/>
          </xdr:nvSpPr>
          <xdr:spPr>
            <a:xfrm>
              <a:off x="36504563" y="40391290"/>
              <a:ext cx="3869532" cy="490009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BR" sz="2500" b="0" i="1">
                        <a:latin typeface="Cambria Math" panose="02040503050406030204" pitchFamily="18" charset="0"/>
                      </a:rPr>
                      <m:t>𝑄</m:t>
                    </m:r>
                    <m:r>
                      <a:rPr lang="pt-BR" sz="2500" b="0" i="1">
                        <a:latin typeface="Cambria Math" panose="02040503050406030204" pitchFamily="18" charset="0"/>
                      </a:rPr>
                      <m:t>=Á</m:t>
                    </m:r>
                    <m:r>
                      <a:rPr lang="pt-BR" sz="2500" b="0" i="1">
                        <a:latin typeface="Cambria Math" panose="02040503050406030204" pitchFamily="18" charset="0"/>
                      </a:rPr>
                      <m:t>𝑟𝑒𝑎</m:t>
                    </m:r>
                    <m:r>
                      <a:rPr lang="pt-BR" sz="2500" b="0" i="1">
                        <a:latin typeface="Cambria Math" panose="02040503050406030204" pitchFamily="18" charset="0"/>
                      </a:rPr>
                      <m:t> ∙</m:t>
                    </m:r>
                    <m:r>
                      <a:rPr lang="pt-BR" sz="25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𝑣𝑒𝑙𝑜𝑐𝑖𝑑𝑎𝑑𝑒</m:t>
                    </m:r>
                  </m:oMath>
                </m:oMathPara>
              </a14:m>
              <a:endParaRPr lang="pt-BR" sz="2500"/>
            </a:p>
          </xdr:txBody>
        </xdr:sp>
      </mc:Choice>
      <mc:Fallback xmlns="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7D7AFCA4-03CA-4D9E-8174-64E61ECD58AB}"/>
                </a:ext>
              </a:extLst>
            </xdr:cNvPr>
            <xdr:cNvSpPr txBox="1"/>
          </xdr:nvSpPr>
          <xdr:spPr>
            <a:xfrm>
              <a:off x="36504563" y="40391290"/>
              <a:ext cx="3869532" cy="490009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/>
              <a:r>
                <a:rPr lang="pt-BR" sz="2500" b="0" i="0">
                  <a:latin typeface="Cambria Math" panose="02040503050406030204" pitchFamily="18" charset="0"/>
                </a:rPr>
                <a:t>𝑄=Á𝑟𝑒𝑎 ∙</a:t>
              </a:r>
              <a:r>
                <a:rPr lang="pt-BR" sz="25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𝑣𝑒𝑙𝑜𝑐𝑖𝑑𝑎𝑑𝑒</a:t>
              </a:r>
              <a:endParaRPr lang="pt-BR" sz="2500"/>
            </a:p>
          </xdr:txBody>
        </xdr:sp>
      </mc:Fallback>
    </mc:AlternateContent>
    <xdr:clientData/>
  </xdr:twoCellAnchor>
  <xdr:twoCellAnchor>
    <xdr:from>
      <xdr:col>40</xdr:col>
      <xdr:colOff>223308</xdr:colOff>
      <xdr:row>197</xdr:row>
      <xdr:rowOff>42333</xdr:rowOff>
    </xdr:from>
    <xdr:to>
      <xdr:col>48</xdr:col>
      <xdr:colOff>402166</xdr:colOff>
      <xdr:row>200</xdr:row>
      <xdr:rowOff>148167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00000000-0008-0000-0400-00000B000000}"/>
                </a:ext>
              </a:extLst>
            </xdr:cNvPr>
            <xdr:cNvSpPr txBox="1"/>
          </xdr:nvSpPr>
          <xdr:spPr>
            <a:xfrm>
              <a:off x="34770483" y="29722233"/>
              <a:ext cx="5055658" cy="677334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14:m>
                <m:oMath xmlns:m="http://schemas.openxmlformats.org/officeDocument/2006/math">
                  <m:r>
                    <m:rPr>
                      <m:sty m:val="p"/>
                    </m:rPr>
                    <a:rPr lang="el-GR" sz="2000" i="1">
                      <a:latin typeface="Cambria Math" panose="02040503050406030204" pitchFamily="18" charset="0"/>
                    </a:rPr>
                    <m:t>ρ</m:t>
                  </m:r>
                </m:oMath>
              </a14:m>
              <a:r>
                <a:rPr lang="pt-BR" sz="2000"/>
                <a:t> = </a:t>
              </a:r>
              <a14:m>
                <m:oMath xmlns:m="http://schemas.openxmlformats.org/officeDocument/2006/math">
                  <m:f>
                    <m:fPr>
                      <m:ctrlPr>
                        <a:rPr lang="pt-BR" sz="2000" i="1">
                          <a:latin typeface="Cambria Math" panose="02040503050406030204" pitchFamily="18" charset="0"/>
                        </a:rPr>
                      </m:ctrlPr>
                    </m:fPr>
                    <m:num>
                      <m:r>
                        <a:rPr lang="pt-BR" sz="2000" b="0" i="1">
                          <a:latin typeface="Cambria Math" panose="02040503050406030204" pitchFamily="18" charset="0"/>
                        </a:rPr>
                        <m:t>𝑝𝑎𝑡𝑚</m:t>
                      </m:r>
                      <m:r>
                        <a:rPr lang="pt-BR" sz="2000" b="0" i="1">
                          <a:latin typeface="Cambria Math" panose="02040503050406030204" pitchFamily="18" charset="0"/>
                        </a:rPr>
                        <m:t> (</m:t>
                      </m:r>
                      <m:r>
                        <a:rPr lang="pt-BR" sz="2000" b="0" i="1">
                          <a:latin typeface="Cambria Math" panose="02040503050406030204" pitchFamily="18" charset="0"/>
                        </a:rPr>
                        <m:t>𝐾𝑃𝑎</m:t>
                      </m:r>
                      <m:r>
                        <a:rPr lang="pt-BR" sz="2000" b="0" i="1">
                          <a:latin typeface="Cambria Math" panose="02040503050406030204" pitchFamily="18" charset="0"/>
                        </a:rPr>
                        <m:t>)</m:t>
                      </m:r>
                    </m:num>
                    <m:den>
                      <m:r>
                        <a:rPr lang="pt-BR" sz="2000" b="0" i="1">
                          <a:latin typeface="Cambria Math" panose="02040503050406030204" pitchFamily="18" charset="0"/>
                        </a:rPr>
                        <m:t>8,314 </m:t>
                      </m:r>
                      <m:d>
                        <m:dPr>
                          <m:ctrlPr>
                            <a:rPr lang="pt-BR" sz="2000" b="0" i="1">
                              <a:latin typeface="Cambria Math" panose="02040503050406030204" pitchFamily="18" charset="0"/>
                            </a:rPr>
                          </m:ctrlPr>
                        </m:dPr>
                        <m:e>
                          <m:f>
                            <m:fPr>
                              <m:ctrlPr>
                                <a:rPr lang="pt-BR" sz="2000" b="0" i="1">
                                  <a:latin typeface="Cambria Math" panose="02040503050406030204" pitchFamily="18" charset="0"/>
                                </a:rPr>
                              </m:ctrlPr>
                            </m:fPr>
                            <m:num>
                              <m:r>
                                <a:rPr lang="pt-BR" sz="2000" b="0" i="1">
                                  <a:latin typeface="Cambria Math" panose="02040503050406030204" pitchFamily="18" charset="0"/>
                                </a:rPr>
                                <m:t>𝐾𝐽</m:t>
                              </m:r>
                            </m:num>
                            <m:den>
                              <m:r>
                                <a:rPr lang="pt-BR" sz="2000" b="0" i="1">
                                  <a:latin typeface="Cambria Math" panose="02040503050406030204" pitchFamily="18" charset="0"/>
                                </a:rPr>
                                <m:t>𝐾𝑚𝑜𝑙𝐾</m:t>
                              </m:r>
                            </m:den>
                          </m:f>
                        </m:e>
                      </m:d>
                      <m:r>
                        <a:rPr lang="pt-BR" sz="2000" b="0" i="1">
                          <a:latin typeface="Cambria Math" panose="02040503050406030204" pitchFamily="18" charset="0"/>
                        </a:rPr>
                        <m:t> ∙273,15 </m:t>
                      </m:r>
                      <m:d>
                        <m:dPr>
                          <m:ctrlPr>
                            <a:rPr lang="pt-BR" sz="2000" b="0" i="1">
                              <a:latin typeface="Cambria Math" panose="02040503050406030204" pitchFamily="18" charset="0"/>
                            </a:rPr>
                          </m:ctrlPr>
                        </m:dPr>
                        <m:e>
                          <m:r>
                            <a:rPr lang="pt-BR" sz="2000" b="0" i="1">
                              <a:latin typeface="Cambria Math" panose="02040503050406030204" pitchFamily="18" charset="0"/>
                            </a:rPr>
                            <m:t>𝐾</m:t>
                          </m:r>
                        </m:e>
                      </m:d>
                      <m:r>
                        <a:rPr lang="pt-BR" sz="2000" b="0" i="1">
                          <a:latin typeface="Cambria Math" panose="02040503050406030204" pitchFamily="18" charset="0"/>
                        </a:rPr>
                        <m:t>+</m:t>
                      </m:r>
                      <m:r>
                        <a:rPr lang="pt-BR" sz="2000" b="0" i="1">
                          <a:latin typeface="Cambria Math" panose="02040503050406030204" pitchFamily="18" charset="0"/>
                        </a:rPr>
                        <m:t>𝑇</m:t>
                      </m:r>
                      <m:r>
                        <a:rPr lang="pt-BR" sz="2000" b="0" i="1">
                          <a:latin typeface="Cambria Math" panose="02040503050406030204" pitchFamily="18" charset="0"/>
                        </a:rPr>
                        <m:t> (°</m:t>
                      </m:r>
                      <m:r>
                        <a:rPr lang="pt-BR" sz="2000" b="0" i="1">
                          <a:latin typeface="Cambria Math" panose="02040503050406030204" pitchFamily="18" charset="0"/>
                        </a:rPr>
                        <m:t>𝐶</m:t>
                      </m:r>
                      <m:r>
                        <a:rPr lang="pt-BR" sz="2000" b="0" i="1">
                          <a:latin typeface="Cambria Math" panose="02040503050406030204" pitchFamily="18" charset="0"/>
                        </a:rPr>
                        <m:t>)</m:t>
                      </m:r>
                    </m:den>
                  </m:f>
                  <m:r>
                    <a:rPr lang="pt-BR" sz="2000" b="0" i="1">
                      <a:latin typeface="Cambria Math" panose="02040503050406030204" pitchFamily="18" charset="0"/>
                    </a:rPr>
                    <m:t> </m:t>
                  </m:r>
                  <m:r>
                    <a:rPr lang="pt-BR" sz="2000" i="1">
                      <a:latin typeface="Cambria Math" panose="02040503050406030204" pitchFamily="18" charset="0"/>
                    </a:rPr>
                    <m:t>∙</m:t>
                  </m:r>
                  <m:r>
                    <a:rPr lang="pt-BR" sz="2000" b="0" i="1">
                      <a:latin typeface="Cambria Math" panose="02040503050406030204" pitchFamily="18" charset="0"/>
                    </a:rPr>
                    <m:t>28,97 (</m:t>
                  </m:r>
                  <m:f>
                    <m:fPr>
                      <m:ctrlPr>
                        <a:rPr lang="pt-BR" sz="2000" b="0" i="1">
                          <a:latin typeface="Cambria Math" panose="02040503050406030204" pitchFamily="18" charset="0"/>
                        </a:rPr>
                      </m:ctrlPr>
                    </m:fPr>
                    <m:num>
                      <m:r>
                        <a:rPr lang="pt-BR" sz="2000" b="0" i="1">
                          <a:latin typeface="Cambria Math" panose="02040503050406030204" pitchFamily="18" charset="0"/>
                        </a:rPr>
                        <m:t>𝑘𝑔</m:t>
                      </m:r>
                    </m:num>
                    <m:den>
                      <m:r>
                        <a:rPr lang="pt-BR" sz="2000" b="0" i="1">
                          <a:latin typeface="Cambria Math" panose="02040503050406030204" pitchFamily="18" charset="0"/>
                        </a:rPr>
                        <m:t>𝑘𝑚𝑜𝑙</m:t>
                      </m:r>
                    </m:den>
                  </m:f>
                  <m:r>
                    <a:rPr lang="pt-BR" sz="2000" b="0" i="1">
                      <a:latin typeface="Cambria Math" panose="02040503050406030204" pitchFamily="18" charset="0"/>
                    </a:rPr>
                    <m:t>)</m:t>
                  </m:r>
                </m:oMath>
              </a14:m>
              <a:r>
                <a:rPr lang="pt-BR" sz="2000"/>
                <a:t> </a:t>
              </a:r>
            </a:p>
          </xdr:txBody>
        </xdr:sp>
      </mc:Choice>
      <mc:Fallback xmlns="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55722490-E234-428D-BF37-BE7767FFEF8D}"/>
                </a:ext>
              </a:extLst>
            </xdr:cNvPr>
            <xdr:cNvSpPr txBox="1"/>
          </xdr:nvSpPr>
          <xdr:spPr>
            <a:xfrm>
              <a:off x="34770483" y="29722233"/>
              <a:ext cx="5055658" cy="677334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l-GR" sz="2000" i="0">
                  <a:latin typeface="Cambria Math" panose="02040503050406030204" pitchFamily="18" charset="0"/>
                </a:rPr>
                <a:t>ρ</a:t>
              </a:r>
              <a:r>
                <a:rPr lang="pt-BR" sz="2000"/>
                <a:t> = </a:t>
              </a:r>
              <a:r>
                <a:rPr lang="pt-BR" sz="2000" i="0">
                  <a:latin typeface="Cambria Math" panose="02040503050406030204" pitchFamily="18" charset="0"/>
                </a:rPr>
                <a:t>(</a:t>
              </a:r>
              <a:r>
                <a:rPr lang="pt-BR" sz="2000" b="0" i="0">
                  <a:latin typeface="Cambria Math" panose="02040503050406030204" pitchFamily="18" charset="0"/>
                </a:rPr>
                <a:t>𝑝𝑎𝑡𝑚 (𝐾𝑃𝑎))/(8,314 (𝐾𝐽/𝐾𝑚𝑜𝑙𝐾)  ∙273,15 (𝐾)+𝑇 (°𝐶))  </a:t>
              </a:r>
              <a:r>
                <a:rPr lang="pt-BR" sz="2000" i="0">
                  <a:latin typeface="Cambria Math" panose="02040503050406030204" pitchFamily="18" charset="0"/>
                </a:rPr>
                <a:t>∙</a:t>
              </a:r>
              <a:r>
                <a:rPr lang="pt-BR" sz="2000" b="0" i="0">
                  <a:latin typeface="Cambria Math" panose="02040503050406030204" pitchFamily="18" charset="0"/>
                </a:rPr>
                <a:t>28,97 (𝑘𝑔/𝑘𝑚𝑜𝑙)</a:t>
              </a:r>
              <a:r>
                <a:rPr lang="pt-BR" sz="2000"/>
                <a:t> </a:t>
              </a:r>
            </a:p>
          </xdr:txBody>
        </xdr:sp>
      </mc:Fallback>
    </mc:AlternateContent>
    <xdr:clientData/>
  </xdr:twoCellAnchor>
  <xdr:twoCellAnchor>
    <xdr:from>
      <xdr:col>41</xdr:col>
      <xdr:colOff>10583</xdr:colOff>
      <xdr:row>206</xdr:row>
      <xdr:rowOff>158750</xdr:rowOff>
    </xdr:from>
    <xdr:to>
      <xdr:col>48</xdr:col>
      <xdr:colOff>48683</xdr:colOff>
      <xdr:row>210</xdr:row>
      <xdr:rowOff>139699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00000000-0008-0000-0400-00000C000000}"/>
                </a:ext>
              </a:extLst>
            </xdr:cNvPr>
            <xdr:cNvSpPr txBox="1"/>
          </xdr:nvSpPr>
          <xdr:spPr>
            <a:xfrm>
              <a:off x="35167358" y="31562675"/>
              <a:ext cx="4305300" cy="742949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pt-BR" sz="2500" b="0" baseline="0"/>
                <a:t>De1. </a:t>
              </a:r>
              <a14:m>
                <m:oMath xmlns:m="http://schemas.openxmlformats.org/officeDocument/2006/math">
                  <m:r>
                    <a:rPr lang="pt-BR" sz="2500" b="0" i="1">
                      <a:latin typeface="Cambria Math" panose="02040503050406030204" pitchFamily="18" charset="0"/>
                    </a:rPr>
                    <m:t>=</m:t>
                  </m:r>
                  <m:f>
                    <m:fPr>
                      <m:ctrlPr>
                        <a:rPr lang="pt-BR" sz="2500" b="0" i="1">
                          <a:latin typeface="Cambria Math" panose="02040503050406030204" pitchFamily="18" charset="0"/>
                        </a:rPr>
                      </m:ctrlPr>
                    </m:fPr>
                    <m:num>
                      <m:r>
                        <a:rPr lang="pt-BR" sz="2500" b="0" i="1">
                          <a:latin typeface="Cambria Math" panose="02040503050406030204" pitchFamily="18" charset="0"/>
                        </a:rPr>
                        <m:t>1,30 ∙</m:t>
                      </m:r>
                      <m:sSup>
                        <m:sSupPr>
                          <m:ctrlPr>
                            <a:rPr lang="pt-BR" sz="2500" b="0" i="1">
                              <a:latin typeface="Cambria Math" panose="02040503050406030204" pitchFamily="18" charset="0"/>
                            </a:rPr>
                          </m:ctrlPr>
                        </m:sSupPr>
                        <m:e>
                          <m:r>
                            <a:rPr lang="pt-BR" sz="2500" b="0" i="1">
                              <a:latin typeface="Cambria Math" panose="02040503050406030204" pitchFamily="18" charset="0"/>
                            </a:rPr>
                            <m:t>(</m:t>
                          </m:r>
                          <m:r>
                            <a:rPr lang="pt-BR" sz="2500" b="0" i="1">
                              <a:latin typeface="Cambria Math" panose="02040503050406030204" pitchFamily="18" charset="0"/>
                            </a:rPr>
                            <m:t>𝑎𝑙𝑡𝑢𝑟𝑎</m:t>
                          </m:r>
                          <m:r>
                            <a:rPr lang="pt-BR" sz="2500" b="0" i="1">
                              <a:latin typeface="Cambria Math" panose="02040503050406030204" pitchFamily="18" charset="0"/>
                            </a:rPr>
                            <m:t> ∙</m:t>
                          </m:r>
                          <m:r>
                            <a:rPr lang="pt-BR" sz="2500" b="0" i="1">
                              <a:latin typeface="Cambria Math" panose="02040503050406030204" pitchFamily="18" charset="0"/>
                              <a:ea typeface="Cambria Math" panose="02040503050406030204" pitchFamily="18" charset="0"/>
                            </a:rPr>
                            <m:t>𝑙𝑎𝑟𝑔𝑢𝑟𝑎</m:t>
                          </m:r>
                          <m:r>
                            <a:rPr lang="pt-BR" sz="2500" b="0" i="1">
                              <a:latin typeface="Cambria Math" panose="02040503050406030204" pitchFamily="18" charset="0"/>
                              <a:ea typeface="Cambria Math" panose="02040503050406030204" pitchFamily="18" charset="0"/>
                            </a:rPr>
                            <m:t>)</m:t>
                          </m:r>
                        </m:e>
                        <m:sup>
                          <m:r>
                            <a:rPr lang="pt-BR" sz="2500" b="0" i="1">
                              <a:latin typeface="Cambria Math" panose="02040503050406030204" pitchFamily="18" charset="0"/>
                            </a:rPr>
                            <m:t>0,625</m:t>
                          </m:r>
                        </m:sup>
                      </m:sSup>
                      <m:r>
                        <a:rPr lang="pt-BR" sz="2500" b="0" i="1">
                          <a:latin typeface="Cambria Math" panose="02040503050406030204" pitchFamily="18" charset="0"/>
                        </a:rPr>
                        <m:t> </m:t>
                      </m:r>
                    </m:num>
                    <m:den>
                      <m:sSup>
                        <m:sSupPr>
                          <m:ctrlPr>
                            <a:rPr lang="pt-BR" sz="2500" b="0" i="1">
                              <a:latin typeface="Cambria Math" panose="02040503050406030204" pitchFamily="18" charset="0"/>
                            </a:rPr>
                          </m:ctrlPr>
                        </m:sSupPr>
                        <m:e>
                          <m:r>
                            <a:rPr lang="pt-BR" sz="2500" b="0" i="1">
                              <a:latin typeface="Cambria Math" panose="02040503050406030204" pitchFamily="18" charset="0"/>
                            </a:rPr>
                            <m:t>(</m:t>
                          </m:r>
                          <m:r>
                            <a:rPr lang="pt-BR" sz="2500" b="0" i="1">
                              <a:latin typeface="Cambria Math" panose="02040503050406030204" pitchFamily="18" charset="0"/>
                            </a:rPr>
                            <m:t>𝑎𝑙𝑡𝑢𝑟𝑎</m:t>
                          </m:r>
                          <m:r>
                            <a:rPr lang="pt-BR" sz="2500" b="0" i="1">
                              <a:latin typeface="Cambria Math" panose="02040503050406030204" pitchFamily="18" charset="0"/>
                            </a:rPr>
                            <m:t>+ </m:t>
                          </m:r>
                          <m:r>
                            <a:rPr lang="pt-BR" sz="2500" b="0" i="1">
                              <a:latin typeface="Cambria Math" panose="02040503050406030204" pitchFamily="18" charset="0"/>
                              <a:ea typeface="Cambria Math" panose="02040503050406030204" pitchFamily="18" charset="0"/>
                            </a:rPr>
                            <m:t>𝑙𝑎𝑟𝑔𝑢𝑟𝑎</m:t>
                          </m:r>
                          <m:r>
                            <a:rPr lang="pt-BR" sz="2500" b="0" i="1">
                              <a:latin typeface="Cambria Math" panose="02040503050406030204" pitchFamily="18" charset="0"/>
                              <a:ea typeface="Cambria Math" panose="02040503050406030204" pitchFamily="18" charset="0"/>
                            </a:rPr>
                            <m:t>)</m:t>
                          </m:r>
                        </m:e>
                        <m:sup>
                          <m:r>
                            <a:rPr lang="pt-BR" sz="2500" b="0" i="1">
                              <a:latin typeface="Cambria Math" panose="02040503050406030204" pitchFamily="18" charset="0"/>
                            </a:rPr>
                            <m:t>0,25</m:t>
                          </m:r>
                        </m:sup>
                      </m:sSup>
                      <m:r>
                        <a:rPr lang="pt-BR" sz="2500" b="0" i="1">
                          <a:latin typeface="Cambria Math" panose="02040503050406030204" pitchFamily="18" charset="0"/>
                        </a:rPr>
                        <m:t> </m:t>
                      </m:r>
                    </m:den>
                  </m:f>
                </m:oMath>
              </a14:m>
              <a:endParaRPr lang="pt-BR" sz="2500"/>
            </a:p>
          </xdr:txBody>
        </xdr:sp>
      </mc:Choice>
      <mc:Fallback xmlns="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A06C335B-7430-4358-A7FE-084A52D57E2C}"/>
                </a:ext>
              </a:extLst>
            </xdr:cNvPr>
            <xdr:cNvSpPr txBox="1"/>
          </xdr:nvSpPr>
          <xdr:spPr>
            <a:xfrm>
              <a:off x="35167358" y="31562675"/>
              <a:ext cx="4305300" cy="742949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pt-BR" sz="2500" b="0" baseline="0"/>
                <a:t>De1. </a:t>
              </a:r>
              <a:r>
                <a:rPr lang="pt-BR" sz="2500" b="0" i="0">
                  <a:latin typeface="Cambria Math" panose="02040503050406030204" pitchFamily="18" charset="0"/>
                </a:rPr>
                <a:t>=(1,30 ∙〖(𝑎𝑙𝑡𝑢𝑟𝑎 ∙</a:t>
              </a:r>
              <a:r>
                <a:rPr lang="pt-BR" sz="25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𝑙𝑎𝑟𝑔𝑢𝑟𝑎)〗^</a:t>
              </a:r>
              <a:r>
                <a:rPr lang="pt-BR" sz="2500" b="0" i="0">
                  <a:latin typeface="Cambria Math" panose="02040503050406030204" pitchFamily="18" charset="0"/>
                </a:rPr>
                <a:t>0,625  )/(〖(𝑎𝑙𝑡𝑢𝑟𝑎+ </a:t>
              </a:r>
              <a:r>
                <a:rPr lang="pt-BR" sz="25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𝑙𝑎𝑟𝑔𝑢𝑟𝑎)〗^</a:t>
              </a:r>
              <a:r>
                <a:rPr lang="pt-BR" sz="2500" b="0" i="0">
                  <a:latin typeface="Cambria Math" panose="02040503050406030204" pitchFamily="18" charset="0"/>
                </a:rPr>
                <a:t>0,25  )</a:t>
              </a:r>
              <a:endParaRPr lang="pt-BR" sz="2500"/>
            </a:p>
          </xdr:txBody>
        </xdr:sp>
      </mc:Fallback>
    </mc:AlternateContent>
    <xdr:clientData/>
  </xdr:twoCellAnchor>
  <xdr:twoCellAnchor editAs="oneCell">
    <xdr:from>
      <xdr:col>49</xdr:col>
      <xdr:colOff>238124</xdr:colOff>
      <xdr:row>125</xdr:row>
      <xdr:rowOff>50025</xdr:rowOff>
    </xdr:from>
    <xdr:to>
      <xdr:col>62</xdr:col>
      <xdr:colOff>397193</xdr:colOff>
      <xdr:row>165</xdr:row>
      <xdr:rowOff>55339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219437" y="28124963"/>
          <a:ext cx="8060532" cy="76805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392906</xdr:colOff>
      <xdr:row>166</xdr:row>
      <xdr:rowOff>113275</xdr:rowOff>
    </xdr:from>
    <xdr:to>
      <xdr:col>62</xdr:col>
      <xdr:colOff>246698</xdr:colOff>
      <xdr:row>178</xdr:row>
      <xdr:rowOff>173832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374219" y="36046338"/>
          <a:ext cx="7762875" cy="23584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202407</xdr:colOff>
      <xdr:row>97</xdr:row>
      <xdr:rowOff>83345</xdr:rowOff>
    </xdr:from>
    <xdr:to>
      <xdr:col>77</xdr:col>
      <xdr:colOff>133826</xdr:colOff>
      <xdr:row>122</xdr:row>
      <xdr:rowOff>56199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790938" y="22812376"/>
          <a:ext cx="16318706" cy="47505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0</xdr:row>
      <xdr:rowOff>66675</xdr:rowOff>
    </xdr:from>
    <xdr:to>
      <xdr:col>0</xdr:col>
      <xdr:colOff>2269346</xdr:colOff>
      <xdr:row>7</xdr:row>
      <xdr:rowOff>91856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25" y="66675"/>
          <a:ext cx="2111231" cy="139487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59267</xdr:colOff>
      <xdr:row>0</xdr:row>
      <xdr:rowOff>67733</xdr:rowOff>
    </xdr:from>
    <xdr:to>
      <xdr:col>1</xdr:col>
      <xdr:colOff>1527031</xdr:colOff>
      <xdr:row>7</xdr:row>
      <xdr:rowOff>23276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267" y="67733"/>
          <a:ext cx="2111231" cy="139487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99060</xdr:colOff>
          <xdr:row>4</xdr:row>
          <xdr:rowOff>60960</xdr:rowOff>
        </xdr:from>
        <xdr:to>
          <xdr:col>0</xdr:col>
          <xdr:colOff>1524000</xdr:colOff>
          <xdr:row>4</xdr:row>
          <xdr:rowOff>419100</xdr:rowOff>
        </xdr:to>
        <xdr:sp macro="" textlink="">
          <xdr:nvSpPr>
            <xdr:cNvPr id="81921" name="Button 1" hidden="1">
              <a:extLst>
                <a:ext uri="{63B3BB69-23CF-44E3-9099-C40C66FF867C}">
                  <a14:compatExt spid="_x0000_s81921"/>
                </a:ext>
                <a:ext uri="{FF2B5EF4-FFF2-40B4-BE49-F238E27FC236}">
                  <a16:creationId xmlns:a16="http://schemas.microsoft.com/office/drawing/2014/main" id="{00000000-0008-0000-0500-0000014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CADASTRAR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106680</xdr:colOff>
          <xdr:row>9</xdr:row>
          <xdr:rowOff>30480</xdr:rowOff>
        </xdr:from>
        <xdr:to>
          <xdr:col>0</xdr:col>
          <xdr:colOff>1531620</xdr:colOff>
          <xdr:row>9</xdr:row>
          <xdr:rowOff>403860</xdr:rowOff>
        </xdr:to>
        <xdr:sp macro="" textlink="">
          <xdr:nvSpPr>
            <xdr:cNvPr id="81922" name="Button 2" hidden="1">
              <a:extLst>
                <a:ext uri="{63B3BB69-23CF-44E3-9099-C40C66FF867C}">
                  <a14:compatExt spid="_x0000_s81922"/>
                </a:ext>
                <a:ext uri="{FF2B5EF4-FFF2-40B4-BE49-F238E27FC236}">
                  <a16:creationId xmlns:a16="http://schemas.microsoft.com/office/drawing/2014/main" id="{00000000-0008-0000-0500-0000024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CADASTRAR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114300</xdr:colOff>
          <xdr:row>14</xdr:row>
          <xdr:rowOff>38100</xdr:rowOff>
        </xdr:from>
        <xdr:to>
          <xdr:col>0</xdr:col>
          <xdr:colOff>1554480</xdr:colOff>
          <xdr:row>14</xdr:row>
          <xdr:rowOff>419100</xdr:rowOff>
        </xdr:to>
        <xdr:sp macro="" textlink="">
          <xdr:nvSpPr>
            <xdr:cNvPr id="81923" name="Button 3" hidden="1">
              <a:extLst>
                <a:ext uri="{63B3BB69-23CF-44E3-9099-C40C66FF867C}">
                  <a14:compatExt spid="_x0000_s81923"/>
                </a:ext>
                <a:ext uri="{FF2B5EF4-FFF2-40B4-BE49-F238E27FC236}">
                  <a16:creationId xmlns:a16="http://schemas.microsoft.com/office/drawing/2014/main" id="{00000000-0008-0000-0500-0000034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CADASTRAR</a:t>
              </a:r>
            </a:p>
          </xdr:txBody>
        </xdr:sp>
        <xdr:clientData fPrintsWithSheet="0"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127000</xdr:colOff>
      <xdr:row>1</xdr:row>
      <xdr:rowOff>16933</xdr:rowOff>
    </xdr:from>
    <xdr:to>
      <xdr:col>54</xdr:col>
      <xdr:colOff>27083</xdr:colOff>
      <xdr:row>14</xdr:row>
      <xdr:rowOff>32173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40EB1E2-B5EE-8BFF-037E-7EDA5430FC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387000" y="203200"/>
          <a:ext cx="12093988" cy="243861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381000</xdr:colOff>
      <xdr:row>0</xdr:row>
      <xdr:rowOff>89483</xdr:rowOff>
    </xdr:from>
    <xdr:to>
      <xdr:col>2</xdr:col>
      <xdr:colOff>1198245</xdr:colOff>
      <xdr:row>7</xdr:row>
      <xdr:rowOff>93760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0" y="89483"/>
          <a:ext cx="2047875" cy="135301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28574</xdr:colOff>
      <xdr:row>60</xdr:row>
      <xdr:rowOff>111042</xdr:rowOff>
    </xdr:from>
    <xdr:to>
      <xdr:col>30</xdr:col>
      <xdr:colOff>84571</xdr:colOff>
      <xdr:row>91</xdr:row>
      <xdr:rowOff>26213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963774" y="11541042"/>
          <a:ext cx="8628497" cy="5820671"/>
        </a:xfrm>
        <a:prstGeom prst="rect">
          <a:avLst/>
        </a:prstGeom>
      </xdr:spPr>
    </xdr:pic>
    <xdr:clientData/>
  </xdr:twoCellAnchor>
  <xdr:twoCellAnchor editAs="oneCell">
    <xdr:from>
      <xdr:col>18</xdr:col>
      <xdr:colOff>24310</xdr:colOff>
      <xdr:row>91</xdr:row>
      <xdr:rowOff>47625</xdr:rowOff>
    </xdr:from>
    <xdr:to>
      <xdr:col>29</xdr:col>
      <xdr:colOff>532245</xdr:colOff>
      <xdr:row>111</xdr:row>
      <xdr:rowOff>171450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59510" y="17383125"/>
          <a:ext cx="8470835" cy="3933825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533400</xdr:colOff>
      <xdr:row>0</xdr:row>
      <xdr:rowOff>60960</xdr:rowOff>
    </xdr:from>
    <xdr:to>
      <xdr:col>3</xdr:col>
      <xdr:colOff>137651</xdr:colOff>
      <xdr:row>7</xdr:row>
      <xdr:rowOff>122336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00" y="60960"/>
          <a:ext cx="2111231" cy="139487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58</xdr:row>
      <xdr:rowOff>142875</xdr:rowOff>
    </xdr:from>
    <xdr:ext cx="184731" cy="264560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SpPr txBox="1"/>
      </xdr:nvSpPr>
      <xdr:spPr>
        <a:xfrm>
          <a:off x="10572750" y="1285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6</xdr:col>
      <xdr:colOff>0</xdr:colOff>
      <xdr:row>69</xdr:row>
      <xdr:rowOff>0</xdr:rowOff>
    </xdr:from>
    <xdr:ext cx="184731" cy="264560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 txBox="1"/>
      </xdr:nvSpPr>
      <xdr:spPr>
        <a:xfrm>
          <a:off x="10572750" y="1285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pt-BR" sz="1100"/>
        </a:p>
      </xdr:txBody>
    </xdr: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98426</xdr:colOff>
      <xdr:row>0</xdr:row>
      <xdr:rowOff>45509</xdr:rowOff>
    </xdr:from>
    <xdr:to>
      <xdr:col>0</xdr:col>
      <xdr:colOff>1971676</xdr:colOff>
      <xdr:row>6</xdr:row>
      <xdr:rowOff>163347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426" y="45509"/>
          <a:ext cx="1873250" cy="131798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269876</xdr:colOff>
      <xdr:row>0</xdr:row>
      <xdr:rowOff>74083</xdr:rowOff>
    </xdr:from>
    <xdr:to>
      <xdr:col>0</xdr:col>
      <xdr:colOff>2079626</xdr:colOff>
      <xdr:row>6</xdr:row>
      <xdr:rowOff>112183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876" y="74083"/>
          <a:ext cx="1809750" cy="127635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169333</xdr:colOff>
      <xdr:row>0</xdr:row>
      <xdr:rowOff>67733</xdr:rowOff>
    </xdr:from>
    <xdr:to>
      <xdr:col>0</xdr:col>
      <xdr:colOff>2280564</xdr:colOff>
      <xdr:row>7</xdr:row>
      <xdr:rowOff>57142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333" y="67733"/>
          <a:ext cx="2111231" cy="1394876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theus%20Pacheco/Desktop/HVAC/Planilha%20de%20Gest&#227;o%20de%20Projetos%20(MODELO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Planilha%20de%20Projeto%20-%20MODELO%20EM%20DESENVOLVIMENTO%20(Back-up%207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role"/>
      <sheetName val="Auxiliar"/>
      <sheetName val="Folha de Rosto"/>
      <sheetName val="Cálculos"/>
      <sheetName val="Honorários"/>
      <sheetName val="Carga Térmica"/>
      <sheetName val="Rede de Dutos (AC)"/>
      <sheetName val="Rede de Dutos (Exaustão)"/>
      <sheetName val="Consumo Elétrico"/>
      <sheetName val="Checklist"/>
      <sheetName val="Planilha de Gestão de Projetos "/>
    </sheetNames>
    <sheetDataSet>
      <sheetData sheetId="0" refreshError="1"/>
      <sheetData sheetId="1">
        <row r="2">
          <cell r="K2" t="str">
            <v>Comércio varejista</v>
          </cell>
          <cell r="L2" t="str">
            <v>Edifícios de escritórios</v>
          </cell>
          <cell r="M2" t="str">
            <v>Bancos</v>
          </cell>
          <cell r="N2" t="str">
            <v>Edifícios públicos</v>
          </cell>
          <cell r="O2" t="str">
            <v>Esportes</v>
          </cell>
          <cell r="P2" t="str">
            <v>Estabelecimentos de ensino</v>
          </cell>
          <cell r="Q2" t="str">
            <v>Hotéis</v>
          </cell>
          <cell r="R2" t="str">
            <v>Restaurantes, bares, diversão</v>
          </cell>
          <cell r="S2" t="str">
            <v>Locais diversos</v>
          </cell>
        </row>
        <row r="3">
          <cell r="K3" t="str">
            <v>Supermercado de alto padrão</v>
          </cell>
          <cell r="L3" t="str">
            <v>Hall do edifício, recepção</v>
          </cell>
          <cell r="M3" t="str">
            <v>Bancos (área de público)</v>
          </cell>
          <cell r="N3" t="str">
            <v>Aeroporto - Saguão</v>
          </cell>
          <cell r="O3" t="str">
            <v>Boliche - Área de público</v>
          </cell>
          <cell r="P3" t="str">
            <v>Sala de aula</v>
          </cell>
          <cell r="Q3" t="str">
            <v>Apartamentode hóspedes</v>
          </cell>
          <cell r="R3" t="str">
            <v>Restaurante - Salão de refeições</v>
          </cell>
          <cell r="S3" t="str">
            <v>Câmara escura</v>
          </cell>
        </row>
        <row r="4">
          <cell r="K4" t="str">
            <v>Supermercado de padrão médio</v>
          </cell>
          <cell r="L4" t="str">
            <v>Escritórios de diretoria</v>
          </cell>
          <cell r="M4" t="str">
            <v>Caixa forte</v>
          </cell>
          <cell r="N4" t="str">
            <v>Aeroporto - Sala de Embarque</v>
          </cell>
          <cell r="O4" t="str">
            <v>Ginásio coberto (área de público)</v>
          </cell>
          <cell r="P4" t="str">
            <v>Laboratório de informática</v>
          </cell>
          <cell r="Q4" t="str">
            <v>Banheiro privativo</v>
          </cell>
          <cell r="R4" t="str">
            <v>Bar, salão de coquetel</v>
          </cell>
          <cell r="S4" t="str">
            <v>Copa</v>
          </cell>
        </row>
        <row r="5">
          <cell r="K5" t="str">
            <v>Supermercado popular</v>
          </cell>
          <cell r="L5" t="str">
            <v>Escritório com baixa densidade</v>
          </cell>
          <cell r="M5"/>
          <cell r="N5" t="str">
            <v>Biblioteca</v>
          </cell>
          <cell r="O5" t="str">
            <v>Ginásio coberto (quadra)</v>
          </cell>
          <cell r="P5" t="str">
            <v>Laboratório de ciências</v>
          </cell>
          <cell r="Q5" t="str">
            <v>Lobby, sala de estar</v>
          </cell>
          <cell r="R5" t="str">
            <v>Cafeteria, lanchonete, refeitório</v>
          </cell>
          <cell r="S5" t="str">
            <v>Sala exclusiva para fumar</v>
          </cell>
        </row>
        <row r="6">
          <cell r="K6" t="str">
            <v>Mall de centros comerciais</v>
          </cell>
          <cell r="L6" t="str">
            <v>Escritório com média densidade</v>
          </cell>
          <cell r="M6"/>
          <cell r="N6" t="str">
            <v>Museu, galeria de arte</v>
          </cell>
          <cell r="O6" t="str">
            <v>Piscina coberta</v>
          </cell>
          <cell r="P6"/>
          <cell r="Q6" t="str">
            <v>Sala de convenções</v>
          </cell>
          <cell r="R6" t="str">
            <v>Salão de jogos</v>
          </cell>
          <cell r="S6" t="str">
            <v>Sanitários públicos</v>
          </cell>
        </row>
        <row r="7">
          <cell r="K7" t="str">
            <v>Lojas</v>
          </cell>
          <cell r="L7" t="str">
            <v>Escritório com alta densidade</v>
          </cell>
          <cell r="M7"/>
          <cell r="N7" t="str">
            <v>Local de culto</v>
          </cell>
          <cell r="O7" t="str">
            <v>"Fitness center" - Aeróbica</v>
          </cell>
          <cell r="P7"/>
          <cell r="Q7" t="str">
            <v>Dormitório coletivo</v>
          </cell>
          <cell r="R7" t="str">
            <v>Discoteca, danceteria</v>
          </cell>
          <cell r="S7" t="str">
            <v>Vestiários coletivos</v>
          </cell>
        </row>
        <row r="8">
          <cell r="K8" t="str">
            <v>Salão de beleza e/ou barbearia</v>
          </cell>
          <cell r="L8" t="str">
            <v>Sala de reunião</v>
          </cell>
          <cell r="M8"/>
          <cell r="N8" t="str">
            <v>Legislativo - Plenário</v>
          </cell>
          <cell r="O8" t="str">
            <v>"Fitness center" - Aparelhos</v>
          </cell>
          <cell r="P8"/>
          <cell r="Q8"/>
          <cell r="R8" t="str">
            <v>Jogos eletrônicos</v>
          </cell>
          <cell r="S8"/>
        </row>
        <row r="9">
          <cell r="K9" t="str">
            <v>Animais de estimação</v>
          </cell>
          <cell r="L9" t="str">
            <v>CPD (exceto impressoras)</v>
          </cell>
          <cell r="M9"/>
          <cell r="N9" t="str">
            <v>Teatro, cinema, auditório - Lobby</v>
          </cell>
          <cell r="O9"/>
          <cell r="P9"/>
          <cell r="Q9"/>
          <cell r="R9"/>
          <cell r="S9"/>
        </row>
        <row r="10">
          <cell r="K10" t="str">
            <v>Lavanderia "self-service"</v>
          </cell>
          <cell r="L10" t="str">
            <v>Sala impressoras, copiadoras</v>
          </cell>
          <cell r="M10"/>
          <cell r="N10" t="str">
            <v>Teatro, cinema, auditório - Platéia</v>
          </cell>
          <cell r="O10"/>
          <cell r="P10"/>
          <cell r="Q10"/>
          <cell r="R10"/>
          <cell r="S10"/>
        </row>
        <row r="11">
          <cell r="K11"/>
          <cell r="L11" t="str">
            <v>Sala digitação</v>
          </cell>
          <cell r="M11"/>
          <cell r="N11" t="str">
            <v>Teatro, cinema, auditório - Palco</v>
          </cell>
          <cell r="O11"/>
          <cell r="P11"/>
          <cell r="Q11"/>
          <cell r="R11"/>
          <cell r="S11"/>
        </row>
        <row r="12">
          <cell r="K12"/>
          <cell r="L12" t="str">
            <v>Call center</v>
          </cell>
          <cell r="M12"/>
          <cell r="N12" t="str">
            <v>Tribunal - Sala de audiências</v>
          </cell>
          <cell r="O12"/>
          <cell r="P12"/>
          <cell r="Q12"/>
          <cell r="R12"/>
          <cell r="S12"/>
        </row>
        <row r="14">
          <cell r="K14">
            <v>8</v>
          </cell>
          <cell r="L14">
            <v>10</v>
          </cell>
          <cell r="M14">
            <v>2</v>
          </cell>
          <cell r="N14">
            <v>10</v>
          </cell>
          <cell r="O14">
            <v>6</v>
          </cell>
          <cell r="P14">
            <v>3</v>
          </cell>
          <cell r="Q14">
            <v>5</v>
          </cell>
          <cell r="R14">
            <v>6</v>
          </cell>
          <cell r="S14">
            <v>5</v>
          </cell>
        </row>
      </sheetData>
      <sheetData sheetId="2">
        <row r="1">
          <cell r="B1" t="str">
            <v>Ferrous</v>
          </cell>
        </row>
      </sheetData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lha de Dados"/>
      <sheetName val="Planilha1"/>
      <sheetName val="Proposta Técnica"/>
      <sheetName val="Checklist"/>
      <sheetName val="Ata de Projeto"/>
      <sheetName val="CARGAS"/>
      <sheetName val="Rede de Dutos"/>
      <sheetName val="Planilha de Acessórios Difusão"/>
      <sheetName val="Planilha de Custos - 1485AA-02"/>
      <sheetName val="Cronograma"/>
      <sheetName val="Cronograma 2"/>
      <sheetName val="Lista de Materiais"/>
      <sheetName val="AUX1 - Pressurização OK"/>
      <sheetName val="AUX2 - Termodinâmica"/>
      <sheetName val="AUX3 - Prop. dos Materiais"/>
      <sheetName val="AUX4 - Dados Ambientais"/>
    </sheetNames>
    <sheetDataSet>
      <sheetData sheetId="0">
        <row r="3">
          <cell r="I3" t="str">
            <v>Vale Dourado</v>
          </cell>
        </row>
      </sheetData>
      <sheetData sheetId="1" refreshError="1"/>
      <sheetData sheetId="2" refreshError="1"/>
      <sheetData sheetId="3" refreshError="1"/>
      <sheetData sheetId="4" refreshError="1"/>
      <sheetData sheetId="5">
        <row r="14">
          <cell r="N14">
            <v>14.650596932400001</v>
          </cell>
        </row>
        <row r="15">
          <cell r="N15" t="str">
            <v>-</v>
          </cell>
        </row>
      </sheetData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Matheus Pacheco Herzeberg Gonçalves" id="{3DDF7E1F-8ED2-4DEA-A599-B7E3C433B582}" userId="1c48087fecbb8190" providerId="Windows Live"/>
</personList>
</file>

<file path=xl/richData/_rels/richValueRel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</richValueRel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R15" dT="2019-05-20T17:30:53.73" personId="{3DDF7E1F-8ED2-4DEA-A599-B7E3C433B582}" id="{0D2F2A4A-D1CC-4B2E-AF0B-F3F44A39FB9E}">
    <text>K médio = 1,5mmCA</text>
  </threadedComment>
  <threadedComment ref="R17" dT="2019-05-20T17:37:22.14" personId="{3DDF7E1F-8ED2-4DEA-A599-B7E3C433B582}" id="{A5EC8880-040C-4CE3-992B-6FEDE1F7EF6A}">
    <text>k médio curvado com veios = 0,25mmCA
k médio cotovelo = 0,85mmCA</text>
  </threadedComment>
  <threadedComment ref="R18" dT="2019-05-20T17:34:05.10" personId="{3DDF7E1F-8ED2-4DEA-A599-B7E3C433B582}" id="{33084FAD-F762-4DDC-974E-F5902D608C93}">
    <text>K médio curvado = 0,1mmCA
K médio cotovelo = 0,5mmCA</text>
  </threadedComment>
  <threadedComment ref="R20" dT="2019-05-20T17:30:36.56" personId="{3DDF7E1F-8ED2-4DEA-A599-B7E3C433B582}" id="{FF4853F3-A9E4-43A5-91F0-488C24CA2D56}">
    <text>K médio grelha simples = 1,2mmCA
k médio grelha simples com registro = 1,5mmCA</text>
  </threadedComment>
  <threadedComment ref="R23" dT="2019-05-20T17:39:54.84" personId="{3DDF7E1F-8ED2-4DEA-A599-B7E3C433B582}" id="{2DD8F50B-AAF3-4A7F-BFED-69600D343E94}">
    <text>k médio = 1,5mmCA</text>
  </threadedComment>
  <threadedComment ref="R25" dT="2019-05-20T17:43:20.04" personId="{3DDF7E1F-8ED2-4DEA-A599-B7E3C433B582}" id="{7FDB785E-E98B-446F-A652-E87C5B0EF7BB}">
    <text>Acrescentar 8 metros de comprimento equivalente nas três primeiras ramificações após a unidade e nas três primeiras conexões após ramificação.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L123" dT="2019-05-17T14:13:22.72" personId="{3DDF7E1F-8ED2-4DEA-A599-B7E3C433B582}" id="{C6123992-4EC5-4D72-9C35-B94D764024AE}">
    <text>Valor a ser passado para a IHM</text>
  </threadedComment>
  <threadedComment ref="J124" dT="2019-05-17T13:22:51.25" personId="{3DDF7E1F-8ED2-4DEA-A599-B7E3C433B582}" id="{2A289E30-9B21-4724-9A2D-63C4B4F2B22B}">
    <text>Lucro Líquido = Total de venda - Impostos - Preço de custo</text>
  </threadedComment>
  <threadedComment ref="K124" dT="2019-05-17T13:23:49.13" personId="{3DDF7E1F-8ED2-4DEA-A599-B7E3C433B582}" id="{28C55936-DD86-4755-AFA8-0C55D1542317}">
    <text>**Não Alterar** Lucro Líquido em % do Total de venda. Calculado automaticamente.</text>
  </threadedComment>
  <threadedComment ref="K125" dT="2019-05-17T13:24:04.30" personId="{3DDF7E1F-8ED2-4DEA-A599-B7E3C433B582}" id="{D658F0A4-2BBB-4D04-8D97-CB2FA32918B3}">
    <text>Impostos pagos pela empresa. 18%</text>
  </threadedComment>
  <threadedComment ref="K126" dT="2019-05-17T13:24:41.32" personId="{3DDF7E1F-8ED2-4DEA-A599-B7E3C433B582}" id="{DE329302-2551-4CB1-9B9F-09A0DB93830A}">
    <text>Fator k em %. Exemplo: Fator k = 1,35 = 35%</text>
  </threadedComment>
  <threadedComment ref="L126" dT="2019-05-17T14:13:35.72" personId="{3DDF7E1F-8ED2-4DEA-A599-B7E3C433B582}" id="{E237B183-011C-4CAC-AB11-E06F607B5118}">
    <text>Valor em caso de obra ESI</text>
  </threadedComment>
  <threadedComment ref="J129" dT="2019-05-17T13:22:51.25" personId="{3DDF7E1F-8ED2-4DEA-A599-B7E3C433B582}" id="{80663E15-4B8D-4A57-8C72-C0D3D19A9FA4}">
    <text>Lucro Líquido = Total de venda - Impostos - Preço de custo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B1" dT="2022-03-22T04:55:09.84" personId="{3DDF7E1F-8ED2-4DEA-A599-B7E3C433B582}" id="{9A0C0E01-D3DA-4E13-BFB5-07A22ECC24AE}">
    <text>Item 1</text>
  </threadedComment>
  <threadedComment ref="C1" dT="2022-03-22T04:55:17.48" personId="{3DDF7E1F-8ED2-4DEA-A599-B7E3C433B582}" id="{770F9529-CB22-4F77-B746-C24E056DB688}">
    <text>Item 2</text>
  </threadedComment>
  <threadedComment ref="E1" dT="2022-03-22T04:55:25.19" personId="{3DDF7E1F-8ED2-4DEA-A599-B7E3C433B582}" id="{AA3E261B-7E84-41CE-92A8-B68145391949}">
    <text>Item 3</text>
  </threadedComment>
  <threadedComment ref="F1" dT="2022-03-22T04:55:32.90" personId="{3DDF7E1F-8ED2-4DEA-A599-B7E3C433B582}" id="{8FAE7838-AF0F-4298-8C9D-FF69A595094D}">
    <text>Item 4</text>
  </threadedComment>
  <threadedComment ref="G1" dT="2022-03-22T04:55:39.03" personId="{3DDF7E1F-8ED2-4DEA-A599-B7E3C433B582}" id="{3320F068-81E7-40C9-8FBE-539DC90BBB36}">
    <text>Item 5</text>
  </threadedComment>
  <threadedComment ref="H1" dT="2022-03-22T04:55:49.13" personId="{3DDF7E1F-8ED2-4DEA-A599-B7E3C433B582}" id="{AE25C204-8832-423B-A39D-8E88A86ACB10}">
    <text>Item 6</text>
  </threadedComment>
  <threadedComment ref="I1" dT="2022-03-22T04:55:57.07" personId="{3DDF7E1F-8ED2-4DEA-A599-B7E3C433B582}" id="{29A214BC-DF8A-4330-B865-BEE9B3823431}">
    <text>Item 7</text>
  </threadedComment>
  <threadedComment ref="J1" dT="2022-03-22T04:56:06.55" personId="{3DDF7E1F-8ED2-4DEA-A599-B7E3C433B582}" id="{0E7E9F56-56C1-4137-854C-A00434600AEF}">
    <text>Item 8</text>
  </threadedComment>
  <threadedComment ref="K1" dT="2022-03-22T04:56:12.13" personId="{3DDF7E1F-8ED2-4DEA-A599-B7E3C433B582}" id="{1DB47F75-590E-43DB-AD0F-29F7AFF63B98}">
    <text>Item 9</text>
  </threadedComment>
  <threadedComment ref="L1" dT="2022-03-22T04:56:18.72" personId="{3DDF7E1F-8ED2-4DEA-A599-B7E3C433B582}" id="{BDC354D5-3D11-4F77-99C2-EF9DD3820AD7}">
    <text>Item 10</text>
  </threadedComment>
  <threadedComment ref="O1" dT="2022-03-22T05:38:10.06" personId="{3DDF7E1F-8ED2-4DEA-A599-B7E3C433B582}" id="{5B6E25C2-A71C-4BC2-A046-41FAF7FCD5C3}">
    <text>Custo Base</text>
  </threadedComment>
  <threadedComment ref="P1" dT="2022-03-22T05:38:03.73" personId="{3DDF7E1F-8ED2-4DEA-A599-B7E3C433B582}" id="{917ECA3A-6666-4A96-924D-C6119CAAE478}">
    <text>Automação Embarcada</text>
  </threadedComment>
  <threadedComment ref="Q1" dT="2022-03-22T05:37:52.10" personId="{3DDF7E1F-8ED2-4DEA-A599-B7E3C433B582}" id="{1F061300-3F02-46A4-97D2-A9BC38742D47}">
    <text>1 Damper Manual</text>
  </threadedComment>
  <threadedComment ref="R1" dT="2022-03-22T05:37:52.10" personId="{3DDF7E1F-8ED2-4DEA-A599-B7E3C433B582}" id="{822F9438-F51C-489B-9C51-A3D4220E2CE6}">
    <text>2 Dampers Manuais</text>
  </threadedComment>
  <threadedComment ref="S1" dT="2022-03-22T05:42:13.70" personId="{3DDF7E1F-8ED2-4DEA-A599-B7E3C433B582}" id="{225C7EAA-E75F-4682-830E-B492BBE259DA}">
    <text>1 Damper com atuador on/off</text>
  </threadedComment>
  <threadedComment ref="T1" dT="2022-03-22T05:43:53.37" personId="{3DDF7E1F-8ED2-4DEA-A599-B7E3C433B582}" id="{64827351-1942-47C9-B784-B3000966EBF4}">
    <text>2 dampers com atuadores on/off</text>
  </threadedComment>
  <threadedComment ref="U1" dT="2022-03-22T05:46:14.36" personId="{3DDF7E1F-8ED2-4DEA-A599-B7E3C433B582}" id="{4698BD48-FCCE-47E7-9961-6A818BC956B9}">
    <text>Ventilador Eletrônico</text>
  </threadedComment>
  <threadedComment ref="V1" dT="2022-03-22T05:50:55.73" personId="{3DDF7E1F-8ED2-4DEA-A599-B7E3C433B582}" id="{81321174-8C0A-42FE-9B43-F86DFB45D121}">
    <text>Controle de Condensação Proporcional</text>
  </threadedComment>
  <threadedComment ref="W1" dT="2022-03-22T05:50:55.73" personId="{3DDF7E1F-8ED2-4DEA-A599-B7E3C433B582}" id="{C107CE56-A13D-49FC-8954-D3533D7E8214}">
    <text>Controle de Condensação Proporcional</text>
  </threadedComment>
  <threadedComment ref="X1" dT="2022-03-22T15:24:52.93" personId="{3DDF7E1F-8ED2-4DEA-A599-B7E3C433B582}" id="{D1F61B7F-2381-4849-88E1-55BFE09089F3}">
    <text>Sensor de Filtro Sujo</text>
  </threadedComment>
  <threadedComment ref="Y1" dT="2022-03-22T15:26:40.17" personId="{3DDF7E1F-8ED2-4DEA-A599-B7E3C433B582}" id="{C3AA4116-374D-40F7-98DB-4F1231B85895}">
    <text>Resistência de Aquecimento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D57" dT="2022-03-24T04:00:56.79" personId="{3DDF7E1F-8ED2-4DEA-A599-B7E3C433B582}" id="{3A381993-8D7E-4C34-91CE-6915AAD46F4E}">
    <text>Preço não encontrado, valor estimado</text>
  </threadedComment>
  <threadedComment ref="D58" dT="2022-03-24T04:01:09.23" personId="{3DDF7E1F-8ED2-4DEA-A599-B7E3C433B582}" id="{8E543269-466B-410E-BABC-9FC13B9FA4BD}">
    <text>Preço não encontrado, valor estimado.</text>
  </threadedComment>
  <threadedComment ref="D61" dT="2022-03-24T04:01:45.80" personId="{3DDF7E1F-8ED2-4DEA-A599-B7E3C433B582}" id="{F9D2604F-792B-437E-A146-AE91504B3022}">
    <text>Preço não encontrado, valor estimado</text>
  </threadedComment>
  <threadedComment ref="D63" dT="2022-03-24T04:01:53.77" personId="{3DDF7E1F-8ED2-4DEA-A599-B7E3C433B582}" id="{A0F6512C-C81B-444C-B512-CD52E7B36523}">
    <text>Preço não encontrado, valor estimado</text>
  </threadedComment>
  <threadedComment ref="D69" dT="2022-03-22T17:16:44.80" personId="{3DDF7E1F-8ED2-4DEA-A599-B7E3C433B582}" id="{2FBEEC8A-98CD-495F-B939-22DFB174D8D6}">
    <text>Preço não encontrado, valor do 24.000</text>
  </threadedComment>
  <threadedComment ref="F69" dT="2022-03-22T17:17:07.30" personId="{3DDF7E1F-8ED2-4DEA-A599-B7E3C433B582}" id="{48A81A7D-813B-4EB3-8F83-B8B0A175AB24}">
    <text>Preço não encontrado, valor do 24.000</text>
  </threadedComment>
  <threadedComment ref="C71" dT="2022-03-24T04:00:10.89" personId="{3DDF7E1F-8ED2-4DEA-A599-B7E3C433B582}" id="{0ABAA109-18FD-4308-A12F-F241BC44C8E0}">
    <text>Preço não encontrado, valor estimado</text>
  </threadedComment>
  <threadedComment ref="C73" dT="2022-03-22T17:40:22.03" personId="{3DDF7E1F-8ED2-4DEA-A599-B7E3C433B582}" id="{C3B6F132-B021-44B3-9BDC-BE1CECF2A94B}">
    <text>Preço não encontrado, valor do 9.000</text>
  </threadedComment>
  <threadedComment ref="C76" dT="2022-03-22T17:40:44.26" personId="{3DDF7E1F-8ED2-4DEA-A599-B7E3C433B582}" id="{A020368A-96F0-4F5D-9C7A-F86DD026EB10}">
    <text>Preço não encontrado, valor do 21.000</text>
  </threadedComment>
  <threadedComment ref="E76" dT="2022-03-22T17:40:58.29" personId="{3DDF7E1F-8ED2-4DEA-A599-B7E3C433B582}" id="{846DF249-D2AE-498A-8DAB-A2455F442DCE}">
    <text>Preço não encontrado, valor do 21.000</text>
  </threadedComment>
  <threadedComment ref="A128" dT="2022-12-20T02:44:58.81" personId="{3DDF7E1F-8ED2-4DEA-A599-B7E3C433B582}" id="{C89BC0B2-3308-4752-8989-1603A7576B9B}">
    <text>Limit Load, pressão 40 mmCA, 15CV, 220V/380V, acionamento direto. 13/10/2022, Aeroville</text>
  </threadedComment>
  <threadedComment ref="A130" dT="2022-12-20T02:45:16.49" personId="{3DDF7E1F-8ED2-4DEA-A599-B7E3C433B582}" id="{96FFC34B-1840-4E21-93DF-23BD9953D042}">
    <text>Sicflux FH 250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21" Type="http://schemas.openxmlformats.org/officeDocument/2006/relationships/ctrlProp" Target="../ctrlProps/ctrlProp19.xml"/><Relationship Id="rId170" Type="http://schemas.openxmlformats.org/officeDocument/2006/relationships/ctrlProp" Target="../ctrlProps/ctrlProp168.xml"/><Relationship Id="rId268" Type="http://schemas.openxmlformats.org/officeDocument/2006/relationships/ctrlProp" Target="../ctrlProps/ctrlProp266.xml"/><Relationship Id="rId475" Type="http://schemas.openxmlformats.org/officeDocument/2006/relationships/ctrlProp" Target="../ctrlProps/ctrlProp473.xml"/><Relationship Id="rId682" Type="http://schemas.openxmlformats.org/officeDocument/2006/relationships/ctrlProp" Target="../ctrlProps/ctrlProp680.xml"/><Relationship Id="rId128" Type="http://schemas.openxmlformats.org/officeDocument/2006/relationships/ctrlProp" Target="../ctrlProps/ctrlProp126.xml"/><Relationship Id="rId335" Type="http://schemas.openxmlformats.org/officeDocument/2006/relationships/ctrlProp" Target="../ctrlProps/ctrlProp333.xml"/><Relationship Id="rId542" Type="http://schemas.openxmlformats.org/officeDocument/2006/relationships/ctrlProp" Target="../ctrlProps/ctrlProp540.xml"/><Relationship Id="rId987" Type="http://schemas.openxmlformats.org/officeDocument/2006/relationships/ctrlProp" Target="../ctrlProps/ctrlProp985.xml"/><Relationship Id="rId402" Type="http://schemas.openxmlformats.org/officeDocument/2006/relationships/ctrlProp" Target="../ctrlProps/ctrlProp400.xml"/><Relationship Id="rId847" Type="http://schemas.openxmlformats.org/officeDocument/2006/relationships/ctrlProp" Target="../ctrlProps/ctrlProp845.xml"/><Relationship Id="rId1032" Type="http://schemas.openxmlformats.org/officeDocument/2006/relationships/ctrlProp" Target="../ctrlProps/ctrlProp1030.xml"/><Relationship Id="rId707" Type="http://schemas.openxmlformats.org/officeDocument/2006/relationships/ctrlProp" Target="../ctrlProps/ctrlProp705.xml"/><Relationship Id="rId914" Type="http://schemas.openxmlformats.org/officeDocument/2006/relationships/ctrlProp" Target="../ctrlProps/ctrlProp912.xml"/><Relationship Id="rId43" Type="http://schemas.openxmlformats.org/officeDocument/2006/relationships/ctrlProp" Target="../ctrlProps/ctrlProp41.xml"/><Relationship Id="rId139" Type="http://schemas.openxmlformats.org/officeDocument/2006/relationships/ctrlProp" Target="../ctrlProps/ctrlProp137.xml"/><Relationship Id="rId346" Type="http://schemas.openxmlformats.org/officeDocument/2006/relationships/ctrlProp" Target="../ctrlProps/ctrlProp344.xml"/><Relationship Id="rId553" Type="http://schemas.openxmlformats.org/officeDocument/2006/relationships/ctrlProp" Target="../ctrlProps/ctrlProp551.xml"/><Relationship Id="rId760" Type="http://schemas.openxmlformats.org/officeDocument/2006/relationships/ctrlProp" Target="../ctrlProps/ctrlProp758.xml"/><Relationship Id="rId998" Type="http://schemas.openxmlformats.org/officeDocument/2006/relationships/ctrlProp" Target="../ctrlProps/ctrlProp996.xml"/><Relationship Id="rId192" Type="http://schemas.openxmlformats.org/officeDocument/2006/relationships/ctrlProp" Target="../ctrlProps/ctrlProp190.xml"/><Relationship Id="rId206" Type="http://schemas.openxmlformats.org/officeDocument/2006/relationships/ctrlProp" Target="../ctrlProps/ctrlProp204.xml"/><Relationship Id="rId413" Type="http://schemas.openxmlformats.org/officeDocument/2006/relationships/ctrlProp" Target="../ctrlProps/ctrlProp411.xml"/><Relationship Id="rId858" Type="http://schemas.openxmlformats.org/officeDocument/2006/relationships/ctrlProp" Target="../ctrlProps/ctrlProp856.xml"/><Relationship Id="rId1043" Type="http://schemas.openxmlformats.org/officeDocument/2006/relationships/ctrlProp" Target="../ctrlProps/ctrlProp1041.xml"/><Relationship Id="rId497" Type="http://schemas.openxmlformats.org/officeDocument/2006/relationships/ctrlProp" Target="../ctrlProps/ctrlProp495.xml"/><Relationship Id="rId620" Type="http://schemas.openxmlformats.org/officeDocument/2006/relationships/ctrlProp" Target="../ctrlProps/ctrlProp618.xml"/><Relationship Id="rId718" Type="http://schemas.openxmlformats.org/officeDocument/2006/relationships/ctrlProp" Target="../ctrlProps/ctrlProp716.xml"/><Relationship Id="rId925" Type="http://schemas.openxmlformats.org/officeDocument/2006/relationships/ctrlProp" Target="../ctrlProps/ctrlProp923.xml"/><Relationship Id="rId357" Type="http://schemas.openxmlformats.org/officeDocument/2006/relationships/ctrlProp" Target="../ctrlProps/ctrlProp355.xml"/><Relationship Id="rId54" Type="http://schemas.openxmlformats.org/officeDocument/2006/relationships/ctrlProp" Target="../ctrlProps/ctrlProp52.xml"/><Relationship Id="rId217" Type="http://schemas.openxmlformats.org/officeDocument/2006/relationships/ctrlProp" Target="../ctrlProps/ctrlProp215.xml"/><Relationship Id="rId564" Type="http://schemas.openxmlformats.org/officeDocument/2006/relationships/ctrlProp" Target="../ctrlProps/ctrlProp562.xml"/><Relationship Id="rId771" Type="http://schemas.openxmlformats.org/officeDocument/2006/relationships/ctrlProp" Target="../ctrlProps/ctrlProp769.xml"/><Relationship Id="rId869" Type="http://schemas.openxmlformats.org/officeDocument/2006/relationships/ctrlProp" Target="../ctrlProps/ctrlProp867.xml"/><Relationship Id="rId424" Type="http://schemas.openxmlformats.org/officeDocument/2006/relationships/ctrlProp" Target="../ctrlProps/ctrlProp422.xml"/><Relationship Id="rId631" Type="http://schemas.openxmlformats.org/officeDocument/2006/relationships/ctrlProp" Target="../ctrlProps/ctrlProp629.xml"/><Relationship Id="rId729" Type="http://schemas.openxmlformats.org/officeDocument/2006/relationships/ctrlProp" Target="../ctrlProps/ctrlProp727.xml"/><Relationship Id="rId270" Type="http://schemas.openxmlformats.org/officeDocument/2006/relationships/ctrlProp" Target="../ctrlProps/ctrlProp268.xml"/><Relationship Id="rId936" Type="http://schemas.openxmlformats.org/officeDocument/2006/relationships/ctrlProp" Target="../ctrlProps/ctrlProp934.xml"/><Relationship Id="rId65" Type="http://schemas.openxmlformats.org/officeDocument/2006/relationships/ctrlProp" Target="../ctrlProps/ctrlProp63.xml"/><Relationship Id="rId130" Type="http://schemas.openxmlformats.org/officeDocument/2006/relationships/ctrlProp" Target="../ctrlProps/ctrlProp128.xml"/><Relationship Id="rId368" Type="http://schemas.openxmlformats.org/officeDocument/2006/relationships/ctrlProp" Target="../ctrlProps/ctrlProp366.xml"/><Relationship Id="rId575" Type="http://schemas.openxmlformats.org/officeDocument/2006/relationships/ctrlProp" Target="../ctrlProps/ctrlProp573.xml"/><Relationship Id="rId782" Type="http://schemas.openxmlformats.org/officeDocument/2006/relationships/ctrlProp" Target="../ctrlProps/ctrlProp780.xml"/><Relationship Id="rId228" Type="http://schemas.openxmlformats.org/officeDocument/2006/relationships/ctrlProp" Target="../ctrlProps/ctrlProp226.xml"/><Relationship Id="rId435" Type="http://schemas.openxmlformats.org/officeDocument/2006/relationships/ctrlProp" Target="../ctrlProps/ctrlProp433.xml"/><Relationship Id="rId642" Type="http://schemas.openxmlformats.org/officeDocument/2006/relationships/ctrlProp" Target="../ctrlProps/ctrlProp640.xml"/><Relationship Id="rId281" Type="http://schemas.openxmlformats.org/officeDocument/2006/relationships/ctrlProp" Target="../ctrlProps/ctrlProp279.xml"/><Relationship Id="rId502" Type="http://schemas.openxmlformats.org/officeDocument/2006/relationships/ctrlProp" Target="../ctrlProps/ctrlProp500.xml"/><Relationship Id="rId947" Type="http://schemas.openxmlformats.org/officeDocument/2006/relationships/ctrlProp" Target="../ctrlProps/ctrlProp945.xml"/><Relationship Id="rId76" Type="http://schemas.openxmlformats.org/officeDocument/2006/relationships/ctrlProp" Target="../ctrlProps/ctrlProp74.xml"/><Relationship Id="rId141" Type="http://schemas.openxmlformats.org/officeDocument/2006/relationships/ctrlProp" Target="../ctrlProps/ctrlProp139.xml"/><Relationship Id="rId379" Type="http://schemas.openxmlformats.org/officeDocument/2006/relationships/ctrlProp" Target="../ctrlProps/ctrlProp377.xml"/><Relationship Id="rId586" Type="http://schemas.openxmlformats.org/officeDocument/2006/relationships/ctrlProp" Target="../ctrlProps/ctrlProp584.xml"/><Relationship Id="rId793" Type="http://schemas.openxmlformats.org/officeDocument/2006/relationships/ctrlProp" Target="../ctrlProps/ctrlProp791.xml"/><Relationship Id="rId807" Type="http://schemas.openxmlformats.org/officeDocument/2006/relationships/ctrlProp" Target="../ctrlProps/ctrlProp805.xml"/><Relationship Id="rId7" Type="http://schemas.openxmlformats.org/officeDocument/2006/relationships/ctrlProp" Target="../ctrlProps/ctrlProp5.xml"/><Relationship Id="rId239" Type="http://schemas.openxmlformats.org/officeDocument/2006/relationships/ctrlProp" Target="../ctrlProps/ctrlProp237.xml"/><Relationship Id="rId446" Type="http://schemas.openxmlformats.org/officeDocument/2006/relationships/ctrlProp" Target="../ctrlProps/ctrlProp444.xml"/><Relationship Id="rId653" Type="http://schemas.openxmlformats.org/officeDocument/2006/relationships/ctrlProp" Target="../ctrlProps/ctrlProp651.xml"/><Relationship Id="rId292" Type="http://schemas.openxmlformats.org/officeDocument/2006/relationships/ctrlProp" Target="../ctrlProps/ctrlProp290.xml"/><Relationship Id="rId306" Type="http://schemas.openxmlformats.org/officeDocument/2006/relationships/ctrlProp" Target="../ctrlProps/ctrlProp304.xml"/><Relationship Id="rId860" Type="http://schemas.openxmlformats.org/officeDocument/2006/relationships/ctrlProp" Target="../ctrlProps/ctrlProp858.xml"/><Relationship Id="rId958" Type="http://schemas.openxmlformats.org/officeDocument/2006/relationships/ctrlProp" Target="../ctrlProps/ctrlProp956.xml"/><Relationship Id="rId87" Type="http://schemas.openxmlformats.org/officeDocument/2006/relationships/ctrlProp" Target="../ctrlProps/ctrlProp85.xml"/><Relationship Id="rId513" Type="http://schemas.openxmlformats.org/officeDocument/2006/relationships/ctrlProp" Target="../ctrlProps/ctrlProp511.xml"/><Relationship Id="rId597" Type="http://schemas.openxmlformats.org/officeDocument/2006/relationships/ctrlProp" Target="../ctrlProps/ctrlProp595.xml"/><Relationship Id="rId720" Type="http://schemas.openxmlformats.org/officeDocument/2006/relationships/ctrlProp" Target="../ctrlProps/ctrlProp718.xml"/><Relationship Id="rId818" Type="http://schemas.openxmlformats.org/officeDocument/2006/relationships/ctrlProp" Target="../ctrlProps/ctrlProp816.xml"/><Relationship Id="rId152" Type="http://schemas.openxmlformats.org/officeDocument/2006/relationships/ctrlProp" Target="../ctrlProps/ctrlProp150.xml"/><Relationship Id="rId457" Type="http://schemas.openxmlformats.org/officeDocument/2006/relationships/ctrlProp" Target="../ctrlProps/ctrlProp455.xml"/><Relationship Id="rId1003" Type="http://schemas.openxmlformats.org/officeDocument/2006/relationships/ctrlProp" Target="../ctrlProps/ctrlProp1001.xml"/><Relationship Id="rId664" Type="http://schemas.openxmlformats.org/officeDocument/2006/relationships/ctrlProp" Target="../ctrlProps/ctrlProp662.xml"/><Relationship Id="rId871" Type="http://schemas.openxmlformats.org/officeDocument/2006/relationships/ctrlProp" Target="../ctrlProps/ctrlProp869.xml"/><Relationship Id="rId969" Type="http://schemas.openxmlformats.org/officeDocument/2006/relationships/ctrlProp" Target="../ctrlProps/ctrlProp967.xml"/><Relationship Id="rId14" Type="http://schemas.openxmlformats.org/officeDocument/2006/relationships/ctrlProp" Target="../ctrlProps/ctrlProp12.xml"/><Relationship Id="rId317" Type="http://schemas.openxmlformats.org/officeDocument/2006/relationships/ctrlProp" Target="../ctrlProps/ctrlProp315.xml"/><Relationship Id="rId524" Type="http://schemas.openxmlformats.org/officeDocument/2006/relationships/ctrlProp" Target="../ctrlProps/ctrlProp522.xml"/><Relationship Id="rId731" Type="http://schemas.openxmlformats.org/officeDocument/2006/relationships/ctrlProp" Target="../ctrlProps/ctrlProp729.xml"/><Relationship Id="rId98" Type="http://schemas.openxmlformats.org/officeDocument/2006/relationships/ctrlProp" Target="../ctrlProps/ctrlProp96.xml"/><Relationship Id="rId163" Type="http://schemas.openxmlformats.org/officeDocument/2006/relationships/ctrlProp" Target="../ctrlProps/ctrlProp161.xml"/><Relationship Id="rId370" Type="http://schemas.openxmlformats.org/officeDocument/2006/relationships/ctrlProp" Target="../ctrlProps/ctrlProp368.xml"/><Relationship Id="rId829" Type="http://schemas.openxmlformats.org/officeDocument/2006/relationships/ctrlProp" Target="../ctrlProps/ctrlProp827.xml"/><Relationship Id="rId1014" Type="http://schemas.openxmlformats.org/officeDocument/2006/relationships/ctrlProp" Target="../ctrlProps/ctrlProp1012.xml"/><Relationship Id="rId230" Type="http://schemas.openxmlformats.org/officeDocument/2006/relationships/ctrlProp" Target="../ctrlProps/ctrlProp228.xml"/><Relationship Id="rId468" Type="http://schemas.openxmlformats.org/officeDocument/2006/relationships/ctrlProp" Target="../ctrlProps/ctrlProp466.xml"/><Relationship Id="rId675" Type="http://schemas.openxmlformats.org/officeDocument/2006/relationships/ctrlProp" Target="../ctrlProps/ctrlProp673.xml"/><Relationship Id="rId882" Type="http://schemas.openxmlformats.org/officeDocument/2006/relationships/ctrlProp" Target="../ctrlProps/ctrlProp880.xml"/><Relationship Id="rId25" Type="http://schemas.openxmlformats.org/officeDocument/2006/relationships/ctrlProp" Target="../ctrlProps/ctrlProp23.xml"/><Relationship Id="rId328" Type="http://schemas.openxmlformats.org/officeDocument/2006/relationships/ctrlProp" Target="../ctrlProps/ctrlProp326.xml"/><Relationship Id="rId535" Type="http://schemas.openxmlformats.org/officeDocument/2006/relationships/ctrlProp" Target="../ctrlProps/ctrlProp533.xml"/><Relationship Id="rId742" Type="http://schemas.openxmlformats.org/officeDocument/2006/relationships/ctrlProp" Target="../ctrlProps/ctrlProp740.xml"/><Relationship Id="rId174" Type="http://schemas.openxmlformats.org/officeDocument/2006/relationships/ctrlProp" Target="../ctrlProps/ctrlProp172.xml"/><Relationship Id="rId381" Type="http://schemas.openxmlformats.org/officeDocument/2006/relationships/ctrlProp" Target="../ctrlProps/ctrlProp379.xml"/><Relationship Id="rId602" Type="http://schemas.openxmlformats.org/officeDocument/2006/relationships/ctrlProp" Target="../ctrlProps/ctrlProp600.xml"/><Relationship Id="rId1025" Type="http://schemas.openxmlformats.org/officeDocument/2006/relationships/ctrlProp" Target="../ctrlProps/ctrlProp1023.xml"/><Relationship Id="rId241" Type="http://schemas.openxmlformats.org/officeDocument/2006/relationships/ctrlProp" Target="../ctrlProps/ctrlProp239.xml"/><Relationship Id="rId479" Type="http://schemas.openxmlformats.org/officeDocument/2006/relationships/ctrlProp" Target="../ctrlProps/ctrlProp477.xml"/><Relationship Id="rId686" Type="http://schemas.openxmlformats.org/officeDocument/2006/relationships/ctrlProp" Target="../ctrlProps/ctrlProp684.xml"/><Relationship Id="rId893" Type="http://schemas.openxmlformats.org/officeDocument/2006/relationships/ctrlProp" Target="../ctrlProps/ctrlProp891.xml"/><Relationship Id="rId907" Type="http://schemas.openxmlformats.org/officeDocument/2006/relationships/ctrlProp" Target="../ctrlProps/ctrlProp905.xml"/><Relationship Id="rId36" Type="http://schemas.openxmlformats.org/officeDocument/2006/relationships/ctrlProp" Target="../ctrlProps/ctrlProp34.xml"/><Relationship Id="rId339" Type="http://schemas.openxmlformats.org/officeDocument/2006/relationships/ctrlProp" Target="../ctrlProps/ctrlProp337.xml"/><Relationship Id="rId546" Type="http://schemas.openxmlformats.org/officeDocument/2006/relationships/ctrlProp" Target="../ctrlProps/ctrlProp544.xml"/><Relationship Id="rId753" Type="http://schemas.openxmlformats.org/officeDocument/2006/relationships/ctrlProp" Target="../ctrlProps/ctrlProp751.xml"/><Relationship Id="rId101" Type="http://schemas.openxmlformats.org/officeDocument/2006/relationships/ctrlProp" Target="../ctrlProps/ctrlProp99.xml"/><Relationship Id="rId185" Type="http://schemas.openxmlformats.org/officeDocument/2006/relationships/ctrlProp" Target="../ctrlProps/ctrlProp183.xml"/><Relationship Id="rId406" Type="http://schemas.openxmlformats.org/officeDocument/2006/relationships/ctrlProp" Target="../ctrlProps/ctrlProp404.xml"/><Relationship Id="rId960" Type="http://schemas.openxmlformats.org/officeDocument/2006/relationships/ctrlProp" Target="../ctrlProps/ctrlProp958.xml"/><Relationship Id="rId1036" Type="http://schemas.openxmlformats.org/officeDocument/2006/relationships/ctrlProp" Target="../ctrlProps/ctrlProp1034.xml"/><Relationship Id="rId392" Type="http://schemas.openxmlformats.org/officeDocument/2006/relationships/ctrlProp" Target="../ctrlProps/ctrlProp390.xml"/><Relationship Id="rId613" Type="http://schemas.openxmlformats.org/officeDocument/2006/relationships/ctrlProp" Target="../ctrlProps/ctrlProp611.xml"/><Relationship Id="rId697" Type="http://schemas.openxmlformats.org/officeDocument/2006/relationships/ctrlProp" Target="../ctrlProps/ctrlProp695.xml"/><Relationship Id="rId820" Type="http://schemas.openxmlformats.org/officeDocument/2006/relationships/ctrlProp" Target="../ctrlProps/ctrlProp818.xml"/><Relationship Id="rId918" Type="http://schemas.openxmlformats.org/officeDocument/2006/relationships/ctrlProp" Target="../ctrlProps/ctrlProp916.xml"/><Relationship Id="rId252" Type="http://schemas.openxmlformats.org/officeDocument/2006/relationships/ctrlProp" Target="../ctrlProps/ctrlProp250.xml"/><Relationship Id="rId47" Type="http://schemas.openxmlformats.org/officeDocument/2006/relationships/ctrlProp" Target="../ctrlProps/ctrlProp45.xml"/><Relationship Id="rId112" Type="http://schemas.openxmlformats.org/officeDocument/2006/relationships/ctrlProp" Target="../ctrlProps/ctrlProp110.xml"/><Relationship Id="rId557" Type="http://schemas.openxmlformats.org/officeDocument/2006/relationships/ctrlProp" Target="../ctrlProps/ctrlProp555.xml"/><Relationship Id="rId764" Type="http://schemas.openxmlformats.org/officeDocument/2006/relationships/ctrlProp" Target="../ctrlProps/ctrlProp762.xml"/><Relationship Id="rId971" Type="http://schemas.openxmlformats.org/officeDocument/2006/relationships/ctrlProp" Target="../ctrlProps/ctrlProp969.xml"/><Relationship Id="rId196" Type="http://schemas.openxmlformats.org/officeDocument/2006/relationships/ctrlProp" Target="../ctrlProps/ctrlProp194.xml"/><Relationship Id="rId417" Type="http://schemas.openxmlformats.org/officeDocument/2006/relationships/ctrlProp" Target="../ctrlProps/ctrlProp415.xml"/><Relationship Id="rId624" Type="http://schemas.openxmlformats.org/officeDocument/2006/relationships/ctrlProp" Target="../ctrlProps/ctrlProp622.xml"/><Relationship Id="rId831" Type="http://schemas.openxmlformats.org/officeDocument/2006/relationships/ctrlProp" Target="../ctrlProps/ctrlProp829.xml"/><Relationship Id="rId1047" Type="http://schemas.openxmlformats.org/officeDocument/2006/relationships/ctrlProp" Target="../ctrlProps/ctrlProp1045.xml"/><Relationship Id="rId263" Type="http://schemas.openxmlformats.org/officeDocument/2006/relationships/ctrlProp" Target="../ctrlProps/ctrlProp261.xml"/><Relationship Id="rId470" Type="http://schemas.openxmlformats.org/officeDocument/2006/relationships/ctrlProp" Target="../ctrlProps/ctrlProp468.xml"/><Relationship Id="rId929" Type="http://schemas.openxmlformats.org/officeDocument/2006/relationships/ctrlProp" Target="../ctrlProps/ctrlProp927.xml"/><Relationship Id="rId58" Type="http://schemas.openxmlformats.org/officeDocument/2006/relationships/ctrlProp" Target="../ctrlProps/ctrlProp56.xml"/><Relationship Id="rId123" Type="http://schemas.openxmlformats.org/officeDocument/2006/relationships/ctrlProp" Target="../ctrlProps/ctrlProp121.xml"/><Relationship Id="rId330" Type="http://schemas.openxmlformats.org/officeDocument/2006/relationships/ctrlProp" Target="../ctrlProps/ctrlProp328.xml"/><Relationship Id="rId568" Type="http://schemas.openxmlformats.org/officeDocument/2006/relationships/ctrlProp" Target="../ctrlProps/ctrlProp566.xml"/><Relationship Id="rId775" Type="http://schemas.openxmlformats.org/officeDocument/2006/relationships/ctrlProp" Target="../ctrlProps/ctrlProp773.xml"/><Relationship Id="rId982" Type="http://schemas.openxmlformats.org/officeDocument/2006/relationships/ctrlProp" Target="../ctrlProps/ctrlProp980.xml"/><Relationship Id="rId428" Type="http://schemas.openxmlformats.org/officeDocument/2006/relationships/ctrlProp" Target="../ctrlProps/ctrlProp426.xml"/><Relationship Id="rId635" Type="http://schemas.openxmlformats.org/officeDocument/2006/relationships/ctrlProp" Target="../ctrlProps/ctrlProp633.xml"/><Relationship Id="rId842" Type="http://schemas.openxmlformats.org/officeDocument/2006/relationships/ctrlProp" Target="../ctrlProps/ctrlProp840.xml"/><Relationship Id="rId274" Type="http://schemas.openxmlformats.org/officeDocument/2006/relationships/ctrlProp" Target="../ctrlProps/ctrlProp272.xml"/><Relationship Id="rId481" Type="http://schemas.openxmlformats.org/officeDocument/2006/relationships/ctrlProp" Target="../ctrlProps/ctrlProp479.xml"/><Relationship Id="rId702" Type="http://schemas.openxmlformats.org/officeDocument/2006/relationships/ctrlProp" Target="../ctrlProps/ctrlProp700.xml"/><Relationship Id="rId69" Type="http://schemas.openxmlformats.org/officeDocument/2006/relationships/ctrlProp" Target="../ctrlProps/ctrlProp67.xml"/><Relationship Id="rId134" Type="http://schemas.openxmlformats.org/officeDocument/2006/relationships/ctrlProp" Target="../ctrlProps/ctrlProp132.xml"/><Relationship Id="rId579" Type="http://schemas.openxmlformats.org/officeDocument/2006/relationships/ctrlProp" Target="../ctrlProps/ctrlProp577.xml"/><Relationship Id="rId786" Type="http://schemas.openxmlformats.org/officeDocument/2006/relationships/ctrlProp" Target="../ctrlProps/ctrlProp784.xml"/><Relationship Id="rId993" Type="http://schemas.openxmlformats.org/officeDocument/2006/relationships/ctrlProp" Target="../ctrlProps/ctrlProp991.xml"/><Relationship Id="rId341" Type="http://schemas.openxmlformats.org/officeDocument/2006/relationships/ctrlProp" Target="../ctrlProps/ctrlProp339.xml"/><Relationship Id="rId439" Type="http://schemas.openxmlformats.org/officeDocument/2006/relationships/ctrlProp" Target="../ctrlProps/ctrlProp437.xml"/><Relationship Id="rId646" Type="http://schemas.openxmlformats.org/officeDocument/2006/relationships/ctrlProp" Target="../ctrlProps/ctrlProp644.xml"/><Relationship Id="rId201" Type="http://schemas.openxmlformats.org/officeDocument/2006/relationships/ctrlProp" Target="../ctrlProps/ctrlProp199.xml"/><Relationship Id="rId285" Type="http://schemas.openxmlformats.org/officeDocument/2006/relationships/ctrlProp" Target="../ctrlProps/ctrlProp283.xml"/><Relationship Id="rId506" Type="http://schemas.openxmlformats.org/officeDocument/2006/relationships/ctrlProp" Target="../ctrlProps/ctrlProp504.xml"/><Relationship Id="rId853" Type="http://schemas.openxmlformats.org/officeDocument/2006/relationships/ctrlProp" Target="../ctrlProps/ctrlProp851.xml"/><Relationship Id="rId492" Type="http://schemas.openxmlformats.org/officeDocument/2006/relationships/ctrlProp" Target="../ctrlProps/ctrlProp490.xml"/><Relationship Id="rId713" Type="http://schemas.openxmlformats.org/officeDocument/2006/relationships/ctrlProp" Target="../ctrlProps/ctrlProp711.xml"/><Relationship Id="rId797" Type="http://schemas.openxmlformats.org/officeDocument/2006/relationships/ctrlProp" Target="../ctrlProps/ctrlProp795.xml"/><Relationship Id="rId920" Type="http://schemas.openxmlformats.org/officeDocument/2006/relationships/ctrlProp" Target="../ctrlProps/ctrlProp918.xml"/><Relationship Id="rId145" Type="http://schemas.openxmlformats.org/officeDocument/2006/relationships/ctrlProp" Target="../ctrlProps/ctrlProp143.xml"/><Relationship Id="rId352" Type="http://schemas.openxmlformats.org/officeDocument/2006/relationships/ctrlProp" Target="../ctrlProps/ctrlProp350.xml"/><Relationship Id="rId212" Type="http://schemas.openxmlformats.org/officeDocument/2006/relationships/ctrlProp" Target="../ctrlProps/ctrlProp210.xml"/><Relationship Id="rId657" Type="http://schemas.openxmlformats.org/officeDocument/2006/relationships/ctrlProp" Target="../ctrlProps/ctrlProp655.xml"/><Relationship Id="rId864" Type="http://schemas.openxmlformats.org/officeDocument/2006/relationships/ctrlProp" Target="../ctrlProps/ctrlProp862.xml"/><Relationship Id="rId296" Type="http://schemas.openxmlformats.org/officeDocument/2006/relationships/ctrlProp" Target="../ctrlProps/ctrlProp294.xml"/><Relationship Id="rId517" Type="http://schemas.openxmlformats.org/officeDocument/2006/relationships/ctrlProp" Target="../ctrlProps/ctrlProp515.xml"/><Relationship Id="rId724" Type="http://schemas.openxmlformats.org/officeDocument/2006/relationships/ctrlProp" Target="../ctrlProps/ctrlProp722.xml"/><Relationship Id="rId931" Type="http://schemas.openxmlformats.org/officeDocument/2006/relationships/ctrlProp" Target="../ctrlProps/ctrlProp929.xml"/><Relationship Id="rId60" Type="http://schemas.openxmlformats.org/officeDocument/2006/relationships/ctrlProp" Target="../ctrlProps/ctrlProp58.xml"/><Relationship Id="rId156" Type="http://schemas.openxmlformats.org/officeDocument/2006/relationships/ctrlProp" Target="../ctrlProps/ctrlProp154.xml"/><Relationship Id="rId363" Type="http://schemas.openxmlformats.org/officeDocument/2006/relationships/ctrlProp" Target="../ctrlProps/ctrlProp361.xml"/><Relationship Id="rId570" Type="http://schemas.openxmlformats.org/officeDocument/2006/relationships/ctrlProp" Target="../ctrlProps/ctrlProp568.xml"/><Relationship Id="rId1007" Type="http://schemas.openxmlformats.org/officeDocument/2006/relationships/ctrlProp" Target="../ctrlProps/ctrlProp1005.xml"/><Relationship Id="rId223" Type="http://schemas.openxmlformats.org/officeDocument/2006/relationships/ctrlProp" Target="../ctrlProps/ctrlProp221.xml"/><Relationship Id="rId430" Type="http://schemas.openxmlformats.org/officeDocument/2006/relationships/ctrlProp" Target="../ctrlProps/ctrlProp428.xml"/><Relationship Id="rId668" Type="http://schemas.openxmlformats.org/officeDocument/2006/relationships/ctrlProp" Target="../ctrlProps/ctrlProp666.xml"/><Relationship Id="rId875" Type="http://schemas.openxmlformats.org/officeDocument/2006/relationships/ctrlProp" Target="../ctrlProps/ctrlProp873.xml"/><Relationship Id="rId18" Type="http://schemas.openxmlformats.org/officeDocument/2006/relationships/ctrlProp" Target="../ctrlProps/ctrlProp16.xml"/><Relationship Id="rId528" Type="http://schemas.openxmlformats.org/officeDocument/2006/relationships/ctrlProp" Target="../ctrlProps/ctrlProp526.xml"/><Relationship Id="rId735" Type="http://schemas.openxmlformats.org/officeDocument/2006/relationships/ctrlProp" Target="../ctrlProps/ctrlProp733.xml"/><Relationship Id="rId942" Type="http://schemas.openxmlformats.org/officeDocument/2006/relationships/ctrlProp" Target="../ctrlProps/ctrlProp940.xml"/><Relationship Id="rId167" Type="http://schemas.openxmlformats.org/officeDocument/2006/relationships/ctrlProp" Target="../ctrlProps/ctrlProp165.xml"/><Relationship Id="rId374" Type="http://schemas.openxmlformats.org/officeDocument/2006/relationships/ctrlProp" Target="../ctrlProps/ctrlProp372.xml"/><Relationship Id="rId581" Type="http://schemas.openxmlformats.org/officeDocument/2006/relationships/ctrlProp" Target="../ctrlProps/ctrlProp579.xml"/><Relationship Id="rId1018" Type="http://schemas.openxmlformats.org/officeDocument/2006/relationships/ctrlProp" Target="../ctrlProps/ctrlProp1016.xml"/><Relationship Id="rId71" Type="http://schemas.openxmlformats.org/officeDocument/2006/relationships/ctrlProp" Target="../ctrlProps/ctrlProp69.xml"/><Relationship Id="rId234" Type="http://schemas.openxmlformats.org/officeDocument/2006/relationships/ctrlProp" Target="../ctrlProps/ctrlProp232.xml"/><Relationship Id="rId679" Type="http://schemas.openxmlformats.org/officeDocument/2006/relationships/ctrlProp" Target="../ctrlProps/ctrlProp677.xml"/><Relationship Id="rId802" Type="http://schemas.openxmlformats.org/officeDocument/2006/relationships/ctrlProp" Target="../ctrlProps/ctrlProp800.xml"/><Relationship Id="rId886" Type="http://schemas.openxmlformats.org/officeDocument/2006/relationships/ctrlProp" Target="../ctrlProps/ctrlProp884.xml"/><Relationship Id="rId2" Type="http://schemas.openxmlformats.org/officeDocument/2006/relationships/drawing" Target="../drawings/drawing2.xml"/><Relationship Id="rId29" Type="http://schemas.openxmlformats.org/officeDocument/2006/relationships/ctrlProp" Target="../ctrlProps/ctrlProp27.xml"/><Relationship Id="rId441" Type="http://schemas.openxmlformats.org/officeDocument/2006/relationships/ctrlProp" Target="../ctrlProps/ctrlProp439.xml"/><Relationship Id="rId539" Type="http://schemas.openxmlformats.org/officeDocument/2006/relationships/ctrlProp" Target="../ctrlProps/ctrlProp537.xml"/><Relationship Id="rId746" Type="http://schemas.openxmlformats.org/officeDocument/2006/relationships/ctrlProp" Target="../ctrlProps/ctrlProp744.xml"/><Relationship Id="rId178" Type="http://schemas.openxmlformats.org/officeDocument/2006/relationships/ctrlProp" Target="../ctrlProps/ctrlProp176.xml"/><Relationship Id="rId301" Type="http://schemas.openxmlformats.org/officeDocument/2006/relationships/ctrlProp" Target="../ctrlProps/ctrlProp299.xml"/><Relationship Id="rId953" Type="http://schemas.openxmlformats.org/officeDocument/2006/relationships/ctrlProp" Target="../ctrlProps/ctrlProp951.xml"/><Relationship Id="rId1029" Type="http://schemas.openxmlformats.org/officeDocument/2006/relationships/ctrlProp" Target="../ctrlProps/ctrlProp1027.xml"/><Relationship Id="rId82" Type="http://schemas.openxmlformats.org/officeDocument/2006/relationships/ctrlProp" Target="../ctrlProps/ctrlProp80.xml"/><Relationship Id="rId385" Type="http://schemas.openxmlformats.org/officeDocument/2006/relationships/ctrlProp" Target="../ctrlProps/ctrlProp383.xml"/><Relationship Id="rId592" Type="http://schemas.openxmlformats.org/officeDocument/2006/relationships/ctrlProp" Target="../ctrlProps/ctrlProp590.xml"/><Relationship Id="rId606" Type="http://schemas.openxmlformats.org/officeDocument/2006/relationships/ctrlProp" Target="../ctrlProps/ctrlProp604.xml"/><Relationship Id="rId813" Type="http://schemas.openxmlformats.org/officeDocument/2006/relationships/ctrlProp" Target="../ctrlProps/ctrlProp811.xml"/><Relationship Id="rId245" Type="http://schemas.openxmlformats.org/officeDocument/2006/relationships/ctrlProp" Target="../ctrlProps/ctrlProp243.xml"/><Relationship Id="rId452" Type="http://schemas.openxmlformats.org/officeDocument/2006/relationships/ctrlProp" Target="../ctrlProps/ctrlProp450.xml"/><Relationship Id="rId897" Type="http://schemas.openxmlformats.org/officeDocument/2006/relationships/ctrlProp" Target="../ctrlProps/ctrlProp895.xml"/><Relationship Id="rId105" Type="http://schemas.openxmlformats.org/officeDocument/2006/relationships/ctrlProp" Target="../ctrlProps/ctrlProp103.xml"/><Relationship Id="rId312" Type="http://schemas.openxmlformats.org/officeDocument/2006/relationships/ctrlProp" Target="../ctrlProps/ctrlProp310.xml"/><Relationship Id="rId757" Type="http://schemas.openxmlformats.org/officeDocument/2006/relationships/ctrlProp" Target="../ctrlProps/ctrlProp755.xml"/><Relationship Id="rId964" Type="http://schemas.openxmlformats.org/officeDocument/2006/relationships/ctrlProp" Target="../ctrlProps/ctrlProp962.xml"/><Relationship Id="rId93" Type="http://schemas.openxmlformats.org/officeDocument/2006/relationships/ctrlProp" Target="../ctrlProps/ctrlProp91.xml"/><Relationship Id="rId189" Type="http://schemas.openxmlformats.org/officeDocument/2006/relationships/ctrlProp" Target="../ctrlProps/ctrlProp187.xml"/><Relationship Id="rId396" Type="http://schemas.openxmlformats.org/officeDocument/2006/relationships/ctrlProp" Target="../ctrlProps/ctrlProp394.xml"/><Relationship Id="rId617" Type="http://schemas.openxmlformats.org/officeDocument/2006/relationships/ctrlProp" Target="../ctrlProps/ctrlProp615.xml"/><Relationship Id="rId824" Type="http://schemas.openxmlformats.org/officeDocument/2006/relationships/ctrlProp" Target="../ctrlProps/ctrlProp822.xml"/><Relationship Id="rId256" Type="http://schemas.openxmlformats.org/officeDocument/2006/relationships/ctrlProp" Target="../ctrlProps/ctrlProp254.xml"/><Relationship Id="rId463" Type="http://schemas.openxmlformats.org/officeDocument/2006/relationships/ctrlProp" Target="../ctrlProps/ctrlProp461.xml"/><Relationship Id="rId670" Type="http://schemas.openxmlformats.org/officeDocument/2006/relationships/ctrlProp" Target="../ctrlProps/ctrlProp668.xml"/><Relationship Id="rId116" Type="http://schemas.openxmlformats.org/officeDocument/2006/relationships/ctrlProp" Target="../ctrlProps/ctrlProp114.xml"/><Relationship Id="rId323" Type="http://schemas.openxmlformats.org/officeDocument/2006/relationships/ctrlProp" Target="../ctrlProps/ctrlProp321.xml"/><Relationship Id="rId530" Type="http://schemas.openxmlformats.org/officeDocument/2006/relationships/ctrlProp" Target="../ctrlProps/ctrlProp528.xml"/><Relationship Id="rId768" Type="http://schemas.openxmlformats.org/officeDocument/2006/relationships/ctrlProp" Target="../ctrlProps/ctrlProp766.xml"/><Relationship Id="rId975" Type="http://schemas.openxmlformats.org/officeDocument/2006/relationships/ctrlProp" Target="../ctrlProps/ctrlProp973.xml"/><Relationship Id="rId20" Type="http://schemas.openxmlformats.org/officeDocument/2006/relationships/ctrlProp" Target="../ctrlProps/ctrlProp18.xml"/><Relationship Id="rId628" Type="http://schemas.openxmlformats.org/officeDocument/2006/relationships/ctrlProp" Target="../ctrlProps/ctrlProp626.xml"/><Relationship Id="rId835" Type="http://schemas.openxmlformats.org/officeDocument/2006/relationships/ctrlProp" Target="../ctrlProps/ctrlProp833.xml"/><Relationship Id="rId267" Type="http://schemas.openxmlformats.org/officeDocument/2006/relationships/ctrlProp" Target="../ctrlProps/ctrlProp265.xml"/><Relationship Id="rId474" Type="http://schemas.openxmlformats.org/officeDocument/2006/relationships/ctrlProp" Target="../ctrlProps/ctrlProp472.xml"/><Relationship Id="rId1020" Type="http://schemas.openxmlformats.org/officeDocument/2006/relationships/ctrlProp" Target="../ctrlProps/ctrlProp1018.xml"/><Relationship Id="rId127" Type="http://schemas.openxmlformats.org/officeDocument/2006/relationships/ctrlProp" Target="../ctrlProps/ctrlProp125.xml"/><Relationship Id="rId681" Type="http://schemas.openxmlformats.org/officeDocument/2006/relationships/ctrlProp" Target="../ctrlProps/ctrlProp679.xml"/><Relationship Id="rId779" Type="http://schemas.openxmlformats.org/officeDocument/2006/relationships/ctrlProp" Target="../ctrlProps/ctrlProp777.xml"/><Relationship Id="rId902" Type="http://schemas.openxmlformats.org/officeDocument/2006/relationships/ctrlProp" Target="../ctrlProps/ctrlProp900.xml"/><Relationship Id="rId986" Type="http://schemas.openxmlformats.org/officeDocument/2006/relationships/ctrlProp" Target="../ctrlProps/ctrlProp984.xml"/><Relationship Id="rId31" Type="http://schemas.openxmlformats.org/officeDocument/2006/relationships/ctrlProp" Target="../ctrlProps/ctrlProp29.xml"/><Relationship Id="rId334" Type="http://schemas.openxmlformats.org/officeDocument/2006/relationships/ctrlProp" Target="../ctrlProps/ctrlProp332.xml"/><Relationship Id="rId541" Type="http://schemas.openxmlformats.org/officeDocument/2006/relationships/ctrlProp" Target="../ctrlProps/ctrlProp539.xml"/><Relationship Id="rId639" Type="http://schemas.openxmlformats.org/officeDocument/2006/relationships/ctrlProp" Target="../ctrlProps/ctrlProp637.xml"/><Relationship Id="rId180" Type="http://schemas.openxmlformats.org/officeDocument/2006/relationships/ctrlProp" Target="../ctrlProps/ctrlProp178.xml"/><Relationship Id="rId278" Type="http://schemas.openxmlformats.org/officeDocument/2006/relationships/ctrlProp" Target="../ctrlProps/ctrlProp276.xml"/><Relationship Id="rId401" Type="http://schemas.openxmlformats.org/officeDocument/2006/relationships/ctrlProp" Target="../ctrlProps/ctrlProp399.xml"/><Relationship Id="rId846" Type="http://schemas.openxmlformats.org/officeDocument/2006/relationships/ctrlProp" Target="../ctrlProps/ctrlProp844.xml"/><Relationship Id="rId1031" Type="http://schemas.openxmlformats.org/officeDocument/2006/relationships/ctrlProp" Target="../ctrlProps/ctrlProp1029.xml"/><Relationship Id="rId485" Type="http://schemas.openxmlformats.org/officeDocument/2006/relationships/ctrlProp" Target="../ctrlProps/ctrlProp483.xml"/><Relationship Id="rId692" Type="http://schemas.openxmlformats.org/officeDocument/2006/relationships/ctrlProp" Target="../ctrlProps/ctrlProp690.xml"/><Relationship Id="rId706" Type="http://schemas.openxmlformats.org/officeDocument/2006/relationships/ctrlProp" Target="../ctrlProps/ctrlProp704.xml"/><Relationship Id="rId913" Type="http://schemas.openxmlformats.org/officeDocument/2006/relationships/ctrlProp" Target="../ctrlProps/ctrlProp911.xml"/><Relationship Id="rId42" Type="http://schemas.openxmlformats.org/officeDocument/2006/relationships/ctrlProp" Target="../ctrlProps/ctrlProp40.xml"/><Relationship Id="rId138" Type="http://schemas.openxmlformats.org/officeDocument/2006/relationships/ctrlProp" Target="../ctrlProps/ctrlProp136.xml"/><Relationship Id="rId345" Type="http://schemas.openxmlformats.org/officeDocument/2006/relationships/ctrlProp" Target="../ctrlProps/ctrlProp343.xml"/><Relationship Id="rId552" Type="http://schemas.openxmlformats.org/officeDocument/2006/relationships/ctrlProp" Target="../ctrlProps/ctrlProp550.xml"/><Relationship Id="rId997" Type="http://schemas.openxmlformats.org/officeDocument/2006/relationships/ctrlProp" Target="../ctrlProps/ctrlProp995.xml"/><Relationship Id="rId191" Type="http://schemas.openxmlformats.org/officeDocument/2006/relationships/ctrlProp" Target="../ctrlProps/ctrlProp189.xml"/><Relationship Id="rId205" Type="http://schemas.openxmlformats.org/officeDocument/2006/relationships/ctrlProp" Target="../ctrlProps/ctrlProp203.xml"/><Relationship Id="rId412" Type="http://schemas.openxmlformats.org/officeDocument/2006/relationships/ctrlProp" Target="../ctrlProps/ctrlProp410.xml"/><Relationship Id="rId857" Type="http://schemas.openxmlformats.org/officeDocument/2006/relationships/ctrlProp" Target="../ctrlProps/ctrlProp855.xml"/><Relationship Id="rId1042" Type="http://schemas.openxmlformats.org/officeDocument/2006/relationships/ctrlProp" Target="../ctrlProps/ctrlProp1040.xml"/><Relationship Id="rId289" Type="http://schemas.openxmlformats.org/officeDocument/2006/relationships/ctrlProp" Target="../ctrlProps/ctrlProp287.xml"/><Relationship Id="rId496" Type="http://schemas.openxmlformats.org/officeDocument/2006/relationships/ctrlProp" Target="../ctrlProps/ctrlProp494.xml"/><Relationship Id="rId717" Type="http://schemas.openxmlformats.org/officeDocument/2006/relationships/ctrlProp" Target="../ctrlProps/ctrlProp715.xml"/><Relationship Id="rId924" Type="http://schemas.openxmlformats.org/officeDocument/2006/relationships/ctrlProp" Target="../ctrlProps/ctrlProp922.xml"/><Relationship Id="rId53" Type="http://schemas.openxmlformats.org/officeDocument/2006/relationships/ctrlProp" Target="../ctrlProps/ctrlProp51.xml"/><Relationship Id="rId149" Type="http://schemas.openxmlformats.org/officeDocument/2006/relationships/ctrlProp" Target="../ctrlProps/ctrlProp147.xml"/><Relationship Id="rId356" Type="http://schemas.openxmlformats.org/officeDocument/2006/relationships/ctrlProp" Target="../ctrlProps/ctrlProp354.xml"/><Relationship Id="rId563" Type="http://schemas.openxmlformats.org/officeDocument/2006/relationships/ctrlProp" Target="../ctrlProps/ctrlProp561.xml"/><Relationship Id="rId770" Type="http://schemas.openxmlformats.org/officeDocument/2006/relationships/ctrlProp" Target="../ctrlProps/ctrlProp768.xml"/><Relationship Id="rId216" Type="http://schemas.openxmlformats.org/officeDocument/2006/relationships/ctrlProp" Target="../ctrlProps/ctrlProp214.xml"/><Relationship Id="rId423" Type="http://schemas.openxmlformats.org/officeDocument/2006/relationships/ctrlProp" Target="../ctrlProps/ctrlProp421.xml"/><Relationship Id="rId868" Type="http://schemas.openxmlformats.org/officeDocument/2006/relationships/ctrlProp" Target="../ctrlProps/ctrlProp866.xml"/><Relationship Id="rId630" Type="http://schemas.openxmlformats.org/officeDocument/2006/relationships/ctrlProp" Target="../ctrlProps/ctrlProp628.xml"/><Relationship Id="rId728" Type="http://schemas.openxmlformats.org/officeDocument/2006/relationships/ctrlProp" Target="../ctrlProps/ctrlProp726.xml"/><Relationship Id="rId935" Type="http://schemas.openxmlformats.org/officeDocument/2006/relationships/ctrlProp" Target="../ctrlProps/ctrlProp933.xml"/><Relationship Id="rId64" Type="http://schemas.openxmlformats.org/officeDocument/2006/relationships/ctrlProp" Target="../ctrlProps/ctrlProp62.xml"/><Relationship Id="rId367" Type="http://schemas.openxmlformats.org/officeDocument/2006/relationships/ctrlProp" Target="../ctrlProps/ctrlProp365.xml"/><Relationship Id="rId574" Type="http://schemas.openxmlformats.org/officeDocument/2006/relationships/ctrlProp" Target="../ctrlProps/ctrlProp572.xml"/><Relationship Id="rId227" Type="http://schemas.openxmlformats.org/officeDocument/2006/relationships/ctrlProp" Target="../ctrlProps/ctrlProp225.xml"/><Relationship Id="rId781" Type="http://schemas.openxmlformats.org/officeDocument/2006/relationships/ctrlProp" Target="../ctrlProps/ctrlProp779.xml"/><Relationship Id="rId879" Type="http://schemas.openxmlformats.org/officeDocument/2006/relationships/ctrlProp" Target="../ctrlProps/ctrlProp877.xml"/><Relationship Id="rId434" Type="http://schemas.openxmlformats.org/officeDocument/2006/relationships/ctrlProp" Target="../ctrlProps/ctrlProp432.xml"/><Relationship Id="rId641" Type="http://schemas.openxmlformats.org/officeDocument/2006/relationships/ctrlProp" Target="../ctrlProps/ctrlProp639.xml"/><Relationship Id="rId739" Type="http://schemas.openxmlformats.org/officeDocument/2006/relationships/ctrlProp" Target="../ctrlProps/ctrlProp737.xml"/><Relationship Id="rId280" Type="http://schemas.openxmlformats.org/officeDocument/2006/relationships/ctrlProp" Target="../ctrlProps/ctrlProp278.xml"/><Relationship Id="rId501" Type="http://schemas.openxmlformats.org/officeDocument/2006/relationships/ctrlProp" Target="../ctrlProps/ctrlProp499.xml"/><Relationship Id="rId946" Type="http://schemas.openxmlformats.org/officeDocument/2006/relationships/ctrlProp" Target="../ctrlProps/ctrlProp944.xml"/><Relationship Id="rId75" Type="http://schemas.openxmlformats.org/officeDocument/2006/relationships/ctrlProp" Target="../ctrlProps/ctrlProp73.xml"/><Relationship Id="rId140" Type="http://schemas.openxmlformats.org/officeDocument/2006/relationships/ctrlProp" Target="../ctrlProps/ctrlProp138.xml"/><Relationship Id="rId378" Type="http://schemas.openxmlformats.org/officeDocument/2006/relationships/ctrlProp" Target="../ctrlProps/ctrlProp376.xml"/><Relationship Id="rId585" Type="http://schemas.openxmlformats.org/officeDocument/2006/relationships/ctrlProp" Target="../ctrlProps/ctrlProp583.xml"/><Relationship Id="rId792" Type="http://schemas.openxmlformats.org/officeDocument/2006/relationships/ctrlProp" Target="../ctrlProps/ctrlProp790.xml"/><Relationship Id="rId806" Type="http://schemas.openxmlformats.org/officeDocument/2006/relationships/ctrlProp" Target="../ctrlProps/ctrlProp804.xml"/><Relationship Id="rId6" Type="http://schemas.openxmlformats.org/officeDocument/2006/relationships/ctrlProp" Target="../ctrlProps/ctrlProp4.xml"/><Relationship Id="rId238" Type="http://schemas.openxmlformats.org/officeDocument/2006/relationships/ctrlProp" Target="../ctrlProps/ctrlProp236.xml"/><Relationship Id="rId445" Type="http://schemas.openxmlformats.org/officeDocument/2006/relationships/ctrlProp" Target="../ctrlProps/ctrlProp443.xml"/><Relationship Id="rId652" Type="http://schemas.openxmlformats.org/officeDocument/2006/relationships/ctrlProp" Target="../ctrlProps/ctrlProp650.xml"/><Relationship Id="rId291" Type="http://schemas.openxmlformats.org/officeDocument/2006/relationships/ctrlProp" Target="../ctrlProps/ctrlProp289.xml"/><Relationship Id="rId305" Type="http://schemas.openxmlformats.org/officeDocument/2006/relationships/ctrlProp" Target="../ctrlProps/ctrlProp303.xml"/><Relationship Id="rId512" Type="http://schemas.openxmlformats.org/officeDocument/2006/relationships/ctrlProp" Target="../ctrlProps/ctrlProp510.xml"/><Relationship Id="rId957" Type="http://schemas.openxmlformats.org/officeDocument/2006/relationships/ctrlProp" Target="../ctrlProps/ctrlProp955.xml"/><Relationship Id="rId86" Type="http://schemas.openxmlformats.org/officeDocument/2006/relationships/ctrlProp" Target="../ctrlProps/ctrlProp84.xml"/><Relationship Id="rId151" Type="http://schemas.openxmlformats.org/officeDocument/2006/relationships/ctrlProp" Target="../ctrlProps/ctrlProp149.xml"/><Relationship Id="rId389" Type="http://schemas.openxmlformats.org/officeDocument/2006/relationships/ctrlProp" Target="../ctrlProps/ctrlProp387.xml"/><Relationship Id="rId596" Type="http://schemas.openxmlformats.org/officeDocument/2006/relationships/ctrlProp" Target="../ctrlProps/ctrlProp594.xml"/><Relationship Id="rId817" Type="http://schemas.openxmlformats.org/officeDocument/2006/relationships/ctrlProp" Target="../ctrlProps/ctrlProp815.xml"/><Relationship Id="rId1002" Type="http://schemas.openxmlformats.org/officeDocument/2006/relationships/ctrlProp" Target="../ctrlProps/ctrlProp1000.xml"/><Relationship Id="rId249" Type="http://schemas.openxmlformats.org/officeDocument/2006/relationships/ctrlProp" Target="../ctrlProps/ctrlProp247.xml"/><Relationship Id="rId456" Type="http://schemas.openxmlformats.org/officeDocument/2006/relationships/ctrlProp" Target="../ctrlProps/ctrlProp454.xml"/><Relationship Id="rId663" Type="http://schemas.openxmlformats.org/officeDocument/2006/relationships/ctrlProp" Target="../ctrlProps/ctrlProp661.xml"/><Relationship Id="rId870" Type="http://schemas.openxmlformats.org/officeDocument/2006/relationships/ctrlProp" Target="../ctrlProps/ctrlProp868.xml"/><Relationship Id="rId13" Type="http://schemas.openxmlformats.org/officeDocument/2006/relationships/ctrlProp" Target="../ctrlProps/ctrlProp11.xml"/><Relationship Id="rId109" Type="http://schemas.openxmlformats.org/officeDocument/2006/relationships/ctrlProp" Target="../ctrlProps/ctrlProp107.xml"/><Relationship Id="rId316" Type="http://schemas.openxmlformats.org/officeDocument/2006/relationships/ctrlProp" Target="../ctrlProps/ctrlProp314.xml"/><Relationship Id="rId523" Type="http://schemas.openxmlformats.org/officeDocument/2006/relationships/ctrlProp" Target="../ctrlProps/ctrlProp521.xml"/><Relationship Id="rId968" Type="http://schemas.openxmlformats.org/officeDocument/2006/relationships/ctrlProp" Target="../ctrlProps/ctrlProp966.xml"/><Relationship Id="rId97" Type="http://schemas.openxmlformats.org/officeDocument/2006/relationships/ctrlProp" Target="../ctrlProps/ctrlProp95.xml"/><Relationship Id="rId730" Type="http://schemas.openxmlformats.org/officeDocument/2006/relationships/ctrlProp" Target="../ctrlProps/ctrlProp728.xml"/><Relationship Id="rId828" Type="http://schemas.openxmlformats.org/officeDocument/2006/relationships/ctrlProp" Target="../ctrlProps/ctrlProp826.xml"/><Relationship Id="rId1013" Type="http://schemas.openxmlformats.org/officeDocument/2006/relationships/ctrlProp" Target="../ctrlProps/ctrlProp1011.xml"/><Relationship Id="rId162" Type="http://schemas.openxmlformats.org/officeDocument/2006/relationships/ctrlProp" Target="../ctrlProps/ctrlProp160.xml"/><Relationship Id="rId467" Type="http://schemas.openxmlformats.org/officeDocument/2006/relationships/ctrlProp" Target="../ctrlProps/ctrlProp465.xml"/><Relationship Id="rId674" Type="http://schemas.openxmlformats.org/officeDocument/2006/relationships/ctrlProp" Target="../ctrlProps/ctrlProp672.xml"/><Relationship Id="rId881" Type="http://schemas.openxmlformats.org/officeDocument/2006/relationships/ctrlProp" Target="../ctrlProps/ctrlProp879.xml"/><Relationship Id="rId979" Type="http://schemas.openxmlformats.org/officeDocument/2006/relationships/ctrlProp" Target="../ctrlProps/ctrlProp977.xml"/><Relationship Id="rId24" Type="http://schemas.openxmlformats.org/officeDocument/2006/relationships/ctrlProp" Target="../ctrlProps/ctrlProp22.xml"/><Relationship Id="rId327" Type="http://schemas.openxmlformats.org/officeDocument/2006/relationships/ctrlProp" Target="../ctrlProps/ctrlProp325.xml"/><Relationship Id="rId534" Type="http://schemas.openxmlformats.org/officeDocument/2006/relationships/ctrlProp" Target="../ctrlProps/ctrlProp532.xml"/><Relationship Id="rId741" Type="http://schemas.openxmlformats.org/officeDocument/2006/relationships/ctrlProp" Target="../ctrlProps/ctrlProp739.xml"/><Relationship Id="rId839" Type="http://schemas.openxmlformats.org/officeDocument/2006/relationships/ctrlProp" Target="../ctrlProps/ctrlProp837.xml"/><Relationship Id="rId173" Type="http://schemas.openxmlformats.org/officeDocument/2006/relationships/ctrlProp" Target="../ctrlProps/ctrlProp171.xml"/><Relationship Id="rId380" Type="http://schemas.openxmlformats.org/officeDocument/2006/relationships/ctrlProp" Target="../ctrlProps/ctrlProp378.xml"/><Relationship Id="rId601" Type="http://schemas.openxmlformats.org/officeDocument/2006/relationships/ctrlProp" Target="../ctrlProps/ctrlProp599.xml"/><Relationship Id="rId1024" Type="http://schemas.openxmlformats.org/officeDocument/2006/relationships/ctrlProp" Target="../ctrlProps/ctrlProp1022.xml"/><Relationship Id="rId240" Type="http://schemas.openxmlformats.org/officeDocument/2006/relationships/ctrlProp" Target="../ctrlProps/ctrlProp238.xml"/><Relationship Id="rId478" Type="http://schemas.openxmlformats.org/officeDocument/2006/relationships/ctrlProp" Target="../ctrlProps/ctrlProp476.xml"/><Relationship Id="rId685" Type="http://schemas.openxmlformats.org/officeDocument/2006/relationships/ctrlProp" Target="../ctrlProps/ctrlProp683.xml"/><Relationship Id="rId892" Type="http://schemas.openxmlformats.org/officeDocument/2006/relationships/ctrlProp" Target="../ctrlProps/ctrlProp890.xml"/><Relationship Id="rId906" Type="http://schemas.openxmlformats.org/officeDocument/2006/relationships/ctrlProp" Target="../ctrlProps/ctrlProp904.xml"/><Relationship Id="rId35" Type="http://schemas.openxmlformats.org/officeDocument/2006/relationships/ctrlProp" Target="../ctrlProps/ctrlProp33.xml"/><Relationship Id="rId100" Type="http://schemas.openxmlformats.org/officeDocument/2006/relationships/ctrlProp" Target="../ctrlProps/ctrlProp98.xml"/><Relationship Id="rId338" Type="http://schemas.openxmlformats.org/officeDocument/2006/relationships/ctrlProp" Target="../ctrlProps/ctrlProp336.xml"/><Relationship Id="rId545" Type="http://schemas.openxmlformats.org/officeDocument/2006/relationships/ctrlProp" Target="../ctrlProps/ctrlProp543.xml"/><Relationship Id="rId752" Type="http://schemas.openxmlformats.org/officeDocument/2006/relationships/ctrlProp" Target="../ctrlProps/ctrlProp750.xml"/><Relationship Id="rId184" Type="http://schemas.openxmlformats.org/officeDocument/2006/relationships/ctrlProp" Target="../ctrlProps/ctrlProp182.xml"/><Relationship Id="rId391" Type="http://schemas.openxmlformats.org/officeDocument/2006/relationships/ctrlProp" Target="../ctrlProps/ctrlProp389.xml"/><Relationship Id="rId405" Type="http://schemas.openxmlformats.org/officeDocument/2006/relationships/ctrlProp" Target="../ctrlProps/ctrlProp403.xml"/><Relationship Id="rId612" Type="http://schemas.openxmlformats.org/officeDocument/2006/relationships/ctrlProp" Target="../ctrlProps/ctrlProp610.xml"/><Relationship Id="rId1035" Type="http://schemas.openxmlformats.org/officeDocument/2006/relationships/ctrlProp" Target="../ctrlProps/ctrlProp1033.xml"/><Relationship Id="rId251" Type="http://schemas.openxmlformats.org/officeDocument/2006/relationships/ctrlProp" Target="../ctrlProps/ctrlProp249.xml"/><Relationship Id="rId489" Type="http://schemas.openxmlformats.org/officeDocument/2006/relationships/ctrlProp" Target="../ctrlProps/ctrlProp487.xml"/><Relationship Id="rId696" Type="http://schemas.openxmlformats.org/officeDocument/2006/relationships/ctrlProp" Target="../ctrlProps/ctrlProp694.xml"/><Relationship Id="rId917" Type="http://schemas.openxmlformats.org/officeDocument/2006/relationships/ctrlProp" Target="../ctrlProps/ctrlProp915.xml"/><Relationship Id="rId46" Type="http://schemas.openxmlformats.org/officeDocument/2006/relationships/ctrlProp" Target="../ctrlProps/ctrlProp44.xml"/><Relationship Id="rId349" Type="http://schemas.openxmlformats.org/officeDocument/2006/relationships/ctrlProp" Target="../ctrlProps/ctrlProp347.xml"/><Relationship Id="rId556" Type="http://schemas.openxmlformats.org/officeDocument/2006/relationships/ctrlProp" Target="../ctrlProps/ctrlProp554.xml"/><Relationship Id="rId763" Type="http://schemas.openxmlformats.org/officeDocument/2006/relationships/ctrlProp" Target="../ctrlProps/ctrlProp761.xml"/><Relationship Id="rId111" Type="http://schemas.openxmlformats.org/officeDocument/2006/relationships/ctrlProp" Target="../ctrlProps/ctrlProp109.xml"/><Relationship Id="rId195" Type="http://schemas.openxmlformats.org/officeDocument/2006/relationships/ctrlProp" Target="../ctrlProps/ctrlProp193.xml"/><Relationship Id="rId209" Type="http://schemas.openxmlformats.org/officeDocument/2006/relationships/ctrlProp" Target="../ctrlProps/ctrlProp207.xml"/><Relationship Id="rId416" Type="http://schemas.openxmlformats.org/officeDocument/2006/relationships/ctrlProp" Target="../ctrlProps/ctrlProp414.xml"/><Relationship Id="rId970" Type="http://schemas.openxmlformats.org/officeDocument/2006/relationships/ctrlProp" Target="../ctrlProps/ctrlProp968.xml"/><Relationship Id="rId1046" Type="http://schemas.openxmlformats.org/officeDocument/2006/relationships/ctrlProp" Target="../ctrlProps/ctrlProp1044.xml"/><Relationship Id="rId623" Type="http://schemas.openxmlformats.org/officeDocument/2006/relationships/ctrlProp" Target="../ctrlProps/ctrlProp621.xml"/><Relationship Id="rId830" Type="http://schemas.openxmlformats.org/officeDocument/2006/relationships/ctrlProp" Target="../ctrlProps/ctrlProp828.xml"/><Relationship Id="rId928" Type="http://schemas.openxmlformats.org/officeDocument/2006/relationships/ctrlProp" Target="../ctrlProps/ctrlProp926.xml"/><Relationship Id="rId57" Type="http://schemas.openxmlformats.org/officeDocument/2006/relationships/ctrlProp" Target="../ctrlProps/ctrlProp55.xml"/><Relationship Id="rId262" Type="http://schemas.openxmlformats.org/officeDocument/2006/relationships/ctrlProp" Target="../ctrlProps/ctrlProp260.xml"/><Relationship Id="rId567" Type="http://schemas.openxmlformats.org/officeDocument/2006/relationships/ctrlProp" Target="../ctrlProps/ctrlProp565.xml"/><Relationship Id="rId122" Type="http://schemas.openxmlformats.org/officeDocument/2006/relationships/ctrlProp" Target="../ctrlProps/ctrlProp120.xml"/><Relationship Id="rId774" Type="http://schemas.openxmlformats.org/officeDocument/2006/relationships/ctrlProp" Target="../ctrlProps/ctrlProp772.xml"/><Relationship Id="rId981" Type="http://schemas.openxmlformats.org/officeDocument/2006/relationships/ctrlProp" Target="../ctrlProps/ctrlProp979.xml"/><Relationship Id="rId427" Type="http://schemas.openxmlformats.org/officeDocument/2006/relationships/ctrlProp" Target="../ctrlProps/ctrlProp425.xml"/><Relationship Id="rId634" Type="http://schemas.openxmlformats.org/officeDocument/2006/relationships/ctrlProp" Target="../ctrlProps/ctrlProp632.xml"/><Relationship Id="rId841" Type="http://schemas.openxmlformats.org/officeDocument/2006/relationships/ctrlProp" Target="../ctrlProps/ctrlProp839.xml"/><Relationship Id="rId273" Type="http://schemas.openxmlformats.org/officeDocument/2006/relationships/ctrlProp" Target="../ctrlProps/ctrlProp271.xml"/><Relationship Id="rId480" Type="http://schemas.openxmlformats.org/officeDocument/2006/relationships/ctrlProp" Target="../ctrlProps/ctrlProp478.xml"/><Relationship Id="rId701" Type="http://schemas.openxmlformats.org/officeDocument/2006/relationships/ctrlProp" Target="../ctrlProps/ctrlProp699.xml"/><Relationship Id="rId939" Type="http://schemas.openxmlformats.org/officeDocument/2006/relationships/ctrlProp" Target="../ctrlProps/ctrlProp937.xml"/><Relationship Id="rId68" Type="http://schemas.openxmlformats.org/officeDocument/2006/relationships/ctrlProp" Target="../ctrlProps/ctrlProp66.xml"/><Relationship Id="rId133" Type="http://schemas.openxmlformats.org/officeDocument/2006/relationships/ctrlProp" Target="../ctrlProps/ctrlProp131.xml"/><Relationship Id="rId340" Type="http://schemas.openxmlformats.org/officeDocument/2006/relationships/ctrlProp" Target="../ctrlProps/ctrlProp338.xml"/><Relationship Id="rId578" Type="http://schemas.openxmlformats.org/officeDocument/2006/relationships/ctrlProp" Target="../ctrlProps/ctrlProp576.xml"/><Relationship Id="rId785" Type="http://schemas.openxmlformats.org/officeDocument/2006/relationships/ctrlProp" Target="../ctrlProps/ctrlProp783.xml"/><Relationship Id="rId992" Type="http://schemas.openxmlformats.org/officeDocument/2006/relationships/ctrlProp" Target="../ctrlProps/ctrlProp990.xml"/><Relationship Id="rId200" Type="http://schemas.openxmlformats.org/officeDocument/2006/relationships/ctrlProp" Target="../ctrlProps/ctrlProp198.xml"/><Relationship Id="rId438" Type="http://schemas.openxmlformats.org/officeDocument/2006/relationships/ctrlProp" Target="../ctrlProps/ctrlProp436.xml"/><Relationship Id="rId645" Type="http://schemas.openxmlformats.org/officeDocument/2006/relationships/ctrlProp" Target="../ctrlProps/ctrlProp643.xml"/><Relationship Id="rId852" Type="http://schemas.openxmlformats.org/officeDocument/2006/relationships/ctrlProp" Target="../ctrlProps/ctrlProp850.xml"/><Relationship Id="rId284" Type="http://schemas.openxmlformats.org/officeDocument/2006/relationships/ctrlProp" Target="../ctrlProps/ctrlProp282.xml"/><Relationship Id="rId491" Type="http://schemas.openxmlformats.org/officeDocument/2006/relationships/ctrlProp" Target="../ctrlProps/ctrlProp489.xml"/><Relationship Id="rId505" Type="http://schemas.openxmlformats.org/officeDocument/2006/relationships/ctrlProp" Target="../ctrlProps/ctrlProp503.xml"/><Relationship Id="rId712" Type="http://schemas.openxmlformats.org/officeDocument/2006/relationships/ctrlProp" Target="../ctrlProps/ctrlProp710.xml"/><Relationship Id="rId79" Type="http://schemas.openxmlformats.org/officeDocument/2006/relationships/ctrlProp" Target="../ctrlProps/ctrlProp77.xml"/><Relationship Id="rId144" Type="http://schemas.openxmlformats.org/officeDocument/2006/relationships/ctrlProp" Target="../ctrlProps/ctrlProp142.xml"/><Relationship Id="rId589" Type="http://schemas.openxmlformats.org/officeDocument/2006/relationships/ctrlProp" Target="../ctrlProps/ctrlProp587.xml"/><Relationship Id="rId796" Type="http://schemas.openxmlformats.org/officeDocument/2006/relationships/ctrlProp" Target="../ctrlProps/ctrlProp794.xml"/><Relationship Id="rId351" Type="http://schemas.openxmlformats.org/officeDocument/2006/relationships/ctrlProp" Target="../ctrlProps/ctrlProp349.xml"/><Relationship Id="rId449" Type="http://schemas.openxmlformats.org/officeDocument/2006/relationships/ctrlProp" Target="../ctrlProps/ctrlProp447.xml"/><Relationship Id="rId656" Type="http://schemas.openxmlformats.org/officeDocument/2006/relationships/ctrlProp" Target="../ctrlProps/ctrlProp654.xml"/><Relationship Id="rId863" Type="http://schemas.openxmlformats.org/officeDocument/2006/relationships/ctrlProp" Target="../ctrlProps/ctrlProp861.xml"/><Relationship Id="rId211" Type="http://schemas.openxmlformats.org/officeDocument/2006/relationships/ctrlProp" Target="../ctrlProps/ctrlProp209.xml"/><Relationship Id="rId295" Type="http://schemas.openxmlformats.org/officeDocument/2006/relationships/ctrlProp" Target="../ctrlProps/ctrlProp293.xml"/><Relationship Id="rId309" Type="http://schemas.openxmlformats.org/officeDocument/2006/relationships/ctrlProp" Target="../ctrlProps/ctrlProp307.xml"/><Relationship Id="rId516" Type="http://schemas.openxmlformats.org/officeDocument/2006/relationships/ctrlProp" Target="../ctrlProps/ctrlProp514.xml"/><Relationship Id="rId723" Type="http://schemas.openxmlformats.org/officeDocument/2006/relationships/ctrlProp" Target="../ctrlProps/ctrlProp721.xml"/><Relationship Id="rId930" Type="http://schemas.openxmlformats.org/officeDocument/2006/relationships/ctrlProp" Target="../ctrlProps/ctrlProp928.xml"/><Relationship Id="rId1006" Type="http://schemas.openxmlformats.org/officeDocument/2006/relationships/ctrlProp" Target="../ctrlProps/ctrlProp1004.xml"/><Relationship Id="rId155" Type="http://schemas.openxmlformats.org/officeDocument/2006/relationships/ctrlProp" Target="../ctrlProps/ctrlProp153.xml"/><Relationship Id="rId362" Type="http://schemas.openxmlformats.org/officeDocument/2006/relationships/ctrlProp" Target="../ctrlProps/ctrlProp360.xml"/><Relationship Id="rId222" Type="http://schemas.openxmlformats.org/officeDocument/2006/relationships/ctrlProp" Target="../ctrlProps/ctrlProp220.xml"/><Relationship Id="rId667" Type="http://schemas.openxmlformats.org/officeDocument/2006/relationships/ctrlProp" Target="../ctrlProps/ctrlProp665.xml"/><Relationship Id="rId874" Type="http://schemas.openxmlformats.org/officeDocument/2006/relationships/ctrlProp" Target="../ctrlProps/ctrlProp872.xml"/><Relationship Id="rId17" Type="http://schemas.openxmlformats.org/officeDocument/2006/relationships/ctrlProp" Target="../ctrlProps/ctrlProp15.xml"/><Relationship Id="rId527" Type="http://schemas.openxmlformats.org/officeDocument/2006/relationships/ctrlProp" Target="../ctrlProps/ctrlProp525.xml"/><Relationship Id="rId734" Type="http://schemas.openxmlformats.org/officeDocument/2006/relationships/ctrlProp" Target="../ctrlProps/ctrlProp732.xml"/><Relationship Id="rId941" Type="http://schemas.openxmlformats.org/officeDocument/2006/relationships/ctrlProp" Target="../ctrlProps/ctrlProp939.xml"/><Relationship Id="rId70" Type="http://schemas.openxmlformats.org/officeDocument/2006/relationships/ctrlProp" Target="../ctrlProps/ctrlProp68.xml"/><Relationship Id="rId166" Type="http://schemas.openxmlformats.org/officeDocument/2006/relationships/ctrlProp" Target="../ctrlProps/ctrlProp164.xml"/><Relationship Id="rId373" Type="http://schemas.openxmlformats.org/officeDocument/2006/relationships/ctrlProp" Target="../ctrlProps/ctrlProp371.xml"/><Relationship Id="rId580" Type="http://schemas.openxmlformats.org/officeDocument/2006/relationships/ctrlProp" Target="../ctrlProps/ctrlProp578.xml"/><Relationship Id="rId801" Type="http://schemas.openxmlformats.org/officeDocument/2006/relationships/ctrlProp" Target="../ctrlProps/ctrlProp799.xml"/><Relationship Id="rId1017" Type="http://schemas.openxmlformats.org/officeDocument/2006/relationships/ctrlProp" Target="../ctrlProps/ctrlProp1015.xml"/><Relationship Id="rId1" Type="http://schemas.openxmlformats.org/officeDocument/2006/relationships/printerSettings" Target="../printerSettings/printerSettings2.bin"/><Relationship Id="rId233" Type="http://schemas.openxmlformats.org/officeDocument/2006/relationships/ctrlProp" Target="../ctrlProps/ctrlProp231.xml"/><Relationship Id="rId440" Type="http://schemas.openxmlformats.org/officeDocument/2006/relationships/ctrlProp" Target="../ctrlProps/ctrlProp438.xml"/><Relationship Id="rId678" Type="http://schemas.openxmlformats.org/officeDocument/2006/relationships/ctrlProp" Target="../ctrlProps/ctrlProp676.xml"/><Relationship Id="rId885" Type="http://schemas.openxmlformats.org/officeDocument/2006/relationships/ctrlProp" Target="../ctrlProps/ctrlProp883.xml"/><Relationship Id="rId28" Type="http://schemas.openxmlformats.org/officeDocument/2006/relationships/ctrlProp" Target="../ctrlProps/ctrlProp26.xml"/><Relationship Id="rId300" Type="http://schemas.openxmlformats.org/officeDocument/2006/relationships/ctrlProp" Target="../ctrlProps/ctrlProp298.xml"/><Relationship Id="rId538" Type="http://schemas.openxmlformats.org/officeDocument/2006/relationships/ctrlProp" Target="../ctrlProps/ctrlProp536.xml"/><Relationship Id="rId745" Type="http://schemas.openxmlformats.org/officeDocument/2006/relationships/ctrlProp" Target="../ctrlProps/ctrlProp743.xml"/><Relationship Id="rId952" Type="http://schemas.openxmlformats.org/officeDocument/2006/relationships/ctrlProp" Target="../ctrlProps/ctrlProp950.xml"/><Relationship Id="rId81" Type="http://schemas.openxmlformats.org/officeDocument/2006/relationships/ctrlProp" Target="../ctrlProps/ctrlProp79.xml"/><Relationship Id="rId177" Type="http://schemas.openxmlformats.org/officeDocument/2006/relationships/ctrlProp" Target="../ctrlProps/ctrlProp175.xml"/><Relationship Id="rId384" Type="http://schemas.openxmlformats.org/officeDocument/2006/relationships/ctrlProp" Target="../ctrlProps/ctrlProp382.xml"/><Relationship Id="rId591" Type="http://schemas.openxmlformats.org/officeDocument/2006/relationships/ctrlProp" Target="../ctrlProps/ctrlProp589.xml"/><Relationship Id="rId605" Type="http://schemas.openxmlformats.org/officeDocument/2006/relationships/ctrlProp" Target="../ctrlProps/ctrlProp603.xml"/><Relationship Id="rId812" Type="http://schemas.openxmlformats.org/officeDocument/2006/relationships/ctrlProp" Target="../ctrlProps/ctrlProp810.xml"/><Relationship Id="rId1028" Type="http://schemas.openxmlformats.org/officeDocument/2006/relationships/ctrlProp" Target="../ctrlProps/ctrlProp1026.xml"/><Relationship Id="rId244" Type="http://schemas.openxmlformats.org/officeDocument/2006/relationships/ctrlProp" Target="../ctrlProps/ctrlProp242.xml"/><Relationship Id="rId689" Type="http://schemas.openxmlformats.org/officeDocument/2006/relationships/ctrlProp" Target="../ctrlProps/ctrlProp687.xml"/><Relationship Id="rId896" Type="http://schemas.openxmlformats.org/officeDocument/2006/relationships/ctrlProp" Target="../ctrlProps/ctrlProp894.xml"/><Relationship Id="rId39" Type="http://schemas.openxmlformats.org/officeDocument/2006/relationships/ctrlProp" Target="../ctrlProps/ctrlProp37.xml"/><Relationship Id="rId451" Type="http://schemas.openxmlformats.org/officeDocument/2006/relationships/ctrlProp" Target="../ctrlProps/ctrlProp449.xml"/><Relationship Id="rId549" Type="http://schemas.openxmlformats.org/officeDocument/2006/relationships/ctrlProp" Target="../ctrlProps/ctrlProp547.xml"/><Relationship Id="rId756" Type="http://schemas.openxmlformats.org/officeDocument/2006/relationships/ctrlProp" Target="../ctrlProps/ctrlProp754.xml"/><Relationship Id="rId104" Type="http://schemas.openxmlformats.org/officeDocument/2006/relationships/ctrlProp" Target="../ctrlProps/ctrlProp102.xml"/><Relationship Id="rId188" Type="http://schemas.openxmlformats.org/officeDocument/2006/relationships/ctrlProp" Target="../ctrlProps/ctrlProp186.xml"/><Relationship Id="rId311" Type="http://schemas.openxmlformats.org/officeDocument/2006/relationships/ctrlProp" Target="../ctrlProps/ctrlProp309.xml"/><Relationship Id="rId395" Type="http://schemas.openxmlformats.org/officeDocument/2006/relationships/ctrlProp" Target="../ctrlProps/ctrlProp393.xml"/><Relationship Id="rId409" Type="http://schemas.openxmlformats.org/officeDocument/2006/relationships/ctrlProp" Target="../ctrlProps/ctrlProp407.xml"/><Relationship Id="rId963" Type="http://schemas.openxmlformats.org/officeDocument/2006/relationships/ctrlProp" Target="../ctrlProps/ctrlProp961.xml"/><Relationship Id="rId1039" Type="http://schemas.openxmlformats.org/officeDocument/2006/relationships/ctrlProp" Target="../ctrlProps/ctrlProp1037.xml"/><Relationship Id="rId92" Type="http://schemas.openxmlformats.org/officeDocument/2006/relationships/ctrlProp" Target="../ctrlProps/ctrlProp90.xml"/><Relationship Id="rId616" Type="http://schemas.openxmlformats.org/officeDocument/2006/relationships/ctrlProp" Target="../ctrlProps/ctrlProp614.xml"/><Relationship Id="rId823" Type="http://schemas.openxmlformats.org/officeDocument/2006/relationships/ctrlProp" Target="../ctrlProps/ctrlProp821.xml"/><Relationship Id="rId255" Type="http://schemas.openxmlformats.org/officeDocument/2006/relationships/ctrlProp" Target="../ctrlProps/ctrlProp253.xml"/><Relationship Id="rId462" Type="http://schemas.openxmlformats.org/officeDocument/2006/relationships/ctrlProp" Target="../ctrlProps/ctrlProp460.xml"/><Relationship Id="rId115" Type="http://schemas.openxmlformats.org/officeDocument/2006/relationships/ctrlProp" Target="../ctrlProps/ctrlProp113.xml"/><Relationship Id="rId322" Type="http://schemas.openxmlformats.org/officeDocument/2006/relationships/ctrlProp" Target="../ctrlProps/ctrlProp320.xml"/><Relationship Id="rId767" Type="http://schemas.openxmlformats.org/officeDocument/2006/relationships/ctrlProp" Target="../ctrlProps/ctrlProp765.xml"/><Relationship Id="rId974" Type="http://schemas.openxmlformats.org/officeDocument/2006/relationships/ctrlProp" Target="../ctrlProps/ctrlProp972.xml"/><Relationship Id="rId199" Type="http://schemas.openxmlformats.org/officeDocument/2006/relationships/ctrlProp" Target="../ctrlProps/ctrlProp197.xml"/><Relationship Id="rId627" Type="http://schemas.openxmlformats.org/officeDocument/2006/relationships/ctrlProp" Target="../ctrlProps/ctrlProp625.xml"/><Relationship Id="rId834" Type="http://schemas.openxmlformats.org/officeDocument/2006/relationships/ctrlProp" Target="../ctrlProps/ctrlProp832.xml"/><Relationship Id="rId266" Type="http://schemas.openxmlformats.org/officeDocument/2006/relationships/ctrlProp" Target="../ctrlProps/ctrlProp264.xml"/><Relationship Id="rId473" Type="http://schemas.openxmlformats.org/officeDocument/2006/relationships/ctrlProp" Target="../ctrlProps/ctrlProp471.xml"/><Relationship Id="rId680" Type="http://schemas.openxmlformats.org/officeDocument/2006/relationships/ctrlProp" Target="../ctrlProps/ctrlProp678.xml"/><Relationship Id="rId901" Type="http://schemas.openxmlformats.org/officeDocument/2006/relationships/ctrlProp" Target="../ctrlProps/ctrlProp899.xml"/><Relationship Id="rId30" Type="http://schemas.openxmlformats.org/officeDocument/2006/relationships/ctrlProp" Target="../ctrlProps/ctrlProp28.xml"/><Relationship Id="rId126" Type="http://schemas.openxmlformats.org/officeDocument/2006/relationships/ctrlProp" Target="../ctrlProps/ctrlProp124.xml"/><Relationship Id="rId333" Type="http://schemas.openxmlformats.org/officeDocument/2006/relationships/ctrlProp" Target="../ctrlProps/ctrlProp331.xml"/><Relationship Id="rId540" Type="http://schemas.openxmlformats.org/officeDocument/2006/relationships/ctrlProp" Target="../ctrlProps/ctrlProp538.xml"/><Relationship Id="rId778" Type="http://schemas.openxmlformats.org/officeDocument/2006/relationships/ctrlProp" Target="../ctrlProps/ctrlProp776.xml"/><Relationship Id="rId985" Type="http://schemas.openxmlformats.org/officeDocument/2006/relationships/ctrlProp" Target="../ctrlProps/ctrlProp983.xml"/><Relationship Id="rId638" Type="http://schemas.openxmlformats.org/officeDocument/2006/relationships/ctrlProp" Target="../ctrlProps/ctrlProp636.xml"/><Relationship Id="rId845" Type="http://schemas.openxmlformats.org/officeDocument/2006/relationships/ctrlProp" Target="../ctrlProps/ctrlProp843.xml"/><Relationship Id="rId1030" Type="http://schemas.openxmlformats.org/officeDocument/2006/relationships/ctrlProp" Target="../ctrlProps/ctrlProp1028.xml"/><Relationship Id="rId277" Type="http://schemas.openxmlformats.org/officeDocument/2006/relationships/ctrlProp" Target="../ctrlProps/ctrlProp275.xml"/><Relationship Id="rId400" Type="http://schemas.openxmlformats.org/officeDocument/2006/relationships/ctrlProp" Target="../ctrlProps/ctrlProp398.xml"/><Relationship Id="rId484" Type="http://schemas.openxmlformats.org/officeDocument/2006/relationships/ctrlProp" Target="../ctrlProps/ctrlProp482.xml"/><Relationship Id="rId705" Type="http://schemas.openxmlformats.org/officeDocument/2006/relationships/ctrlProp" Target="../ctrlProps/ctrlProp703.xml"/><Relationship Id="rId137" Type="http://schemas.openxmlformats.org/officeDocument/2006/relationships/ctrlProp" Target="../ctrlProps/ctrlProp135.xml"/><Relationship Id="rId344" Type="http://schemas.openxmlformats.org/officeDocument/2006/relationships/ctrlProp" Target="../ctrlProps/ctrlProp342.xml"/><Relationship Id="rId691" Type="http://schemas.openxmlformats.org/officeDocument/2006/relationships/ctrlProp" Target="../ctrlProps/ctrlProp689.xml"/><Relationship Id="rId789" Type="http://schemas.openxmlformats.org/officeDocument/2006/relationships/ctrlProp" Target="../ctrlProps/ctrlProp787.xml"/><Relationship Id="rId912" Type="http://schemas.openxmlformats.org/officeDocument/2006/relationships/ctrlProp" Target="../ctrlProps/ctrlProp910.xml"/><Relationship Id="rId996" Type="http://schemas.openxmlformats.org/officeDocument/2006/relationships/ctrlProp" Target="../ctrlProps/ctrlProp994.xml"/><Relationship Id="rId41" Type="http://schemas.openxmlformats.org/officeDocument/2006/relationships/ctrlProp" Target="../ctrlProps/ctrlProp39.xml"/><Relationship Id="rId551" Type="http://schemas.openxmlformats.org/officeDocument/2006/relationships/ctrlProp" Target="../ctrlProps/ctrlProp549.xml"/><Relationship Id="rId649" Type="http://schemas.openxmlformats.org/officeDocument/2006/relationships/ctrlProp" Target="../ctrlProps/ctrlProp647.xml"/><Relationship Id="rId856" Type="http://schemas.openxmlformats.org/officeDocument/2006/relationships/ctrlProp" Target="../ctrlProps/ctrlProp854.xml"/><Relationship Id="rId190" Type="http://schemas.openxmlformats.org/officeDocument/2006/relationships/ctrlProp" Target="../ctrlProps/ctrlProp188.xml"/><Relationship Id="rId204" Type="http://schemas.openxmlformats.org/officeDocument/2006/relationships/ctrlProp" Target="../ctrlProps/ctrlProp202.xml"/><Relationship Id="rId288" Type="http://schemas.openxmlformats.org/officeDocument/2006/relationships/ctrlProp" Target="../ctrlProps/ctrlProp286.xml"/><Relationship Id="rId411" Type="http://schemas.openxmlformats.org/officeDocument/2006/relationships/ctrlProp" Target="../ctrlProps/ctrlProp409.xml"/><Relationship Id="rId509" Type="http://schemas.openxmlformats.org/officeDocument/2006/relationships/ctrlProp" Target="../ctrlProps/ctrlProp507.xml"/><Relationship Id="rId1041" Type="http://schemas.openxmlformats.org/officeDocument/2006/relationships/ctrlProp" Target="../ctrlProps/ctrlProp1039.xml"/><Relationship Id="rId495" Type="http://schemas.openxmlformats.org/officeDocument/2006/relationships/ctrlProp" Target="../ctrlProps/ctrlProp493.xml"/><Relationship Id="rId716" Type="http://schemas.openxmlformats.org/officeDocument/2006/relationships/ctrlProp" Target="../ctrlProps/ctrlProp714.xml"/><Relationship Id="rId923" Type="http://schemas.openxmlformats.org/officeDocument/2006/relationships/ctrlProp" Target="../ctrlProps/ctrlProp921.xml"/><Relationship Id="rId52" Type="http://schemas.openxmlformats.org/officeDocument/2006/relationships/ctrlProp" Target="../ctrlProps/ctrlProp50.xml"/><Relationship Id="rId148" Type="http://schemas.openxmlformats.org/officeDocument/2006/relationships/ctrlProp" Target="../ctrlProps/ctrlProp146.xml"/><Relationship Id="rId355" Type="http://schemas.openxmlformats.org/officeDocument/2006/relationships/ctrlProp" Target="../ctrlProps/ctrlProp353.xml"/><Relationship Id="rId562" Type="http://schemas.openxmlformats.org/officeDocument/2006/relationships/ctrlProp" Target="../ctrlProps/ctrlProp560.xml"/><Relationship Id="rId215" Type="http://schemas.openxmlformats.org/officeDocument/2006/relationships/ctrlProp" Target="../ctrlProps/ctrlProp213.xml"/><Relationship Id="rId422" Type="http://schemas.openxmlformats.org/officeDocument/2006/relationships/ctrlProp" Target="../ctrlProps/ctrlProp420.xml"/><Relationship Id="rId867" Type="http://schemas.openxmlformats.org/officeDocument/2006/relationships/ctrlProp" Target="../ctrlProps/ctrlProp865.xml"/><Relationship Id="rId299" Type="http://schemas.openxmlformats.org/officeDocument/2006/relationships/ctrlProp" Target="../ctrlProps/ctrlProp297.xml"/><Relationship Id="rId727" Type="http://schemas.openxmlformats.org/officeDocument/2006/relationships/ctrlProp" Target="../ctrlProps/ctrlProp725.xml"/><Relationship Id="rId934" Type="http://schemas.openxmlformats.org/officeDocument/2006/relationships/ctrlProp" Target="../ctrlProps/ctrlProp932.xml"/><Relationship Id="rId63" Type="http://schemas.openxmlformats.org/officeDocument/2006/relationships/ctrlProp" Target="../ctrlProps/ctrlProp61.xml"/><Relationship Id="rId159" Type="http://schemas.openxmlformats.org/officeDocument/2006/relationships/ctrlProp" Target="../ctrlProps/ctrlProp157.xml"/><Relationship Id="rId366" Type="http://schemas.openxmlformats.org/officeDocument/2006/relationships/ctrlProp" Target="../ctrlProps/ctrlProp364.xml"/><Relationship Id="rId573" Type="http://schemas.openxmlformats.org/officeDocument/2006/relationships/ctrlProp" Target="../ctrlProps/ctrlProp571.xml"/><Relationship Id="rId780" Type="http://schemas.openxmlformats.org/officeDocument/2006/relationships/ctrlProp" Target="../ctrlProps/ctrlProp778.xml"/><Relationship Id="rId226" Type="http://schemas.openxmlformats.org/officeDocument/2006/relationships/ctrlProp" Target="../ctrlProps/ctrlProp224.xml"/><Relationship Id="rId433" Type="http://schemas.openxmlformats.org/officeDocument/2006/relationships/ctrlProp" Target="../ctrlProps/ctrlProp431.xml"/><Relationship Id="rId878" Type="http://schemas.openxmlformats.org/officeDocument/2006/relationships/ctrlProp" Target="../ctrlProps/ctrlProp876.xml"/><Relationship Id="rId640" Type="http://schemas.openxmlformats.org/officeDocument/2006/relationships/ctrlProp" Target="../ctrlProps/ctrlProp638.xml"/><Relationship Id="rId738" Type="http://schemas.openxmlformats.org/officeDocument/2006/relationships/ctrlProp" Target="../ctrlProps/ctrlProp736.xml"/><Relationship Id="rId945" Type="http://schemas.openxmlformats.org/officeDocument/2006/relationships/ctrlProp" Target="../ctrlProps/ctrlProp943.xml"/><Relationship Id="rId74" Type="http://schemas.openxmlformats.org/officeDocument/2006/relationships/ctrlProp" Target="../ctrlProps/ctrlProp72.xml"/><Relationship Id="rId377" Type="http://schemas.openxmlformats.org/officeDocument/2006/relationships/ctrlProp" Target="../ctrlProps/ctrlProp375.xml"/><Relationship Id="rId500" Type="http://schemas.openxmlformats.org/officeDocument/2006/relationships/ctrlProp" Target="../ctrlProps/ctrlProp498.xml"/><Relationship Id="rId584" Type="http://schemas.openxmlformats.org/officeDocument/2006/relationships/ctrlProp" Target="../ctrlProps/ctrlProp582.xml"/><Relationship Id="rId805" Type="http://schemas.openxmlformats.org/officeDocument/2006/relationships/ctrlProp" Target="../ctrlProps/ctrlProp803.xml"/><Relationship Id="rId5" Type="http://schemas.openxmlformats.org/officeDocument/2006/relationships/ctrlProp" Target="../ctrlProps/ctrlProp3.xml"/><Relationship Id="rId237" Type="http://schemas.openxmlformats.org/officeDocument/2006/relationships/ctrlProp" Target="../ctrlProps/ctrlProp235.xml"/><Relationship Id="rId791" Type="http://schemas.openxmlformats.org/officeDocument/2006/relationships/ctrlProp" Target="../ctrlProps/ctrlProp789.xml"/><Relationship Id="rId889" Type="http://schemas.openxmlformats.org/officeDocument/2006/relationships/ctrlProp" Target="../ctrlProps/ctrlProp887.xml"/><Relationship Id="rId444" Type="http://schemas.openxmlformats.org/officeDocument/2006/relationships/ctrlProp" Target="../ctrlProps/ctrlProp442.xml"/><Relationship Id="rId651" Type="http://schemas.openxmlformats.org/officeDocument/2006/relationships/ctrlProp" Target="../ctrlProps/ctrlProp649.xml"/><Relationship Id="rId749" Type="http://schemas.openxmlformats.org/officeDocument/2006/relationships/ctrlProp" Target="../ctrlProps/ctrlProp747.xml"/><Relationship Id="rId290" Type="http://schemas.openxmlformats.org/officeDocument/2006/relationships/ctrlProp" Target="../ctrlProps/ctrlProp288.xml"/><Relationship Id="rId304" Type="http://schemas.openxmlformats.org/officeDocument/2006/relationships/ctrlProp" Target="../ctrlProps/ctrlProp302.xml"/><Relationship Id="rId388" Type="http://schemas.openxmlformats.org/officeDocument/2006/relationships/ctrlProp" Target="../ctrlProps/ctrlProp386.xml"/><Relationship Id="rId511" Type="http://schemas.openxmlformats.org/officeDocument/2006/relationships/ctrlProp" Target="../ctrlProps/ctrlProp509.xml"/><Relationship Id="rId609" Type="http://schemas.openxmlformats.org/officeDocument/2006/relationships/ctrlProp" Target="../ctrlProps/ctrlProp607.xml"/><Relationship Id="rId956" Type="http://schemas.openxmlformats.org/officeDocument/2006/relationships/ctrlProp" Target="../ctrlProps/ctrlProp954.xml"/><Relationship Id="rId85" Type="http://schemas.openxmlformats.org/officeDocument/2006/relationships/ctrlProp" Target="../ctrlProps/ctrlProp83.xml"/><Relationship Id="rId150" Type="http://schemas.openxmlformats.org/officeDocument/2006/relationships/ctrlProp" Target="../ctrlProps/ctrlProp148.xml"/><Relationship Id="rId595" Type="http://schemas.openxmlformats.org/officeDocument/2006/relationships/ctrlProp" Target="../ctrlProps/ctrlProp593.xml"/><Relationship Id="rId816" Type="http://schemas.openxmlformats.org/officeDocument/2006/relationships/ctrlProp" Target="../ctrlProps/ctrlProp814.xml"/><Relationship Id="rId1001" Type="http://schemas.openxmlformats.org/officeDocument/2006/relationships/ctrlProp" Target="../ctrlProps/ctrlProp999.xml"/><Relationship Id="rId248" Type="http://schemas.openxmlformats.org/officeDocument/2006/relationships/ctrlProp" Target="../ctrlProps/ctrlProp246.xml"/><Relationship Id="rId455" Type="http://schemas.openxmlformats.org/officeDocument/2006/relationships/ctrlProp" Target="../ctrlProps/ctrlProp453.xml"/><Relationship Id="rId662" Type="http://schemas.openxmlformats.org/officeDocument/2006/relationships/ctrlProp" Target="../ctrlProps/ctrlProp660.xml"/><Relationship Id="rId12" Type="http://schemas.openxmlformats.org/officeDocument/2006/relationships/ctrlProp" Target="../ctrlProps/ctrlProp10.xml"/><Relationship Id="rId108" Type="http://schemas.openxmlformats.org/officeDocument/2006/relationships/ctrlProp" Target="../ctrlProps/ctrlProp106.xml"/><Relationship Id="rId315" Type="http://schemas.openxmlformats.org/officeDocument/2006/relationships/ctrlProp" Target="../ctrlProps/ctrlProp313.xml"/><Relationship Id="rId522" Type="http://schemas.openxmlformats.org/officeDocument/2006/relationships/ctrlProp" Target="../ctrlProps/ctrlProp520.xml"/><Relationship Id="rId967" Type="http://schemas.openxmlformats.org/officeDocument/2006/relationships/ctrlProp" Target="../ctrlProps/ctrlProp965.xml"/><Relationship Id="rId96" Type="http://schemas.openxmlformats.org/officeDocument/2006/relationships/ctrlProp" Target="../ctrlProps/ctrlProp94.xml"/><Relationship Id="rId161" Type="http://schemas.openxmlformats.org/officeDocument/2006/relationships/ctrlProp" Target="../ctrlProps/ctrlProp159.xml"/><Relationship Id="rId399" Type="http://schemas.openxmlformats.org/officeDocument/2006/relationships/ctrlProp" Target="../ctrlProps/ctrlProp397.xml"/><Relationship Id="rId827" Type="http://schemas.openxmlformats.org/officeDocument/2006/relationships/ctrlProp" Target="../ctrlProps/ctrlProp825.xml"/><Relationship Id="rId1012" Type="http://schemas.openxmlformats.org/officeDocument/2006/relationships/ctrlProp" Target="../ctrlProps/ctrlProp1010.xml"/><Relationship Id="rId259" Type="http://schemas.openxmlformats.org/officeDocument/2006/relationships/ctrlProp" Target="../ctrlProps/ctrlProp257.xml"/><Relationship Id="rId466" Type="http://schemas.openxmlformats.org/officeDocument/2006/relationships/ctrlProp" Target="../ctrlProps/ctrlProp464.xml"/><Relationship Id="rId673" Type="http://schemas.openxmlformats.org/officeDocument/2006/relationships/ctrlProp" Target="../ctrlProps/ctrlProp671.xml"/><Relationship Id="rId880" Type="http://schemas.openxmlformats.org/officeDocument/2006/relationships/ctrlProp" Target="../ctrlProps/ctrlProp878.xml"/><Relationship Id="rId23" Type="http://schemas.openxmlformats.org/officeDocument/2006/relationships/ctrlProp" Target="../ctrlProps/ctrlProp21.xml"/><Relationship Id="rId119" Type="http://schemas.openxmlformats.org/officeDocument/2006/relationships/ctrlProp" Target="../ctrlProps/ctrlProp117.xml"/><Relationship Id="rId326" Type="http://schemas.openxmlformats.org/officeDocument/2006/relationships/ctrlProp" Target="../ctrlProps/ctrlProp324.xml"/><Relationship Id="rId533" Type="http://schemas.openxmlformats.org/officeDocument/2006/relationships/ctrlProp" Target="../ctrlProps/ctrlProp531.xml"/><Relationship Id="rId978" Type="http://schemas.openxmlformats.org/officeDocument/2006/relationships/ctrlProp" Target="../ctrlProps/ctrlProp976.xml"/><Relationship Id="rId740" Type="http://schemas.openxmlformats.org/officeDocument/2006/relationships/ctrlProp" Target="../ctrlProps/ctrlProp738.xml"/><Relationship Id="rId838" Type="http://schemas.openxmlformats.org/officeDocument/2006/relationships/ctrlProp" Target="../ctrlProps/ctrlProp836.xml"/><Relationship Id="rId1023" Type="http://schemas.openxmlformats.org/officeDocument/2006/relationships/ctrlProp" Target="../ctrlProps/ctrlProp1021.xml"/><Relationship Id="rId172" Type="http://schemas.openxmlformats.org/officeDocument/2006/relationships/ctrlProp" Target="../ctrlProps/ctrlProp170.xml"/><Relationship Id="rId477" Type="http://schemas.openxmlformats.org/officeDocument/2006/relationships/ctrlProp" Target="../ctrlProps/ctrlProp475.xml"/><Relationship Id="rId600" Type="http://schemas.openxmlformats.org/officeDocument/2006/relationships/ctrlProp" Target="../ctrlProps/ctrlProp598.xml"/><Relationship Id="rId684" Type="http://schemas.openxmlformats.org/officeDocument/2006/relationships/ctrlProp" Target="../ctrlProps/ctrlProp682.xml"/><Relationship Id="rId337" Type="http://schemas.openxmlformats.org/officeDocument/2006/relationships/ctrlProp" Target="../ctrlProps/ctrlProp335.xml"/><Relationship Id="rId891" Type="http://schemas.openxmlformats.org/officeDocument/2006/relationships/ctrlProp" Target="../ctrlProps/ctrlProp889.xml"/><Relationship Id="rId905" Type="http://schemas.openxmlformats.org/officeDocument/2006/relationships/ctrlProp" Target="../ctrlProps/ctrlProp903.xml"/><Relationship Id="rId989" Type="http://schemas.openxmlformats.org/officeDocument/2006/relationships/ctrlProp" Target="../ctrlProps/ctrlProp987.xml"/><Relationship Id="rId34" Type="http://schemas.openxmlformats.org/officeDocument/2006/relationships/ctrlProp" Target="../ctrlProps/ctrlProp32.xml"/><Relationship Id="rId544" Type="http://schemas.openxmlformats.org/officeDocument/2006/relationships/ctrlProp" Target="../ctrlProps/ctrlProp542.xml"/><Relationship Id="rId751" Type="http://schemas.openxmlformats.org/officeDocument/2006/relationships/ctrlProp" Target="../ctrlProps/ctrlProp749.xml"/><Relationship Id="rId849" Type="http://schemas.openxmlformats.org/officeDocument/2006/relationships/ctrlProp" Target="../ctrlProps/ctrlProp847.xml"/><Relationship Id="rId183" Type="http://schemas.openxmlformats.org/officeDocument/2006/relationships/ctrlProp" Target="../ctrlProps/ctrlProp181.xml"/><Relationship Id="rId390" Type="http://schemas.openxmlformats.org/officeDocument/2006/relationships/ctrlProp" Target="../ctrlProps/ctrlProp388.xml"/><Relationship Id="rId404" Type="http://schemas.openxmlformats.org/officeDocument/2006/relationships/ctrlProp" Target="../ctrlProps/ctrlProp402.xml"/><Relationship Id="rId611" Type="http://schemas.openxmlformats.org/officeDocument/2006/relationships/ctrlProp" Target="../ctrlProps/ctrlProp609.xml"/><Relationship Id="rId1034" Type="http://schemas.openxmlformats.org/officeDocument/2006/relationships/ctrlProp" Target="../ctrlProps/ctrlProp1032.xml"/><Relationship Id="rId250" Type="http://schemas.openxmlformats.org/officeDocument/2006/relationships/ctrlProp" Target="../ctrlProps/ctrlProp248.xml"/><Relationship Id="rId488" Type="http://schemas.openxmlformats.org/officeDocument/2006/relationships/ctrlProp" Target="../ctrlProps/ctrlProp486.xml"/><Relationship Id="rId695" Type="http://schemas.openxmlformats.org/officeDocument/2006/relationships/ctrlProp" Target="../ctrlProps/ctrlProp693.xml"/><Relationship Id="rId709" Type="http://schemas.openxmlformats.org/officeDocument/2006/relationships/ctrlProp" Target="../ctrlProps/ctrlProp707.xml"/><Relationship Id="rId916" Type="http://schemas.openxmlformats.org/officeDocument/2006/relationships/ctrlProp" Target="../ctrlProps/ctrlProp914.xml"/><Relationship Id="rId45" Type="http://schemas.openxmlformats.org/officeDocument/2006/relationships/ctrlProp" Target="../ctrlProps/ctrlProp43.xml"/><Relationship Id="rId110" Type="http://schemas.openxmlformats.org/officeDocument/2006/relationships/ctrlProp" Target="../ctrlProps/ctrlProp108.xml"/><Relationship Id="rId348" Type="http://schemas.openxmlformats.org/officeDocument/2006/relationships/ctrlProp" Target="../ctrlProps/ctrlProp346.xml"/><Relationship Id="rId555" Type="http://schemas.openxmlformats.org/officeDocument/2006/relationships/ctrlProp" Target="../ctrlProps/ctrlProp553.xml"/><Relationship Id="rId762" Type="http://schemas.openxmlformats.org/officeDocument/2006/relationships/ctrlProp" Target="../ctrlProps/ctrlProp760.xml"/><Relationship Id="rId194" Type="http://schemas.openxmlformats.org/officeDocument/2006/relationships/ctrlProp" Target="../ctrlProps/ctrlProp192.xml"/><Relationship Id="rId208" Type="http://schemas.openxmlformats.org/officeDocument/2006/relationships/ctrlProp" Target="../ctrlProps/ctrlProp206.xml"/><Relationship Id="rId415" Type="http://schemas.openxmlformats.org/officeDocument/2006/relationships/ctrlProp" Target="../ctrlProps/ctrlProp413.xml"/><Relationship Id="rId622" Type="http://schemas.openxmlformats.org/officeDocument/2006/relationships/ctrlProp" Target="../ctrlProps/ctrlProp620.xml"/><Relationship Id="rId1045" Type="http://schemas.openxmlformats.org/officeDocument/2006/relationships/ctrlProp" Target="../ctrlProps/ctrlProp1043.xml"/><Relationship Id="rId261" Type="http://schemas.openxmlformats.org/officeDocument/2006/relationships/ctrlProp" Target="../ctrlProps/ctrlProp259.xml"/><Relationship Id="rId499" Type="http://schemas.openxmlformats.org/officeDocument/2006/relationships/ctrlProp" Target="../ctrlProps/ctrlProp497.xml"/><Relationship Id="rId927" Type="http://schemas.openxmlformats.org/officeDocument/2006/relationships/ctrlProp" Target="../ctrlProps/ctrlProp925.xml"/><Relationship Id="rId56" Type="http://schemas.openxmlformats.org/officeDocument/2006/relationships/ctrlProp" Target="../ctrlProps/ctrlProp54.xml"/><Relationship Id="rId359" Type="http://schemas.openxmlformats.org/officeDocument/2006/relationships/ctrlProp" Target="../ctrlProps/ctrlProp357.xml"/><Relationship Id="rId566" Type="http://schemas.openxmlformats.org/officeDocument/2006/relationships/ctrlProp" Target="../ctrlProps/ctrlProp564.xml"/><Relationship Id="rId773" Type="http://schemas.openxmlformats.org/officeDocument/2006/relationships/ctrlProp" Target="../ctrlProps/ctrlProp771.xml"/><Relationship Id="rId121" Type="http://schemas.openxmlformats.org/officeDocument/2006/relationships/ctrlProp" Target="../ctrlProps/ctrlProp119.xml"/><Relationship Id="rId219" Type="http://schemas.openxmlformats.org/officeDocument/2006/relationships/ctrlProp" Target="../ctrlProps/ctrlProp217.xml"/><Relationship Id="rId426" Type="http://schemas.openxmlformats.org/officeDocument/2006/relationships/ctrlProp" Target="../ctrlProps/ctrlProp424.xml"/><Relationship Id="rId633" Type="http://schemas.openxmlformats.org/officeDocument/2006/relationships/ctrlProp" Target="../ctrlProps/ctrlProp631.xml"/><Relationship Id="rId980" Type="http://schemas.openxmlformats.org/officeDocument/2006/relationships/ctrlProp" Target="../ctrlProps/ctrlProp978.xml"/><Relationship Id="rId840" Type="http://schemas.openxmlformats.org/officeDocument/2006/relationships/ctrlProp" Target="../ctrlProps/ctrlProp838.xml"/><Relationship Id="rId938" Type="http://schemas.openxmlformats.org/officeDocument/2006/relationships/ctrlProp" Target="../ctrlProps/ctrlProp936.xml"/><Relationship Id="rId67" Type="http://schemas.openxmlformats.org/officeDocument/2006/relationships/ctrlProp" Target="../ctrlProps/ctrlProp65.xml"/><Relationship Id="rId272" Type="http://schemas.openxmlformats.org/officeDocument/2006/relationships/ctrlProp" Target="../ctrlProps/ctrlProp270.xml"/><Relationship Id="rId577" Type="http://schemas.openxmlformats.org/officeDocument/2006/relationships/ctrlProp" Target="../ctrlProps/ctrlProp575.xml"/><Relationship Id="rId700" Type="http://schemas.openxmlformats.org/officeDocument/2006/relationships/ctrlProp" Target="../ctrlProps/ctrlProp698.xml"/><Relationship Id="rId132" Type="http://schemas.openxmlformats.org/officeDocument/2006/relationships/ctrlProp" Target="../ctrlProps/ctrlProp130.xml"/><Relationship Id="rId784" Type="http://schemas.openxmlformats.org/officeDocument/2006/relationships/ctrlProp" Target="../ctrlProps/ctrlProp782.xml"/><Relationship Id="rId991" Type="http://schemas.openxmlformats.org/officeDocument/2006/relationships/ctrlProp" Target="../ctrlProps/ctrlProp989.xml"/><Relationship Id="rId437" Type="http://schemas.openxmlformats.org/officeDocument/2006/relationships/ctrlProp" Target="../ctrlProps/ctrlProp435.xml"/><Relationship Id="rId644" Type="http://schemas.openxmlformats.org/officeDocument/2006/relationships/ctrlProp" Target="../ctrlProps/ctrlProp642.xml"/><Relationship Id="rId851" Type="http://schemas.openxmlformats.org/officeDocument/2006/relationships/ctrlProp" Target="../ctrlProps/ctrlProp849.xml"/><Relationship Id="rId283" Type="http://schemas.openxmlformats.org/officeDocument/2006/relationships/ctrlProp" Target="../ctrlProps/ctrlProp281.xml"/><Relationship Id="rId490" Type="http://schemas.openxmlformats.org/officeDocument/2006/relationships/ctrlProp" Target="../ctrlProps/ctrlProp488.xml"/><Relationship Id="rId504" Type="http://schemas.openxmlformats.org/officeDocument/2006/relationships/ctrlProp" Target="../ctrlProps/ctrlProp502.xml"/><Relationship Id="rId711" Type="http://schemas.openxmlformats.org/officeDocument/2006/relationships/ctrlProp" Target="../ctrlProps/ctrlProp709.xml"/><Relationship Id="rId949" Type="http://schemas.openxmlformats.org/officeDocument/2006/relationships/ctrlProp" Target="../ctrlProps/ctrlProp947.xml"/><Relationship Id="rId78" Type="http://schemas.openxmlformats.org/officeDocument/2006/relationships/ctrlProp" Target="../ctrlProps/ctrlProp76.xml"/><Relationship Id="rId143" Type="http://schemas.openxmlformats.org/officeDocument/2006/relationships/ctrlProp" Target="../ctrlProps/ctrlProp141.xml"/><Relationship Id="rId350" Type="http://schemas.openxmlformats.org/officeDocument/2006/relationships/ctrlProp" Target="../ctrlProps/ctrlProp348.xml"/><Relationship Id="rId588" Type="http://schemas.openxmlformats.org/officeDocument/2006/relationships/ctrlProp" Target="../ctrlProps/ctrlProp586.xml"/><Relationship Id="rId795" Type="http://schemas.openxmlformats.org/officeDocument/2006/relationships/ctrlProp" Target="../ctrlProps/ctrlProp793.xml"/><Relationship Id="rId809" Type="http://schemas.openxmlformats.org/officeDocument/2006/relationships/ctrlProp" Target="../ctrlProps/ctrlProp807.xml"/><Relationship Id="rId9" Type="http://schemas.openxmlformats.org/officeDocument/2006/relationships/ctrlProp" Target="../ctrlProps/ctrlProp7.xml"/><Relationship Id="rId210" Type="http://schemas.openxmlformats.org/officeDocument/2006/relationships/ctrlProp" Target="../ctrlProps/ctrlProp208.xml"/><Relationship Id="rId448" Type="http://schemas.openxmlformats.org/officeDocument/2006/relationships/ctrlProp" Target="../ctrlProps/ctrlProp446.xml"/><Relationship Id="rId655" Type="http://schemas.openxmlformats.org/officeDocument/2006/relationships/ctrlProp" Target="../ctrlProps/ctrlProp653.xml"/><Relationship Id="rId862" Type="http://schemas.openxmlformats.org/officeDocument/2006/relationships/ctrlProp" Target="../ctrlProps/ctrlProp860.xml"/><Relationship Id="rId294" Type="http://schemas.openxmlformats.org/officeDocument/2006/relationships/ctrlProp" Target="../ctrlProps/ctrlProp292.xml"/><Relationship Id="rId308" Type="http://schemas.openxmlformats.org/officeDocument/2006/relationships/ctrlProp" Target="../ctrlProps/ctrlProp306.xml"/><Relationship Id="rId515" Type="http://schemas.openxmlformats.org/officeDocument/2006/relationships/ctrlProp" Target="../ctrlProps/ctrlProp513.xml"/><Relationship Id="rId722" Type="http://schemas.openxmlformats.org/officeDocument/2006/relationships/ctrlProp" Target="../ctrlProps/ctrlProp720.xml"/><Relationship Id="rId89" Type="http://schemas.openxmlformats.org/officeDocument/2006/relationships/ctrlProp" Target="../ctrlProps/ctrlProp87.xml"/><Relationship Id="rId154" Type="http://schemas.openxmlformats.org/officeDocument/2006/relationships/ctrlProp" Target="../ctrlProps/ctrlProp152.xml"/><Relationship Id="rId361" Type="http://schemas.openxmlformats.org/officeDocument/2006/relationships/ctrlProp" Target="../ctrlProps/ctrlProp359.xml"/><Relationship Id="rId599" Type="http://schemas.openxmlformats.org/officeDocument/2006/relationships/ctrlProp" Target="../ctrlProps/ctrlProp597.xml"/><Relationship Id="rId1005" Type="http://schemas.openxmlformats.org/officeDocument/2006/relationships/ctrlProp" Target="../ctrlProps/ctrlProp1003.xml"/><Relationship Id="rId459" Type="http://schemas.openxmlformats.org/officeDocument/2006/relationships/ctrlProp" Target="../ctrlProps/ctrlProp457.xml"/><Relationship Id="rId666" Type="http://schemas.openxmlformats.org/officeDocument/2006/relationships/ctrlProp" Target="../ctrlProps/ctrlProp664.xml"/><Relationship Id="rId873" Type="http://schemas.openxmlformats.org/officeDocument/2006/relationships/ctrlProp" Target="../ctrlProps/ctrlProp871.xml"/><Relationship Id="rId16" Type="http://schemas.openxmlformats.org/officeDocument/2006/relationships/ctrlProp" Target="../ctrlProps/ctrlProp14.xml"/><Relationship Id="rId221" Type="http://schemas.openxmlformats.org/officeDocument/2006/relationships/ctrlProp" Target="../ctrlProps/ctrlProp219.xml"/><Relationship Id="rId319" Type="http://schemas.openxmlformats.org/officeDocument/2006/relationships/ctrlProp" Target="../ctrlProps/ctrlProp317.xml"/><Relationship Id="rId526" Type="http://schemas.openxmlformats.org/officeDocument/2006/relationships/ctrlProp" Target="../ctrlProps/ctrlProp524.xml"/><Relationship Id="rId733" Type="http://schemas.openxmlformats.org/officeDocument/2006/relationships/ctrlProp" Target="../ctrlProps/ctrlProp731.xml"/><Relationship Id="rId940" Type="http://schemas.openxmlformats.org/officeDocument/2006/relationships/ctrlProp" Target="../ctrlProps/ctrlProp938.xml"/><Relationship Id="rId1016" Type="http://schemas.openxmlformats.org/officeDocument/2006/relationships/ctrlProp" Target="../ctrlProps/ctrlProp1014.xml"/><Relationship Id="rId165" Type="http://schemas.openxmlformats.org/officeDocument/2006/relationships/ctrlProp" Target="../ctrlProps/ctrlProp163.xml"/><Relationship Id="rId372" Type="http://schemas.openxmlformats.org/officeDocument/2006/relationships/ctrlProp" Target="../ctrlProps/ctrlProp370.xml"/><Relationship Id="rId677" Type="http://schemas.openxmlformats.org/officeDocument/2006/relationships/ctrlProp" Target="../ctrlProps/ctrlProp675.xml"/><Relationship Id="rId800" Type="http://schemas.openxmlformats.org/officeDocument/2006/relationships/ctrlProp" Target="../ctrlProps/ctrlProp798.xml"/><Relationship Id="rId232" Type="http://schemas.openxmlformats.org/officeDocument/2006/relationships/ctrlProp" Target="../ctrlProps/ctrlProp230.xml"/><Relationship Id="rId884" Type="http://schemas.openxmlformats.org/officeDocument/2006/relationships/ctrlProp" Target="../ctrlProps/ctrlProp882.xml"/><Relationship Id="rId27" Type="http://schemas.openxmlformats.org/officeDocument/2006/relationships/ctrlProp" Target="../ctrlProps/ctrlProp25.xml"/><Relationship Id="rId537" Type="http://schemas.openxmlformats.org/officeDocument/2006/relationships/ctrlProp" Target="../ctrlProps/ctrlProp535.xml"/><Relationship Id="rId744" Type="http://schemas.openxmlformats.org/officeDocument/2006/relationships/ctrlProp" Target="../ctrlProps/ctrlProp742.xml"/><Relationship Id="rId951" Type="http://schemas.openxmlformats.org/officeDocument/2006/relationships/ctrlProp" Target="../ctrlProps/ctrlProp949.xml"/><Relationship Id="rId80" Type="http://schemas.openxmlformats.org/officeDocument/2006/relationships/ctrlProp" Target="../ctrlProps/ctrlProp78.xml"/><Relationship Id="rId176" Type="http://schemas.openxmlformats.org/officeDocument/2006/relationships/ctrlProp" Target="../ctrlProps/ctrlProp174.xml"/><Relationship Id="rId383" Type="http://schemas.openxmlformats.org/officeDocument/2006/relationships/ctrlProp" Target="../ctrlProps/ctrlProp381.xml"/><Relationship Id="rId590" Type="http://schemas.openxmlformats.org/officeDocument/2006/relationships/ctrlProp" Target="../ctrlProps/ctrlProp588.xml"/><Relationship Id="rId604" Type="http://schemas.openxmlformats.org/officeDocument/2006/relationships/ctrlProp" Target="../ctrlProps/ctrlProp602.xml"/><Relationship Id="rId811" Type="http://schemas.openxmlformats.org/officeDocument/2006/relationships/ctrlProp" Target="../ctrlProps/ctrlProp809.xml"/><Relationship Id="rId1027" Type="http://schemas.openxmlformats.org/officeDocument/2006/relationships/ctrlProp" Target="../ctrlProps/ctrlProp1025.xml"/><Relationship Id="rId243" Type="http://schemas.openxmlformats.org/officeDocument/2006/relationships/ctrlProp" Target="../ctrlProps/ctrlProp241.xml"/><Relationship Id="rId450" Type="http://schemas.openxmlformats.org/officeDocument/2006/relationships/ctrlProp" Target="../ctrlProps/ctrlProp448.xml"/><Relationship Id="rId688" Type="http://schemas.openxmlformats.org/officeDocument/2006/relationships/ctrlProp" Target="../ctrlProps/ctrlProp686.xml"/><Relationship Id="rId895" Type="http://schemas.openxmlformats.org/officeDocument/2006/relationships/ctrlProp" Target="../ctrlProps/ctrlProp893.xml"/><Relationship Id="rId909" Type="http://schemas.openxmlformats.org/officeDocument/2006/relationships/ctrlProp" Target="../ctrlProps/ctrlProp907.xml"/><Relationship Id="rId38" Type="http://schemas.openxmlformats.org/officeDocument/2006/relationships/ctrlProp" Target="../ctrlProps/ctrlProp36.xml"/><Relationship Id="rId103" Type="http://schemas.openxmlformats.org/officeDocument/2006/relationships/ctrlProp" Target="../ctrlProps/ctrlProp101.xml"/><Relationship Id="rId310" Type="http://schemas.openxmlformats.org/officeDocument/2006/relationships/ctrlProp" Target="../ctrlProps/ctrlProp308.xml"/><Relationship Id="rId548" Type="http://schemas.openxmlformats.org/officeDocument/2006/relationships/ctrlProp" Target="../ctrlProps/ctrlProp546.xml"/><Relationship Id="rId755" Type="http://schemas.openxmlformats.org/officeDocument/2006/relationships/ctrlProp" Target="../ctrlProps/ctrlProp753.xml"/><Relationship Id="rId962" Type="http://schemas.openxmlformats.org/officeDocument/2006/relationships/ctrlProp" Target="../ctrlProps/ctrlProp960.xml"/><Relationship Id="rId91" Type="http://schemas.openxmlformats.org/officeDocument/2006/relationships/ctrlProp" Target="../ctrlProps/ctrlProp89.xml"/><Relationship Id="rId187" Type="http://schemas.openxmlformats.org/officeDocument/2006/relationships/ctrlProp" Target="../ctrlProps/ctrlProp185.xml"/><Relationship Id="rId394" Type="http://schemas.openxmlformats.org/officeDocument/2006/relationships/ctrlProp" Target="../ctrlProps/ctrlProp392.xml"/><Relationship Id="rId408" Type="http://schemas.openxmlformats.org/officeDocument/2006/relationships/ctrlProp" Target="../ctrlProps/ctrlProp406.xml"/><Relationship Id="rId615" Type="http://schemas.openxmlformats.org/officeDocument/2006/relationships/ctrlProp" Target="../ctrlProps/ctrlProp613.xml"/><Relationship Id="rId822" Type="http://schemas.openxmlformats.org/officeDocument/2006/relationships/ctrlProp" Target="../ctrlProps/ctrlProp820.xml"/><Relationship Id="rId1038" Type="http://schemas.openxmlformats.org/officeDocument/2006/relationships/ctrlProp" Target="../ctrlProps/ctrlProp1036.xml"/><Relationship Id="rId254" Type="http://schemas.openxmlformats.org/officeDocument/2006/relationships/ctrlProp" Target="../ctrlProps/ctrlProp252.xml"/><Relationship Id="rId699" Type="http://schemas.openxmlformats.org/officeDocument/2006/relationships/ctrlProp" Target="../ctrlProps/ctrlProp697.xml"/><Relationship Id="rId49" Type="http://schemas.openxmlformats.org/officeDocument/2006/relationships/ctrlProp" Target="../ctrlProps/ctrlProp47.xml"/><Relationship Id="rId114" Type="http://schemas.openxmlformats.org/officeDocument/2006/relationships/ctrlProp" Target="../ctrlProps/ctrlProp112.xml"/><Relationship Id="rId461" Type="http://schemas.openxmlformats.org/officeDocument/2006/relationships/ctrlProp" Target="../ctrlProps/ctrlProp459.xml"/><Relationship Id="rId559" Type="http://schemas.openxmlformats.org/officeDocument/2006/relationships/ctrlProp" Target="../ctrlProps/ctrlProp557.xml"/><Relationship Id="rId766" Type="http://schemas.openxmlformats.org/officeDocument/2006/relationships/ctrlProp" Target="../ctrlProps/ctrlProp764.xml"/><Relationship Id="rId198" Type="http://schemas.openxmlformats.org/officeDocument/2006/relationships/ctrlProp" Target="../ctrlProps/ctrlProp196.xml"/><Relationship Id="rId321" Type="http://schemas.openxmlformats.org/officeDocument/2006/relationships/ctrlProp" Target="../ctrlProps/ctrlProp319.xml"/><Relationship Id="rId419" Type="http://schemas.openxmlformats.org/officeDocument/2006/relationships/ctrlProp" Target="../ctrlProps/ctrlProp417.xml"/><Relationship Id="rId626" Type="http://schemas.openxmlformats.org/officeDocument/2006/relationships/ctrlProp" Target="../ctrlProps/ctrlProp624.xml"/><Relationship Id="rId973" Type="http://schemas.openxmlformats.org/officeDocument/2006/relationships/ctrlProp" Target="../ctrlProps/ctrlProp971.xml"/><Relationship Id="rId1049" Type="http://schemas.openxmlformats.org/officeDocument/2006/relationships/ctrlProp" Target="../ctrlProps/ctrlProp1047.xml"/><Relationship Id="rId833" Type="http://schemas.openxmlformats.org/officeDocument/2006/relationships/ctrlProp" Target="../ctrlProps/ctrlProp831.xml"/><Relationship Id="rId265" Type="http://schemas.openxmlformats.org/officeDocument/2006/relationships/ctrlProp" Target="../ctrlProps/ctrlProp263.xml"/><Relationship Id="rId472" Type="http://schemas.openxmlformats.org/officeDocument/2006/relationships/ctrlProp" Target="../ctrlProps/ctrlProp470.xml"/><Relationship Id="rId900" Type="http://schemas.openxmlformats.org/officeDocument/2006/relationships/ctrlProp" Target="../ctrlProps/ctrlProp898.xml"/><Relationship Id="rId125" Type="http://schemas.openxmlformats.org/officeDocument/2006/relationships/ctrlProp" Target="../ctrlProps/ctrlProp123.xml"/><Relationship Id="rId332" Type="http://schemas.openxmlformats.org/officeDocument/2006/relationships/ctrlProp" Target="../ctrlProps/ctrlProp330.xml"/><Relationship Id="rId777" Type="http://schemas.openxmlformats.org/officeDocument/2006/relationships/ctrlProp" Target="../ctrlProps/ctrlProp775.xml"/><Relationship Id="rId984" Type="http://schemas.openxmlformats.org/officeDocument/2006/relationships/ctrlProp" Target="../ctrlProps/ctrlProp982.xml"/><Relationship Id="rId637" Type="http://schemas.openxmlformats.org/officeDocument/2006/relationships/ctrlProp" Target="../ctrlProps/ctrlProp635.xml"/><Relationship Id="rId844" Type="http://schemas.openxmlformats.org/officeDocument/2006/relationships/ctrlProp" Target="../ctrlProps/ctrlProp842.xml"/><Relationship Id="rId276" Type="http://schemas.openxmlformats.org/officeDocument/2006/relationships/ctrlProp" Target="../ctrlProps/ctrlProp274.xml"/><Relationship Id="rId483" Type="http://schemas.openxmlformats.org/officeDocument/2006/relationships/ctrlProp" Target="../ctrlProps/ctrlProp481.xml"/><Relationship Id="rId690" Type="http://schemas.openxmlformats.org/officeDocument/2006/relationships/ctrlProp" Target="../ctrlProps/ctrlProp688.xml"/><Relationship Id="rId704" Type="http://schemas.openxmlformats.org/officeDocument/2006/relationships/ctrlProp" Target="../ctrlProps/ctrlProp702.xml"/><Relationship Id="rId911" Type="http://schemas.openxmlformats.org/officeDocument/2006/relationships/ctrlProp" Target="../ctrlProps/ctrlProp909.xml"/><Relationship Id="rId40" Type="http://schemas.openxmlformats.org/officeDocument/2006/relationships/ctrlProp" Target="../ctrlProps/ctrlProp38.xml"/><Relationship Id="rId136" Type="http://schemas.openxmlformats.org/officeDocument/2006/relationships/ctrlProp" Target="../ctrlProps/ctrlProp134.xml"/><Relationship Id="rId343" Type="http://schemas.openxmlformats.org/officeDocument/2006/relationships/ctrlProp" Target="../ctrlProps/ctrlProp341.xml"/><Relationship Id="rId550" Type="http://schemas.openxmlformats.org/officeDocument/2006/relationships/ctrlProp" Target="../ctrlProps/ctrlProp548.xml"/><Relationship Id="rId788" Type="http://schemas.openxmlformats.org/officeDocument/2006/relationships/ctrlProp" Target="../ctrlProps/ctrlProp786.xml"/><Relationship Id="rId995" Type="http://schemas.openxmlformats.org/officeDocument/2006/relationships/ctrlProp" Target="../ctrlProps/ctrlProp993.xml"/><Relationship Id="rId203" Type="http://schemas.openxmlformats.org/officeDocument/2006/relationships/ctrlProp" Target="../ctrlProps/ctrlProp201.xml"/><Relationship Id="rId648" Type="http://schemas.openxmlformats.org/officeDocument/2006/relationships/ctrlProp" Target="../ctrlProps/ctrlProp646.xml"/><Relationship Id="rId855" Type="http://schemas.openxmlformats.org/officeDocument/2006/relationships/ctrlProp" Target="../ctrlProps/ctrlProp853.xml"/><Relationship Id="rId1040" Type="http://schemas.openxmlformats.org/officeDocument/2006/relationships/ctrlProp" Target="../ctrlProps/ctrlProp1038.xml"/><Relationship Id="rId287" Type="http://schemas.openxmlformats.org/officeDocument/2006/relationships/ctrlProp" Target="../ctrlProps/ctrlProp285.xml"/><Relationship Id="rId410" Type="http://schemas.openxmlformats.org/officeDocument/2006/relationships/ctrlProp" Target="../ctrlProps/ctrlProp408.xml"/><Relationship Id="rId494" Type="http://schemas.openxmlformats.org/officeDocument/2006/relationships/ctrlProp" Target="../ctrlProps/ctrlProp492.xml"/><Relationship Id="rId508" Type="http://schemas.openxmlformats.org/officeDocument/2006/relationships/ctrlProp" Target="../ctrlProps/ctrlProp506.xml"/><Relationship Id="rId715" Type="http://schemas.openxmlformats.org/officeDocument/2006/relationships/ctrlProp" Target="../ctrlProps/ctrlProp713.xml"/><Relationship Id="rId922" Type="http://schemas.openxmlformats.org/officeDocument/2006/relationships/ctrlProp" Target="../ctrlProps/ctrlProp920.xml"/><Relationship Id="rId147" Type="http://schemas.openxmlformats.org/officeDocument/2006/relationships/ctrlProp" Target="../ctrlProps/ctrlProp145.xml"/><Relationship Id="rId354" Type="http://schemas.openxmlformats.org/officeDocument/2006/relationships/ctrlProp" Target="../ctrlProps/ctrlProp352.xml"/><Relationship Id="rId799" Type="http://schemas.openxmlformats.org/officeDocument/2006/relationships/ctrlProp" Target="../ctrlProps/ctrlProp797.xml"/><Relationship Id="rId51" Type="http://schemas.openxmlformats.org/officeDocument/2006/relationships/ctrlProp" Target="../ctrlProps/ctrlProp49.xml"/><Relationship Id="rId561" Type="http://schemas.openxmlformats.org/officeDocument/2006/relationships/ctrlProp" Target="../ctrlProps/ctrlProp559.xml"/><Relationship Id="rId659" Type="http://schemas.openxmlformats.org/officeDocument/2006/relationships/ctrlProp" Target="../ctrlProps/ctrlProp657.xml"/><Relationship Id="rId866" Type="http://schemas.openxmlformats.org/officeDocument/2006/relationships/ctrlProp" Target="../ctrlProps/ctrlProp864.xml"/><Relationship Id="rId214" Type="http://schemas.openxmlformats.org/officeDocument/2006/relationships/ctrlProp" Target="../ctrlProps/ctrlProp212.xml"/><Relationship Id="rId298" Type="http://schemas.openxmlformats.org/officeDocument/2006/relationships/ctrlProp" Target="../ctrlProps/ctrlProp296.xml"/><Relationship Id="rId421" Type="http://schemas.openxmlformats.org/officeDocument/2006/relationships/ctrlProp" Target="../ctrlProps/ctrlProp419.xml"/><Relationship Id="rId519" Type="http://schemas.openxmlformats.org/officeDocument/2006/relationships/ctrlProp" Target="../ctrlProps/ctrlProp517.xml"/><Relationship Id="rId158" Type="http://schemas.openxmlformats.org/officeDocument/2006/relationships/ctrlProp" Target="../ctrlProps/ctrlProp156.xml"/><Relationship Id="rId726" Type="http://schemas.openxmlformats.org/officeDocument/2006/relationships/ctrlProp" Target="../ctrlProps/ctrlProp724.xml"/><Relationship Id="rId933" Type="http://schemas.openxmlformats.org/officeDocument/2006/relationships/ctrlProp" Target="../ctrlProps/ctrlProp931.xml"/><Relationship Id="rId1009" Type="http://schemas.openxmlformats.org/officeDocument/2006/relationships/ctrlProp" Target="../ctrlProps/ctrlProp1007.xml"/><Relationship Id="rId62" Type="http://schemas.openxmlformats.org/officeDocument/2006/relationships/ctrlProp" Target="../ctrlProps/ctrlProp60.xml"/><Relationship Id="rId365" Type="http://schemas.openxmlformats.org/officeDocument/2006/relationships/ctrlProp" Target="../ctrlProps/ctrlProp363.xml"/><Relationship Id="rId572" Type="http://schemas.openxmlformats.org/officeDocument/2006/relationships/ctrlProp" Target="../ctrlProps/ctrlProp570.xml"/><Relationship Id="rId225" Type="http://schemas.openxmlformats.org/officeDocument/2006/relationships/ctrlProp" Target="../ctrlProps/ctrlProp223.xml"/><Relationship Id="rId432" Type="http://schemas.openxmlformats.org/officeDocument/2006/relationships/ctrlProp" Target="../ctrlProps/ctrlProp430.xml"/><Relationship Id="rId877" Type="http://schemas.openxmlformats.org/officeDocument/2006/relationships/ctrlProp" Target="../ctrlProps/ctrlProp875.xml"/><Relationship Id="rId737" Type="http://schemas.openxmlformats.org/officeDocument/2006/relationships/ctrlProp" Target="../ctrlProps/ctrlProp735.xml"/><Relationship Id="rId944" Type="http://schemas.openxmlformats.org/officeDocument/2006/relationships/ctrlProp" Target="../ctrlProps/ctrlProp942.xml"/><Relationship Id="rId73" Type="http://schemas.openxmlformats.org/officeDocument/2006/relationships/ctrlProp" Target="../ctrlProps/ctrlProp71.xml"/><Relationship Id="rId169" Type="http://schemas.openxmlformats.org/officeDocument/2006/relationships/ctrlProp" Target="../ctrlProps/ctrlProp167.xml"/><Relationship Id="rId376" Type="http://schemas.openxmlformats.org/officeDocument/2006/relationships/ctrlProp" Target="../ctrlProps/ctrlProp374.xml"/><Relationship Id="rId583" Type="http://schemas.openxmlformats.org/officeDocument/2006/relationships/ctrlProp" Target="../ctrlProps/ctrlProp581.xml"/><Relationship Id="rId790" Type="http://schemas.openxmlformats.org/officeDocument/2006/relationships/ctrlProp" Target="../ctrlProps/ctrlProp788.xml"/><Relationship Id="rId804" Type="http://schemas.openxmlformats.org/officeDocument/2006/relationships/ctrlProp" Target="../ctrlProps/ctrlProp802.xml"/><Relationship Id="rId4" Type="http://schemas.openxmlformats.org/officeDocument/2006/relationships/ctrlProp" Target="../ctrlProps/ctrlProp2.xml"/><Relationship Id="rId236" Type="http://schemas.openxmlformats.org/officeDocument/2006/relationships/ctrlProp" Target="../ctrlProps/ctrlProp234.xml"/><Relationship Id="rId443" Type="http://schemas.openxmlformats.org/officeDocument/2006/relationships/ctrlProp" Target="../ctrlProps/ctrlProp441.xml"/><Relationship Id="rId650" Type="http://schemas.openxmlformats.org/officeDocument/2006/relationships/ctrlProp" Target="../ctrlProps/ctrlProp648.xml"/><Relationship Id="rId888" Type="http://schemas.openxmlformats.org/officeDocument/2006/relationships/ctrlProp" Target="../ctrlProps/ctrlProp886.xml"/><Relationship Id="rId303" Type="http://schemas.openxmlformats.org/officeDocument/2006/relationships/ctrlProp" Target="../ctrlProps/ctrlProp301.xml"/><Relationship Id="rId748" Type="http://schemas.openxmlformats.org/officeDocument/2006/relationships/ctrlProp" Target="../ctrlProps/ctrlProp746.xml"/><Relationship Id="rId955" Type="http://schemas.openxmlformats.org/officeDocument/2006/relationships/ctrlProp" Target="../ctrlProps/ctrlProp953.xml"/><Relationship Id="rId84" Type="http://schemas.openxmlformats.org/officeDocument/2006/relationships/ctrlProp" Target="../ctrlProps/ctrlProp82.xml"/><Relationship Id="rId387" Type="http://schemas.openxmlformats.org/officeDocument/2006/relationships/ctrlProp" Target="../ctrlProps/ctrlProp385.xml"/><Relationship Id="rId510" Type="http://schemas.openxmlformats.org/officeDocument/2006/relationships/ctrlProp" Target="../ctrlProps/ctrlProp508.xml"/><Relationship Id="rId594" Type="http://schemas.openxmlformats.org/officeDocument/2006/relationships/ctrlProp" Target="../ctrlProps/ctrlProp592.xml"/><Relationship Id="rId608" Type="http://schemas.openxmlformats.org/officeDocument/2006/relationships/ctrlProp" Target="../ctrlProps/ctrlProp606.xml"/><Relationship Id="rId815" Type="http://schemas.openxmlformats.org/officeDocument/2006/relationships/ctrlProp" Target="../ctrlProps/ctrlProp813.xml"/><Relationship Id="rId247" Type="http://schemas.openxmlformats.org/officeDocument/2006/relationships/ctrlProp" Target="../ctrlProps/ctrlProp245.xml"/><Relationship Id="rId899" Type="http://schemas.openxmlformats.org/officeDocument/2006/relationships/ctrlProp" Target="../ctrlProps/ctrlProp897.xml"/><Relationship Id="rId1000" Type="http://schemas.openxmlformats.org/officeDocument/2006/relationships/ctrlProp" Target="../ctrlProps/ctrlProp998.xml"/><Relationship Id="rId107" Type="http://schemas.openxmlformats.org/officeDocument/2006/relationships/ctrlProp" Target="../ctrlProps/ctrlProp105.xml"/><Relationship Id="rId454" Type="http://schemas.openxmlformats.org/officeDocument/2006/relationships/ctrlProp" Target="../ctrlProps/ctrlProp452.xml"/><Relationship Id="rId661" Type="http://schemas.openxmlformats.org/officeDocument/2006/relationships/ctrlProp" Target="../ctrlProps/ctrlProp659.xml"/><Relationship Id="rId759" Type="http://schemas.openxmlformats.org/officeDocument/2006/relationships/ctrlProp" Target="../ctrlProps/ctrlProp757.xml"/><Relationship Id="rId966" Type="http://schemas.openxmlformats.org/officeDocument/2006/relationships/ctrlProp" Target="../ctrlProps/ctrlProp964.xml"/><Relationship Id="rId11" Type="http://schemas.openxmlformats.org/officeDocument/2006/relationships/ctrlProp" Target="../ctrlProps/ctrlProp9.xml"/><Relationship Id="rId314" Type="http://schemas.openxmlformats.org/officeDocument/2006/relationships/ctrlProp" Target="../ctrlProps/ctrlProp312.xml"/><Relationship Id="rId398" Type="http://schemas.openxmlformats.org/officeDocument/2006/relationships/ctrlProp" Target="../ctrlProps/ctrlProp396.xml"/><Relationship Id="rId521" Type="http://schemas.openxmlformats.org/officeDocument/2006/relationships/ctrlProp" Target="../ctrlProps/ctrlProp519.xml"/><Relationship Id="rId619" Type="http://schemas.openxmlformats.org/officeDocument/2006/relationships/ctrlProp" Target="../ctrlProps/ctrlProp617.xml"/><Relationship Id="rId95" Type="http://schemas.openxmlformats.org/officeDocument/2006/relationships/ctrlProp" Target="../ctrlProps/ctrlProp93.xml"/><Relationship Id="rId160" Type="http://schemas.openxmlformats.org/officeDocument/2006/relationships/ctrlProp" Target="../ctrlProps/ctrlProp158.xml"/><Relationship Id="rId826" Type="http://schemas.openxmlformats.org/officeDocument/2006/relationships/ctrlProp" Target="../ctrlProps/ctrlProp824.xml"/><Relationship Id="rId1011" Type="http://schemas.openxmlformats.org/officeDocument/2006/relationships/ctrlProp" Target="../ctrlProps/ctrlProp1009.xml"/><Relationship Id="rId258" Type="http://schemas.openxmlformats.org/officeDocument/2006/relationships/ctrlProp" Target="../ctrlProps/ctrlProp256.xml"/><Relationship Id="rId465" Type="http://schemas.openxmlformats.org/officeDocument/2006/relationships/ctrlProp" Target="../ctrlProps/ctrlProp463.xml"/><Relationship Id="rId672" Type="http://schemas.openxmlformats.org/officeDocument/2006/relationships/ctrlProp" Target="../ctrlProps/ctrlProp670.xml"/><Relationship Id="rId22" Type="http://schemas.openxmlformats.org/officeDocument/2006/relationships/ctrlProp" Target="../ctrlProps/ctrlProp20.xml"/><Relationship Id="rId118" Type="http://schemas.openxmlformats.org/officeDocument/2006/relationships/ctrlProp" Target="../ctrlProps/ctrlProp116.xml"/><Relationship Id="rId325" Type="http://schemas.openxmlformats.org/officeDocument/2006/relationships/ctrlProp" Target="../ctrlProps/ctrlProp323.xml"/><Relationship Id="rId532" Type="http://schemas.openxmlformats.org/officeDocument/2006/relationships/ctrlProp" Target="../ctrlProps/ctrlProp530.xml"/><Relationship Id="rId977" Type="http://schemas.openxmlformats.org/officeDocument/2006/relationships/ctrlProp" Target="../ctrlProps/ctrlProp975.xml"/><Relationship Id="rId171" Type="http://schemas.openxmlformats.org/officeDocument/2006/relationships/ctrlProp" Target="../ctrlProps/ctrlProp169.xml"/><Relationship Id="rId837" Type="http://schemas.openxmlformats.org/officeDocument/2006/relationships/ctrlProp" Target="../ctrlProps/ctrlProp835.xml"/><Relationship Id="rId1022" Type="http://schemas.openxmlformats.org/officeDocument/2006/relationships/ctrlProp" Target="../ctrlProps/ctrlProp1020.xml"/><Relationship Id="rId269" Type="http://schemas.openxmlformats.org/officeDocument/2006/relationships/ctrlProp" Target="../ctrlProps/ctrlProp267.xml"/><Relationship Id="rId476" Type="http://schemas.openxmlformats.org/officeDocument/2006/relationships/ctrlProp" Target="../ctrlProps/ctrlProp474.xml"/><Relationship Id="rId683" Type="http://schemas.openxmlformats.org/officeDocument/2006/relationships/ctrlProp" Target="../ctrlProps/ctrlProp681.xml"/><Relationship Id="rId890" Type="http://schemas.openxmlformats.org/officeDocument/2006/relationships/ctrlProp" Target="../ctrlProps/ctrlProp888.xml"/><Relationship Id="rId904" Type="http://schemas.openxmlformats.org/officeDocument/2006/relationships/ctrlProp" Target="../ctrlProps/ctrlProp902.xml"/><Relationship Id="rId33" Type="http://schemas.openxmlformats.org/officeDocument/2006/relationships/ctrlProp" Target="../ctrlProps/ctrlProp31.xml"/><Relationship Id="rId129" Type="http://schemas.openxmlformats.org/officeDocument/2006/relationships/ctrlProp" Target="../ctrlProps/ctrlProp127.xml"/><Relationship Id="rId336" Type="http://schemas.openxmlformats.org/officeDocument/2006/relationships/ctrlProp" Target="../ctrlProps/ctrlProp334.xml"/><Relationship Id="rId543" Type="http://schemas.openxmlformats.org/officeDocument/2006/relationships/ctrlProp" Target="../ctrlProps/ctrlProp541.xml"/><Relationship Id="rId988" Type="http://schemas.openxmlformats.org/officeDocument/2006/relationships/ctrlProp" Target="../ctrlProps/ctrlProp986.xml"/><Relationship Id="rId182" Type="http://schemas.openxmlformats.org/officeDocument/2006/relationships/ctrlProp" Target="../ctrlProps/ctrlProp180.xml"/><Relationship Id="rId403" Type="http://schemas.openxmlformats.org/officeDocument/2006/relationships/ctrlProp" Target="../ctrlProps/ctrlProp401.xml"/><Relationship Id="rId750" Type="http://schemas.openxmlformats.org/officeDocument/2006/relationships/ctrlProp" Target="../ctrlProps/ctrlProp748.xml"/><Relationship Id="rId848" Type="http://schemas.openxmlformats.org/officeDocument/2006/relationships/ctrlProp" Target="../ctrlProps/ctrlProp846.xml"/><Relationship Id="rId1033" Type="http://schemas.openxmlformats.org/officeDocument/2006/relationships/ctrlProp" Target="../ctrlProps/ctrlProp1031.xml"/><Relationship Id="rId487" Type="http://schemas.openxmlformats.org/officeDocument/2006/relationships/ctrlProp" Target="../ctrlProps/ctrlProp485.xml"/><Relationship Id="rId610" Type="http://schemas.openxmlformats.org/officeDocument/2006/relationships/ctrlProp" Target="../ctrlProps/ctrlProp608.xml"/><Relationship Id="rId694" Type="http://schemas.openxmlformats.org/officeDocument/2006/relationships/ctrlProp" Target="../ctrlProps/ctrlProp692.xml"/><Relationship Id="rId708" Type="http://schemas.openxmlformats.org/officeDocument/2006/relationships/ctrlProp" Target="../ctrlProps/ctrlProp706.xml"/><Relationship Id="rId915" Type="http://schemas.openxmlformats.org/officeDocument/2006/relationships/ctrlProp" Target="../ctrlProps/ctrlProp913.xml"/><Relationship Id="rId347" Type="http://schemas.openxmlformats.org/officeDocument/2006/relationships/ctrlProp" Target="../ctrlProps/ctrlProp345.xml"/><Relationship Id="rId999" Type="http://schemas.openxmlformats.org/officeDocument/2006/relationships/ctrlProp" Target="../ctrlProps/ctrlProp997.xml"/><Relationship Id="rId44" Type="http://schemas.openxmlformats.org/officeDocument/2006/relationships/ctrlProp" Target="../ctrlProps/ctrlProp42.xml"/><Relationship Id="rId554" Type="http://schemas.openxmlformats.org/officeDocument/2006/relationships/ctrlProp" Target="../ctrlProps/ctrlProp552.xml"/><Relationship Id="rId761" Type="http://schemas.openxmlformats.org/officeDocument/2006/relationships/ctrlProp" Target="../ctrlProps/ctrlProp759.xml"/><Relationship Id="rId859" Type="http://schemas.openxmlformats.org/officeDocument/2006/relationships/ctrlProp" Target="../ctrlProps/ctrlProp857.xml"/><Relationship Id="rId193" Type="http://schemas.openxmlformats.org/officeDocument/2006/relationships/ctrlProp" Target="../ctrlProps/ctrlProp191.xml"/><Relationship Id="rId207" Type="http://schemas.openxmlformats.org/officeDocument/2006/relationships/ctrlProp" Target="../ctrlProps/ctrlProp205.xml"/><Relationship Id="rId414" Type="http://schemas.openxmlformats.org/officeDocument/2006/relationships/ctrlProp" Target="../ctrlProps/ctrlProp412.xml"/><Relationship Id="rId498" Type="http://schemas.openxmlformats.org/officeDocument/2006/relationships/ctrlProp" Target="../ctrlProps/ctrlProp496.xml"/><Relationship Id="rId621" Type="http://schemas.openxmlformats.org/officeDocument/2006/relationships/ctrlProp" Target="../ctrlProps/ctrlProp619.xml"/><Relationship Id="rId1044" Type="http://schemas.openxmlformats.org/officeDocument/2006/relationships/ctrlProp" Target="../ctrlProps/ctrlProp1042.xml"/><Relationship Id="rId260" Type="http://schemas.openxmlformats.org/officeDocument/2006/relationships/ctrlProp" Target="../ctrlProps/ctrlProp258.xml"/><Relationship Id="rId719" Type="http://schemas.openxmlformats.org/officeDocument/2006/relationships/ctrlProp" Target="../ctrlProps/ctrlProp717.xml"/><Relationship Id="rId926" Type="http://schemas.openxmlformats.org/officeDocument/2006/relationships/ctrlProp" Target="../ctrlProps/ctrlProp924.xml"/><Relationship Id="rId55" Type="http://schemas.openxmlformats.org/officeDocument/2006/relationships/ctrlProp" Target="../ctrlProps/ctrlProp53.xml"/><Relationship Id="rId120" Type="http://schemas.openxmlformats.org/officeDocument/2006/relationships/ctrlProp" Target="../ctrlProps/ctrlProp118.xml"/><Relationship Id="rId358" Type="http://schemas.openxmlformats.org/officeDocument/2006/relationships/ctrlProp" Target="../ctrlProps/ctrlProp356.xml"/><Relationship Id="rId565" Type="http://schemas.openxmlformats.org/officeDocument/2006/relationships/ctrlProp" Target="../ctrlProps/ctrlProp563.xml"/><Relationship Id="rId772" Type="http://schemas.openxmlformats.org/officeDocument/2006/relationships/ctrlProp" Target="../ctrlProps/ctrlProp770.xml"/><Relationship Id="rId218" Type="http://schemas.openxmlformats.org/officeDocument/2006/relationships/ctrlProp" Target="../ctrlProps/ctrlProp216.xml"/><Relationship Id="rId425" Type="http://schemas.openxmlformats.org/officeDocument/2006/relationships/ctrlProp" Target="../ctrlProps/ctrlProp423.xml"/><Relationship Id="rId632" Type="http://schemas.openxmlformats.org/officeDocument/2006/relationships/ctrlProp" Target="../ctrlProps/ctrlProp630.xml"/><Relationship Id="rId271" Type="http://schemas.openxmlformats.org/officeDocument/2006/relationships/ctrlProp" Target="../ctrlProps/ctrlProp269.xml"/><Relationship Id="rId937" Type="http://schemas.openxmlformats.org/officeDocument/2006/relationships/ctrlProp" Target="../ctrlProps/ctrlProp935.xml"/><Relationship Id="rId66" Type="http://schemas.openxmlformats.org/officeDocument/2006/relationships/ctrlProp" Target="../ctrlProps/ctrlProp64.xml"/><Relationship Id="rId131" Type="http://schemas.openxmlformats.org/officeDocument/2006/relationships/ctrlProp" Target="../ctrlProps/ctrlProp129.xml"/><Relationship Id="rId369" Type="http://schemas.openxmlformats.org/officeDocument/2006/relationships/ctrlProp" Target="../ctrlProps/ctrlProp367.xml"/><Relationship Id="rId576" Type="http://schemas.openxmlformats.org/officeDocument/2006/relationships/ctrlProp" Target="../ctrlProps/ctrlProp574.xml"/><Relationship Id="rId783" Type="http://schemas.openxmlformats.org/officeDocument/2006/relationships/ctrlProp" Target="../ctrlProps/ctrlProp781.xml"/><Relationship Id="rId990" Type="http://schemas.openxmlformats.org/officeDocument/2006/relationships/ctrlProp" Target="../ctrlProps/ctrlProp988.xml"/><Relationship Id="rId229" Type="http://schemas.openxmlformats.org/officeDocument/2006/relationships/ctrlProp" Target="../ctrlProps/ctrlProp227.xml"/><Relationship Id="rId436" Type="http://schemas.openxmlformats.org/officeDocument/2006/relationships/ctrlProp" Target="../ctrlProps/ctrlProp434.xml"/><Relationship Id="rId643" Type="http://schemas.openxmlformats.org/officeDocument/2006/relationships/ctrlProp" Target="../ctrlProps/ctrlProp641.xml"/><Relationship Id="rId850" Type="http://schemas.openxmlformats.org/officeDocument/2006/relationships/ctrlProp" Target="../ctrlProps/ctrlProp848.xml"/><Relationship Id="rId948" Type="http://schemas.openxmlformats.org/officeDocument/2006/relationships/ctrlProp" Target="../ctrlProps/ctrlProp946.xml"/><Relationship Id="rId77" Type="http://schemas.openxmlformats.org/officeDocument/2006/relationships/ctrlProp" Target="../ctrlProps/ctrlProp75.xml"/><Relationship Id="rId282" Type="http://schemas.openxmlformats.org/officeDocument/2006/relationships/ctrlProp" Target="../ctrlProps/ctrlProp280.xml"/><Relationship Id="rId503" Type="http://schemas.openxmlformats.org/officeDocument/2006/relationships/ctrlProp" Target="../ctrlProps/ctrlProp501.xml"/><Relationship Id="rId587" Type="http://schemas.openxmlformats.org/officeDocument/2006/relationships/ctrlProp" Target="../ctrlProps/ctrlProp585.xml"/><Relationship Id="rId710" Type="http://schemas.openxmlformats.org/officeDocument/2006/relationships/ctrlProp" Target="../ctrlProps/ctrlProp708.xml"/><Relationship Id="rId808" Type="http://schemas.openxmlformats.org/officeDocument/2006/relationships/ctrlProp" Target="../ctrlProps/ctrlProp806.xml"/><Relationship Id="rId8" Type="http://schemas.openxmlformats.org/officeDocument/2006/relationships/ctrlProp" Target="../ctrlProps/ctrlProp6.xml"/><Relationship Id="rId142" Type="http://schemas.openxmlformats.org/officeDocument/2006/relationships/ctrlProp" Target="../ctrlProps/ctrlProp140.xml"/><Relationship Id="rId447" Type="http://schemas.openxmlformats.org/officeDocument/2006/relationships/ctrlProp" Target="../ctrlProps/ctrlProp445.xml"/><Relationship Id="rId794" Type="http://schemas.openxmlformats.org/officeDocument/2006/relationships/ctrlProp" Target="../ctrlProps/ctrlProp792.xml"/><Relationship Id="rId654" Type="http://schemas.openxmlformats.org/officeDocument/2006/relationships/ctrlProp" Target="../ctrlProps/ctrlProp652.xml"/><Relationship Id="rId861" Type="http://schemas.openxmlformats.org/officeDocument/2006/relationships/ctrlProp" Target="../ctrlProps/ctrlProp859.xml"/><Relationship Id="rId959" Type="http://schemas.openxmlformats.org/officeDocument/2006/relationships/ctrlProp" Target="../ctrlProps/ctrlProp957.xml"/><Relationship Id="rId293" Type="http://schemas.openxmlformats.org/officeDocument/2006/relationships/ctrlProp" Target="../ctrlProps/ctrlProp291.xml"/><Relationship Id="rId307" Type="http://schemas.openxmlformats.org/officeDocument/2006/relationships/ctrlProp" Target="../ctrlProps/ctrlProp305.xml"/><Relationship Id="rId514" Type="http://schemas.openxmlformats.org/officeDocument/2006/relationships/ctrlProp" Target="../ctrlProps/ctrlProp512.xml"/><Relationship Id="rId721" Type="http://schemas.openxmlformats.org/officeDocument/2006/relationships/ctrlProp" Target="../ctrlProps/ctrlProp719.xml"/><Relationship Id="rId88" Type="http://schemas.openxmlformats.org/officeDocument/2006/relationships/ctrlProp" Target="../ctrlProps/ctrlProp86.xml"/><Relationship Id="rId153" Type="http://schemas.openxmlformats.org/officeDocument/2006/relationships/ctrlProp" Target="../ctrlProps/ctrlProp151.xml"/><Relationship Id="rId360" Type="http://schemas.openxmlformats.org/officeDocument/2006/relationships/ctrlProp" Target="../ctrlProps/ctrlProp358.xml"/><Relationship Id="rId598" Type="http://schemas.openxmlformats.org/officeDocument/2006/relationships/ctrlProp" Target="../ctrlProps/ctrlProp596.xml"/><Relationship Id="rId819" Type="http://schemas.openxmlformats.org/officeDocument/2006/relationships/ctrlProp" Target="../ctrlProps/ctrlProp817.xml"/><Relationship Id="rId1004" Type="http://schemas.openxmlformats.org/officeDocument/2006/relationships/ctrlProp" Target="../ctrlProps/ctrlProp1002.xml"/><Relationship Id="rId220" Type="http://schemas.openxmlformats.org/officeDocument/2006/relationships/ctrlProp" Target="../ctrlProps/ctrlProp218.xml"/><Relationship Id="rId458" Type="http://schemas.openxmlformats.org/officeDocument/2006/relationships/ctrlProp" Target="../ctrlProps/ctrlProp456.xml"/><Relationship Id="rId665" Type="http://schemas.openxmlformats.org/officeDocument/2006/relationships/ctrlProp" Target="../ctrlProps/ctrlProp663.xml"/><Relationship Id="rId872" Type="http://schemas.openxmlformats.org/officeDocument/2006/relationships/ctrlProp" Target="../ctrlProps/ctrlProp870.xml"/><Relationship Id="rId15" Type="http://schemas.openxmlformats.org/officeDocument/2006/relationships/ctrlProp" Target="../ctrlProps/ctrlProp13.xml"/><Relationship Id="rId318" Type="http://schemas.openxmlformats.org/officeDocument/2006/relationships/ctrlProp" Target="../ctrlProps/ctrlProp316.xml"/><Relationship Id="rId525" Type="http://schemas.openxmlformats.org/officeDocument/2006/relationships/ctrlProp" Target="../ctrlProps/ctrlProp523.xml"/><Relationship Id="rId732" Type="http://schemas.openxmlformats.org/officeDocument/2006/relationships/ctrlProp" Target="../ctrlProps/ctrlProp730.xml"/><Relationship Id="rId99" Type="http://schemas.openxmlformats.org/officeDocument/2006/relationships/ctrlProp" Target="../ctrlProps/ctrlProp97.xml"/><Relationship Id="rId164" Type="http://schemas.openxmlformats.org/officeDocument/2006/relationships/ctrlProp" Target="../ctrlProps/ctrlProp162.xml"/><Relationship Id="rId371" Type="http://schemas.openxmlformats.org/officeDocument/2006/relationships/ctrlProp" Target="../ctrlProps/ctrlProp369.xml"/><Relationship Id="rId1015" Type="http://schemas.openxmlformats.org/officeDocument/2006/relationships/ctrlProp" Target="../ctrlProps/ctrlProp1013.xml"/><Relationship Id="rId469" Type="http://schemas.openxmlformats.org/officeDocument/2006/relationships/ctrlProp" Target="../ctrlProps/ctrlProp467.xml"/><Relationship Id="rId676" Type="http://schemas.openxmlformats.org/officeDocument/2006/relationships/ctrlProp" Target="../ctrlProps/ctrlProp674.xml"/><Relationship Id="rId883" Type="http://schemas.openxmlformats.org/officeDocument/2006/relationships/ctrlProp" Target="../ctrlProps/ctrlProp881.xml"/><Relationship Id="rId26" Type="http://schemas.openxmlformats.org/officeDocument/2006/relationships/ctrlProp" Target="../ctrlProps/ctrlProp24.xml"/><Relationship Id="rId231" Type="http://schemas.openxmlformats.org/officeDocument/2006/relationships/ctrlProp" Target="../ctrlProps/ctrlProp229.xml"/><Relationship Id="rId329" Type="http://schemas.openxmlformats.org/officeDocument/2006/relationships/ctrlProp" Target="../ctrlProps/ctrlProp327.xml"/><Relationship Id="rId536" Type="http://schemas.openxmlformats.org/officeDocument/2006/relationships/ctrlProp" Target="../ctrlProps/ctrlProp534.xml"/><Relationship Id="rId175" Type="http://schemas.openxmlformats.org/officeDocument/2006/relationships/ctrlProp" Target="../ctrlProps/ctrlProp173.xml"/><Relationship Id="rId743" Type="http://schemas.openxmlformats.org/officeDocument/2006/relationships/ctrlProp" Target="../ctrlProps/ctrlProp741.xml"/><Relationship Id="rId950" Type="http://schemas.openxmlformats.org/officeDocument/2006/relationships/ctrlProp" Target="../ctrlProps/ctrlProp948.xml"/><Relationship Id="rId1026" Type="http://schemas.openxmlformats.org/officeDocument/2006/relationships/ctrlProp" Target="../ctrlProps/ctrlProp1024.xml"/><Relationship Id="rId382" Type="http://schemas.openxmlformats.org/officeDocument/2006/relationships/ctrlProp" Target="../ctrlProps/ctrlProp380.xml"/><Relationship Id="rId603" Type="http://schemas.openxmlformats.org/officeDocument/2006/relationships/ctrlProp" Target="../ctrlProps/ctrlProp601.xml"/><Relationship Id="rId687" Type="http://schemas.openxmlformats.org/officeDocument/2006/relationships/ctrlProp" Target="../ctrlProps/ctrlProp685.xml"/><Relationship Id="rId810" Type="http://schemas.openxmlformats.org/officeDocument/2006/relationships/ctrlProp" Target="../ctrlProps/ctrlProp808.xml"/><Relationship Id="rId908" Type="http://schemas.openxmlformats.org/officeDocument/2006/relationships/ctrlProp" Target="../ctrlProps/ctrlProp906.xml"/><Relationship Id="rId242" Type="http://schemas.openxmlformats.org/officeDocument/2006/relationships/ctrlProp" Target="../ctrlProps/ctrlProp240.xml"/><Relationship Id="rId894" Type="http://schemas.openxmlformats.org/officeDocument/2006/relationships/ctrlProp" Target="../ctrlProps/ctrlProp892.xml"/><Relationship Id="rId37" Type="http://schemas.openxmlformats.org/officeDocument/2006/relationships/ctrlProp" Target="../ctrlProps/ctrlProp35.xml"/><Relationship Id="rId102" Type="http://schemas.openxmlformats.org/officeDocument/2006/relationships/ctrlProp" Target="../ctrlProps/ctrlProp100.xml"/><Relationship Id="rId547" Type="http://schemas.openxmlformats.org/officeDocument/2006/relationships/ctrlProp" Target="../ctrlProps/ctrlProp545.xml"/><Relationship Id="rId754" Type="http://schemas.openxmlformats.org/officeDocument/2006/relationships/ctrlProp" Target="../ctrlProps/ctrlProp752.xml"/><Relationship Id="rId961" Type="http://schemas.openxmlformats.org/officeDocument/2006/relationships/ctrlProp" Target="../ctrlProps/ctrlProp959.xml"/><Relationship Id="rId90" Type="http://schemas.openxmlformats.org/officeDocument/2006/relationships/ctrlProp" Target="../ctrlProps/ctrlProp88.xml"/><Relationship Id="rId186" Type="http://schemas.openxmlformats.org/officeDocument/2006/relationships/ctrlProp" Target="../ctrlProps/ctrlProp184.xml"/><Relationship Id="rId393" Type="http://schemas.openxmlformats.org/officeDocument/2006/relationships/ctrlProp" Target="../ctrlProps/ctrlProp391.xml"/><Relationship Id="rId407" Type="http://schemas.openxmlformats.org/officeDocument/2006/relationships/ctrlProp" Target="../ctrlProps/ctrlProp405.xml"/><Relationship Id="rId614" Type="http://schemas.openxmlformats.org/officeDocument/2006/relationships/ctrlProp" Target="../ctrlProps/ctrlProp612.xml"/><Relationship Id="rId821" Type="http://schemas.openxmlformats.org/officeDocument/2006/relationships/ctrlProp" Target="../ctrlProps/ctrlProp819.xml"/><Relationship Id="rId1037" Type="http://schemas.openxmlformats.org/officeDocument/2006/relationships/ctrlProp" Target="../ctrlProps/ctrlProp1035.xml"/><Relationship Id="rId253" Type="http://schemas.openxmlformats.org/officeDocument/2006/relationships/ctrlProp" Target="../ctrlProps/ctrlProp251.xml"/><Relationship Id="rId460" Type="http://schemas.openxmlformats.org/officeDocument/2006/relationships/ctrlProp" Target="../ctrlProps/ctrlProp458.xml"/><Relationship Id="rId698" Type="http://schemas.openxmlformats.org/officeDocument/2006/relationships/ctrlProp" Target="../ctrlProps/ctrlProp696.xml"/><Relationship Id="rId919" Type="http://schemas.openxmlformats.org/officeDocument/2006/relationships/ctrlProp" Target="../ctrlProps/ctrlProp917.xml"/><Relationship Id="rId48" Type="http://schemas.openxmlformats.org/officeDocument/2006/relationships/ctrlProp" Target="../ctrlProps/ctrlProp46.xml"/><Relationship Id="rId113" Type="http://schemas.openxmlformats.org/officeDocument/2006/relationships/ctrlProp" Target="../ctrlProps/ctrlProp111.xml"/><Relationship Id="rId320" Type="http://schemas.openxmlformats.org/officeDocument/2006/relationships/ctrlProp" Target="../ctrlProps/ctrlProp318.xml"/><Relationship Id="rId558" Type="http://schemas.openxmlformats.org/officeDocument/2006/relationships/ctrlProp" Target="../ctrlProps/ctrlProp556.xml"/><Relationship Id="rId765" Type="http://schemas.openxmlformats.org/officeDocument/2006/relationships/ctrlProp" Target="../ctrlProps/ctrlProp763.xml"/><Relationship Id="rId972" Type="http://schemas.openxmlformats.org/officeDocument/2006/relationships/ctrlProp" Target="../ctrlProps/ctrlProp970.xml"/><Relationship Id="rId197" Type="http://schemas.openxmlformats.org/officeDocument/2006/relationships/ctrlProp" Target="../ctrlProps/ctrlProp195.xml"/><Relationship Id="rId418" Type="http://schemas.openxmlformats.org/officeDocument/2006/relationships/ctrlProp" Target="../ctrlProps/ctrlProp416.xml"/><Relationship Id="rId625" Type="http://schemas.openxmlformats.org/officeDocument/2006/relationships/ctrlProp" Target="../ctrlProps/ctrlProp623.xml"/><Relationship Id="rId832" Type="http://schemas.openxmlformats.org/officeDocument/2006/relationships/ctrlProp" Target="../ctrlProps/ctrlProp830.xml"/><Relationship Id="rId1048" Type="http://schemas.openxmlformats.org/officeDocument/2006/relationships/ctrlProp" Target="../ctrlProps/ctrlProp1046.xml"/><Relationship Id="rId264" Type="http://schemas.openxmlformats.org/officeDocument/2006/relationships/ctrlProp" Target="../ctrlProps/ctrlProp262.xml"/><Relationship Id="rId471" Type="http://schemas.openxmlformats.org/officeDocument/2006/relationships/ctrlProp" Target="../ctrlProps/ctrlProp469.xml"/><Relationship Id="rId59" Type="http://schemas.openxmlformats.org/officeDocument/2006/relationships/ctrlProp" Target="../ctrlProps/ctrlProp57.xml"/><Relationship Id="rId124" Type="http://schemas.openxmlformats.org/officeDocument/2006/relationships/ctrlProp" Target="../ctrlProps/ctrlProp122.xml"/><Relationship Id="rId569" Type="http://schemas.openxmlformats.org/officeDocument/2006/relationships/ctrlProp" Target="../ctrlProps/ctrlProp567.xml"/><Relationship Id="rId776" Type="http://schemas.openxmlformats.org/officeDocument/2006/relationships/ctrlProp" Target="../ctrlProps/ctrlProp774.xml"/><Relationship Id="rId983" Type="http://schemas.openxmlformats.org/officeDocument/2006/relationships/ctrlProp" Target="../ctrlProps/ctrlProp981.xml"/><Relationship Id="rId331" Type="http://schemas.openxmlformats.org/officeDocument/2006/relationships/ctrlProp" Target="../ctrlProps/ctrlProp329.xml"/><Relationship Id="rId429" Type="http://schemas.openxmlformats.org/officeDocument/2006/relationships/ctrlProp" Target="../ctrlProps/ctrlProp427.xml"/><Relationship Id="rId636" Type="http://schemas.openxmlformats.org/officeDocument/2006/relationships/ctrlProp" Target="../ctrlProps/ctrlProp634.xml"/><Relationship Id="rId843" Type="http://schemas.openxmlformats.org/officeDocument/2006/relationships/ctrlProp" Target="../ctrlProps/ctrlProp841.xml"/><Relationship Id="rId275" Type="http://schemas.openxmlformats.org/officeDocument/2006/relationships/ctrlProp" Target="../ctrlProps/ctrlProp273.xml"/><Relationship Id="rId482" Type="http://schemas.openxmlformats.org/officeDocument/2006/relationships/ctrlProp" Target="../ctrlProps/ctrlProp480.xml"/><Relationship Id="rId703" Type="http://schemas.openxmlformats.org/officeDocument/2006/relationships/ctrlProp" Target="../ctrlProps/ctrlProp701.xml"/><Relationship Id="rId910" Type="http://schemas.openxmlformats.org/officeDocument/2006/relationships/ctrlProp" Target="../ctrlProps/ctrlProp908.xml"/><Relationship Id="rId135" Type="http://schemas.openxmlformats.org/officeDocument/2006/relationships/ctrlProp" Target="../ctrlProps/ctrlProp133.xml"/><Relationship Id="rId342" Type="http://schemas.openxmlformats.org/officeDocument/2006/relationships/ctrlProp" Target="../ctrlProps/ctrlProp340.xml"/><Relationship Id="rId787" Type="http://schemas.openxmlformats.org/officeDocument/2006/relationships/ctrlProp" Target="../ctrlProps/ctrlProp785.xml"/><Relationship Id="rId994" Type="http://schemas.openxmlformats.org/officeDocument/2006/relationships/ctrlProp" Target="../ctrlProps/ctrlProp992.xml"/><Relationship Id="rId202" Type="http://schemas.openxmlformats.org/officeDocument/2006/relationships/ctrlProp" Target="../ctrlProps/ctrlProp200.xml"/><Relationship Id="rId647" Type="http://schemas.openxmlformats.org/officeDocument/2006/relationships/ctrlProp" Target="../ctrlProps/ctrlProp645.xml"/><Relationship Id="rId854" Type="http://schemas.openxmlformats.org/officeDocument/2006/relationships/ctrlProp" Target="../ctrlProps/ctrlProp852.xml"/><Relationship Id="rId286" Type="http://schemas.openxmlformats.org/officeDocument/2006/relationships/ctrlProp" Target="../ctrlProps/ctrlProp284.xml"/><Relationship Id="rId493" Type="http://schemas.openxmlformats.org/officeDocument/2006/relationships/ctrlProp" Target="../ctrlProps/ctrlProp491.xml"/><Relationship Id="rId507" Type="http://schemas.openxmlformats.org/officeDocument/2006/relationships/ctrlProp" Target="../ctrlProps/ctrlProp505.xml"/><Relationship Id="rId714" Type="http://schemas.openxmlformats.org/officeDocument/2006/relationships/ctrlProp" Target="../ctrlProps/ctrlProp712.xml"/><Relationship Id="rId921" Type="http://schemas.openxmlformats.org/officeDocument/2006/relationships/ctrlProp" Target="../ctrlProps/ctrlProp919.xml"/><Relationship Id="rId50" Type="http://schemas.openxmlformats.org/officeDocument/2006/relationships/ctrlProp" Target="../ctrlProps/ctrlProp48.xml"/><Relationship Id="rId146" Type="http://schemas.openxmlformats.org/officeDocument/2006/relationships/ctrlProp" Target="../ctrlProps/ctrlProp144.xml"/><Relationship Id="rId353" Type="http://schemas.openxmlformats.org/officeDocument/2006/relationships/ctrlProp" Target="../ctrlProps/ctrlProp351.xml"/><Relationship Id="rId560" Type="http://schemas.openxmlformats.org/officeDocument/2006/relationships/ctrlProp" Target="../ctrlProps/ctrlProp558.xml"/><Relationship Id="rId798" Type="http://schemas.openxmlformats.org/officeDocument/2006/relationships/ctrlProp" Target="../ctrlProps/ctrlProp796.xml"/><Relationship Id="rId213" Type="http://schemas.openxmlformats.org/officeDocument/2006/relationships/ctrlProp" Target="../ctrlProps/ctrlProp211.xml"/><Relationship Id="rId420" Type="http://schemas.openxmlformats.org/officeDocument/2006/relationships/ctrlProp" Target="../ctrlProps/ctrlProp418.xml"/><Relationship Id="rId658" Type="http://schemas.openxmlformats.org/officeDocument/2006/relationships/ctrlProp" Target="../ctrlProps/ctrlProp656.xml"/><Relationship Id="rId865" Type="http://schemas.openxmlformats.org/officeDocument/2006/relationships/ctrlProp" Target="../ctrlProps/ctrlProp863.xml"/><Relationship Id="rId1050" Type="http://schemas.openxmlformats.org/officeDocument/2006/relationships/ctrlProp" Target="../ctrlProps/ctrlProp1048.xml"/><Relationship Id="rId297" Type="http://schemas.openxmlformats.org/officeDocument/2006/relationships/ctrlProp" Target="../ctrlProps/ctrlProp295.xml"/><Relationship Id="rId518" Type="http://schemas.openxmlformats.org/officeDocument/2006/relationships/ctrlProp" Target="../ctrlProps/ctrlProp516.xml"/><Relationship Id="rId725" Type="http://schemas.openxmlformats.org/officeDocument/2006/relationships/ctrlProp" Target="../ctrlProps/ctrlProp723.xml"/><Relationship Id="rId932" Type="http://schemas.openxmlformats.org/officeDocument/2006/relationships/ctrlProp" Target="../ctrlProps/ctrlProp930.xml"/><Relationship Id="rId157" Type="http://schemas.openxmlformats.org/officeDocument/2006/relationships/ctrlProp" Target="../ctrlProps/ctrlProp155.xml"/><Relationship Id="rId364" Type="http://schemas.openxmlformats.org/officeDocument/2006/relationships/ctrlProp" Target="../ctrlProps/ctrlProp362.xml"/><Relationship Id="rId1008" Type="http://schemas.openxmlformats.org/officeDocument/2006/relationships/ctrlProp" Target="../ctrlProps/ctrlProp1006.xml"/><Relationship Id="rId61" Type="http://schemas.openxmlformats.org/officeDocument/2006/relationships/ctrlProp" Target="../ctrlProps/ctrlProp59.xml"/><Relationship Id="rId571" Type="http://schemas.openxmlformats.org/officeDocument/2006/relationships/ctrlProp" Target="../ctrlProps/ctrlProp569.xml"/><Relationship Id="rId669" Type="http://schemas.openxmlformats.org/officeDocument/2006/relationships/ctrlProp" Target="../ctrlProps/ctrlProp667.xml"/><Relationship Id="rId876" Type="http://schemas.openxmlformats.org/officeDocument/2006/relationships/ctrlProp" Target="../ctrlProps/ctrlProp874.xml"/><Relationship Id="rId19" Type="http://schemas.openxmlformats.org/officeDocument/2006/relationships/ctrlProp" Target="../ctrlProps/ctrlProp17.xml"/><Relationship Id="rId224" Type="http://schemas.openxmlformats.org/officeDocument/2006/relationships/ctrlProp" Target="../ctrlProps/ctrlProp222.xml"/><Relationship Id="rId431" Type="http://schemas.openxmlformats.org/officeDocument/2006/relationships/ctrlProp" Target="../ctrlProps/ctrlProp429.xml"/><Relationship Id="rId529" Type="http://schemas.openxmlformats.org/officeDocument/2006/relationships/ctrlProp" Target="../ctrlProps/ctrlProp527.xml"/><Relationship Id="rId736" Type="http://schemas.openxmlformats.org/officeDocument/2006/relationships/ctrlProp" Target="../ctrlProps/ctrlProp734.xml"/><Relationship Id="rId168" Type="http://schemas.openxmlformats.org/officeDocument/2006/relationships/ctrlProp" Target="../ctrlProps/ctrlProp166.xml"/><Relationship Id="rId943" Type="http://schemas.openxmlformats.org/officeDocument/2006/relationships/ctrlProp" Target="../ctrlProps/ctrlProp941.xml"/><Relationship Id="rId1019" Type="http://schemas.openxmlformats.org/officeDocument/2006/relationships/ctrlProp" Target="../ctrlProps/ctrlProp1017.xml"/><Relationship Id="rId72" Type="http://schemas.openxmlformats.org/officeDocument/2006/relationships/ctrlProp" Target="../ctrlProps/ctrlProp70.xml"/><Relationship Id="rId375" Type="http://schemas.openxmlformats.org/officeDocument/2006/relationships/ctrlProp" Target="../ctrlProps/ctrlProp373.xml"/><Relationship Id="rId582" Type="http://schemas.openxmlformats.org/officeDocument/2006/relationships/ctrlProp" Target="../ctrlProps/ctrlProp580.xml"/><Relationship Id="rId803" Type="http://schemas.openxmlformats.org/officeDocument/2006/relationships/ctrlProp" Target="../ctrlProps/ctrlProp801.xml"/><Relationship Id="rId3" Type="http://schemas.openxmlformats.org/officeDocument/2006/relationships/vmlDrawing" Target="../drawings/vmlDrawing2.vml"/><Relationship Id="rId235" Type="http://schemas.openxmlformats.org/officeDocument/2006/relationships/ctrlProp" Target="../ctrlProps/ctrlProp233.xml"/><Relationship Id="rId442" Type="http://schemas.openxmlformats.org/officeDocument/2006/relationships/ctrlProp" Target="../ctrlProps/ctrlProp440.xml"/><Relationship Id="rId887" Type="http://schemas.openxmlformats.org/officeDocument/2006/relationships/ctrlProp" Target="../ctrlProps/ctrlProp885.xml"/><Relationship Id="rId302" Type="http://schemas.openxmlformats.org/officeDocument/2006/relationships/ctrlProp" Target="../ctrlProps/ctrlProp300.xml"/><Relationship Id="rId747" Type="http://schemas.openxmlformats.org/officeDocument/2006/relationships/ctrlProp" Target="../ctrlProps/ctrlProp745.xml"/><Relationship Id="rId954" Type="http://schemas.openxmlformats.org/officeDocument/2006/relationships/ctrlProp" Target="../ctrlProps/ctrlProp952.xml"/><Relationship Id="rId83" Type="http://schemas.openxmlformats.org/officeDocument/2006/relationships/ctrlProp" Target="../ctrlProps/ctrlProp81.xml"/><Relationship Id="rId179" Type="http://schemas.openxmlformats.org/officeDocument/2006/relationships/ctrlProp" Target="../ctrlProps/ctrlProp177.xml"/><Relationship Id="rId386" Type="http://schemas.openxmlformats.org/officeDocument/2006/relationships/ctrlProp" Target="../ctrlProps/ctrlProp384.xml"/><Relationship Id="rId593" Type="http://schemas.openxmlformats.org/officeDocument/2006/relationships/ctrlProp" Target="../ctrlProps/ctrlProp591.xml"/><Relationship Id="rId607" Type="http://schemas.openxmlformats.org/officeDocument/2006/relationships/ctrlProp" Target="../ctrlProps/ctrlProp605.xml"/><Relationship Id="rId814" Type="http://schemas.openxmlformats.org/officeDocument/2006/relationships/ctrlProp" Target="../ctrlProps/ctrlProp812.xml"/><Relationship Id="rId246" Type="http://schemas.openxmlformats.org/officeDocument/2006/relationships/ctrlProp" Target="../ctrlProps/ctrlProp244.xml"/><Relationship Id="rId453" Type="http://schemas.openxmlformats.org/officeDocument/2006/relationships/ctrlProp" Target="../ctrlProps/ctrlProp451.xml"/><Relationship Id="rId660" Type="http://schemas.openxmlformats.org/officeDocument/2006/relationships/ctrlProp" Target="../ctrlProps/ctrlProp658.xml"/><Relationship Id="rId898" Type="http://schemas.openxmlformats.org/officeDocument/2006/relationships/ctrlProp" Target="../ctrlProps/ctrlProp896.xml"/><Relationship Id="rId106" Type="http://schemas.openxmlformats.org/officeDocument/2006/relationships/ctrlProp" Target="../ctrlProps/ctrlProp104.xml"/><Relationship Id="rId313" Type="http://schemas.openxmlformats.org/officeDocument/2006/relationships/ctrlProp" Target="../ctrlProps/ctrlProp311.xml"/><Relationship Id="rId758" Type="http://schemas.openxmlformats.org/officeDocument/2006/relationships/ctrlProp" Target="../ctrlProps/ctrlProp756.xml"/><Relationship Id="rId965" Type="http://schemas.openxmlformats.org/officeDocument/2006/relationships/ctrlProp" Target="../ctrlProps/ctrlProp963.xml"/><Relationship Id="rId10" Type="http://schemas.openxmlformats.org/officeDocument/2006/relationships/ctrlProp" Target="../ctrlProps/ctrlProp8.xml"/><Relationship Id="rId94" Type="http://schemas.openxmlformats.org/officeDocument/2006/relationships/ctrlProp" Target="../ctrlProps/ctrlProp92.xml"/><Relationship Id="rId397" Type="http://schemas.openxmlformats.org/officeDocument/2006/relationships/ctrlProp" Target="../ctrlProps/ctrlProp395.xml"/><Relationship Id="rId520" Type="http://schemas.openxmlformats.org/officeDocument/2006/relationships/ctrlProp" Target="../ctrlProps/ctrlProp518.xml"/><Relationship Id="rId618" Type="http://schemas.openxmlformats.org/officeDocument/2006/relationships/ctrlProp" Target="../ctrlProps/ctrlProp616.xml"/><Relationship Id="rId825" Type="http://schemas.openxmlformats.org/officeDocument/2006/relationships/ctrlProp" Target="../ctrlProps/ctrlProp823.xml"/><Relationship Id="rId257" Type="http://schemas.openxmlformats.org/officeDocument/2006/relationships/ctrlProp" Target="../ctrlProps/ctrlProp255.xml"/><Relationship Id="rId464" Type="http://schemas.openxmlformats.org/officeDocument/2006/relationships/ctrlProp" Target="../ctrlProps/ctrlProp462.xml"/><Relationship Id="rId1010" Type="http://schemas.openxmlformats.org/officeDocument/2006/relationships/ctrlProp" Target="../ctrlProps/ctrlProp1008.xml"/><Relationship Id="rId117" Type="http://schemas.openxmlformats.org/officeDocument/2006/relationships/ctrlProp" Target="../ctrlProps/ctrlProp115.xml"/><Relationship Id="rId671" Type="http://schemas.openxmlformats.org/officeDocument/2006/relationships/ctrlProp" Target="../ctrlProps/ctrlProp669.xml"/><Relationship Id="rId769" Type="http://schemas.openxmlformats.org/officeDocument/2006/relationships/ctrlProp" Target="../ctrlProps/ctrlProp767.xml"/><Relationship Id="rId976" Type="http://schemas.openxmlformats.org/officeDocument/2006/relationships/ctrlProp" Target="../ctrlProps/ctrlProp974.xml"/><Relationship Id="rId324" Type="http://schemas.openxmlformats.org/officeDocument/2006/relationships/ctrlProp" Target="../ctrlProps/ctrlProp322.xml"/><Relationship Id="rId531" Type="http://schemas.openxmlformats.org/officeDocument/2006/relationships/ctrlProp" Target="../ctrlProps/ctrlProp529.xml"/><Relationship Id="rId629" Type="http://schemas.openxmlformats.org/officeDocument/2006/relationships/ctrlProp" Target="../ctrlProps/ctrlProp627.xml"/><Relationship Id="rId836" Type="http://schemas.openxmlformats.org/officeDocument/2006/relationships/ctrlProp" Target="../ctrlProps/ctrlProp834.xml"/><Relationship Id="rId1021" Type="http://schemas.openxmlformats.org/officeDocument/2006/relationships/ctrlProp" Target="../ctrlProps/ctrlProp1019.xml"/><Relationship Id="rId903" Type="http://schemas.openxmlformats.org/officeDocument/2006/relationships/ctrlProp" Target="../ctrlProps/ctrlProp901.xml"/><Relationship Id="rId32" Type="http://schemas.openxmlformats.org/officeDocument/2006/relationships/ctrlProp" Target="../ctrlProps/ctrlProp30.xml"/><Relationship Id="rId181" Type="http://schemas.openxmlformats.org/officeDocument/2006/relationships/ctrlProp" Target="../ctrlProps/ctrlProp179.xml"/><Relationship Id="rId279" Type="http://schemas.openxmlformats.org/officeDocument/2006/relationships/ctrlProp" Target="../ctrlProps/ctrlProp277.xml"/><Relationship Id="rId486" Type="http://schemas.openxmlformats.org/officeDocument/2006/relationships/ctrlProp" Target="../ctrlProps/ctrlProp484.xml"/><Relationship Id="rId693" Type="http://schemas.openxmlformats.org/officeDocument/2006/relationships/ctrlProp" Target="../ctrlProps/ctrlProp69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Relationship Id="rId6" Type="http://schemas.openxmlformats.org/officeDocument/2006/relationships/ctrlProp" Target="../ctrlProps/ctrlProp1051.xml"/><Relationship Id="rId5" Type="http://schemas.openxmlformats.org/officeDocument/2006/relationships/ctrlProp" Target="../ctrlProps/ctrlProp1050.xml"/><Relationship Id="rId4" Type="http://schemas.openxmlformats.org/officeDocument/2006/relationships/ctrlProp" Target="../ctrlProps/ctrlProp1049.x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6.xml"/><Relationship Id="rId4" Type="http://schemas.microsoft.com/office/2017/10/relationships/threadedComment" Target="../threadedComments/threadedComment4.xm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mailto:helen.montoia@industriastosi.com.br" TargetMode="External"/><Relationship Id="rId13" Type="http://schemas.openxmlformats.org/officeDocument/2006/relationships/printerSettings" Target="../printerSettings/printerSettings8.bin"/><Relationship Id="rId3" Type="http://schemas.openxmlformats.org/officeDocument/2006/relationships/hyperlink" Target="mailto:vendas@brasfaiber.com.br" TargetMode="External"/><Relationship Id="rId7" Type="http://schemas.openxmlformats.org/officeDocument/2006/relationships/hyperlink" Target="mailto:helen.montoia@industriastosi.com.br" TargetMode="External"/><Relationship Id="rId12" Type="http://schemas.openxmlformats.org/officeDocument/2006/relationships/hyperlink" Target="mailto:vendas@rocktec.com.br" TargetMode="External"/><Relationship Id="rId2" Type="http://schemas.openxmlformats.org/officeDocument/2006/relationships/hyperlink" Target="mailto:fredericorosa@frigelar.com.br" TargetMode="External"/><Relationship Id="rId1" Type="http://schemas.openxmlformats.org/officeDocument/2006/relationships/hyperlink" Target="mailto:comercial@aeroville.com.br" TargetMode="External"/><Relationship Id="rId6" Type="http://schemas.openxmlformats.org/officeDocument/2006/relationships/hyperlink" Target="mailto:heron.oliveira@industriastosi.com.br" TargetMode="External"/><Relationship Id="rId11" Type="http://schemas.openxmlformats.org/officeDocument/2006/relationships/hyperlink" Target="mailto:helen.montoia@industriastosi.com.br" TargetMode="External"/><Relationship Id="rId5" Type="http://schemas.openxmlformats.org/officeDocument/2006/relationships/hyperlink" Target="mailto:lamascr@gmail.com" TargetMode="External"/><Relationship Id="rId10" Type="http://schemas.openxmlformats.org/officeDocument/2006/relationships/hyperlink" Target="mailto:helen.montoia@industriastosi.com.br" TargetMode="External"/><Relationship Id="rId4" Type="http://schemas.openxmlformats.org/officeDocument/2006/relationships/hyperlink" Target="mailto:vendas@brasfaiber.com.br" TargetMode="External"/><Relationship Id="rId9" Type="http://schemas.openxmlformats.org/officeDocument/2006/relationships/hyperlink" Target="mailto:helen.montoia@industriastosi.com.br" TargetMode="External"/><Relationship Id="rId14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Relationship Id="rId4" Type="http://schemas.openxmlformats.org/officeDocument/2006/relationships/comments" Target="../comments6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5C614-F670-4D32-A515-13D8B6F8180A}">
  <sheetPr codeName="Planilha3"/>
  <dimension ref="A1:L134"/>
  <sheetViews>
    <sheetView view="pageBreakPreview" topLeftCell="A59" zoomScaleNormal="100" zoomScaleSheetLayoutView="100" workbookViewId="0">
      <selection activeCell="E28" sqref="E28"/>
    </sheetView>
  </sheetViews>
  <sheetFormatPr defaultRowHeight="14.4" x14ac:dyDescent="0.3"/>
  <cols>
    <col min="1" max="1" width="32.6640625" customWidth="1"/>
    <col min="2" max="2" width="20" style="3" bestFit="1" customWidth="1"/>
    <col min="3" max="3" width="17.44140625" customWidth="1"/>
    <col min="4" max="4" width="15.5546875" customWidth="1"/>
    <col min="5" max="5" width="17" customWidth="1"/>
    <col min="6" max="6" width="32.5546875" bestFit="1" customWidth="1"/>
    <col min="7" max="7" width="17.44140625" customWidth="1"/>
    <col min="8" max="8" width="14.6640625" customWidth="1"/>
    <col min="9" max="9" width="13.88671875" customWidth="1"/>
    <col min="12" max="12" width="11.5546875" customWidth="1"/>
    <col min="13" max="13" width="16.44140625" customWidth="1"/>
    <col min="14" max="14" width="20" bestFit="1" customWidth="1"/>
    <col min="15" max="16" width="8.5546875" customWidth="1"/>
    <col min="17" max="17" width="7.88671875" customWidth="1"/>
    <col min="18" max="18" width="8.44140625" customWidth="1"/>
    <col min="19" max="19" width="17" customWidth="1"/>
  </cols>
  <sheetData>
    <row r="1" spans="1:6" ht="27" customHeight="1" x14ac:dyDescent="0.3">
      <c r="A1" s="679" t="s">
        <v>1173</v>
      </c>
      <c r="B1" s="679"/>
      <c r="C1" s="316"/>
      <c r="D1" s="59"/>
      <c r="E1" s="59"/>
      <c r="F1" s="59"/>
    </row>
    <row r="2" spans="1:6" x14ac:dyDescent="0.3">
      <c r="A2" s="673" t="s">
        <v>96</v>
      </c>
      <c r="B2" s="674"/>
      <c r="C2" s="316"/>
      <c r="D2" s="59"/>
      <c r="E2" s="59"/>
      <c r="F2" s="59"/>
    </row>
    <row r="3" spans="1:6" x14ac:dyDescent="0.3">
      <c r="A3" s="606" t="s">
        <v>1073</v>
      </c>
      <c r="B3" s="609"/>
      <c r="C3" s="316"/>
      <c r="D3" s="59"/>
      <c r="E3" s="59"/>
      <c r="F3" s="59"/>
    </row>
    <row r="4" spans="1:6" x14ac:dyDescent="0.3">
      <c r="A4" s="607" t="s">
        <v>832</v>
      </c>
      <c r="B4" s="601"/>
      <c r="C4" s="672"/>
      <c r="D4" s="59"/>
      <c r="E4" s="59"/>
      <c r="F4" s="59"/>
    </row>
    <row r="5" spans="1:6" x14ac:dyDescent="0.3">
      <c r="A5" s="607" t="s">
        <v>1258</v>
      </c>
      <c r="B5" s="515"/>
      <c r="C5" s="29"/>
      <c r="D5" s="59"/>
      <c r="E5" s="59"/>
      <c r="F5" s="59"/>
    </row>
    <row r="6" spans="1:6" x14ac:dyDescent="0.3">
      <c r="A6" s="607"/>
      <c r="B6" s="515"/>
      <c r="C6" s="29"/>
      <c r="D6" s="59"/>
      <c r="E6" s="59"/>
      <c r="F6" s="59"/>
    </row>
    <row r="7" spans="1:6" x14ac:dyDescent="0.3">
      <c r="A7" s="607" t="s">
        <v>1174</v>
      </c>
      <c r="B7" s="602"/>
      <c r="C7" s="29"/>
      <c r="D7" s="59"/>
      <c r="E7" s="59"/>
      <c r="F7" s="59"/>
    </row>
    <row r="8" spans="1:6" x14ac:dyDescent="0.3">
      <c r="A8" s="607" t="s">
        <v>1175</v>
      </c>
      <c r="B8" s="602">
        <f>B7</f>
        <v>0</v>
      </c>
      <c r="C8" s="29"/>
      <c r="D8" s="59"/>
      <c r="E8" s="59"/>
      <c r="F8" s="59"/>
    </row>
    <row r="9" spans="1:6" x14ac:dyDescent="0.3">
      <c r="A9" s="607" t="s">
        <v>1176</v>
      </c>
      <c r="B9" s="602"/>
      <c r="C9" s="29"/>
      <c r="D9" s="59"/>
      <c r="E9" s="59"/>
      <c r="F9" s="59"/>
    </row>
    <row r="10" spans="1:6" x14ac:dyDescent="0.3">
      <c r="A10" s="607" t="s">
        <v>1177</v>
      </c>
      <c r="B10" s="602"/>
      <c r="C10" s="29"/>
      <c r="D10" s="59"/>
      <c r="E10" s="59"/>
      <c r="F10" s="59"/>
    </row>
    <row r="11" spans="1:6" x14ac:dyDescent="0.3">
      <c r="A11" s="607"/>
      <c r="B11" s="515"/>
      <c r="C11" s="29"/>
      <c r="D11" s="59"/>
      <c r="E11" s="59"/>
      <c r="F11" s="59"/>
    </row>
    <row r="12" spans="1:6" x14ac:dyDescent="0.3">
      <c r="A12" s="607" t="s">
        <v>1178</v>
      </c>
      <c r="B12" s="602"/>
      <c r="C12" s="29"/>
      <c r="D12" s="59"/>
      <c r="E12" s="59"/>
      <c r="F12" s="59"/>
    </row>
    <row r="13" spans="1:6" x14ac:dyDescent="0.3">
      <c r="A13" s="608"/>
      <c r="B13" s="515"/>
      <c r="C13" s="29"/>
      <c r="D13" s="59"/>
      <c r="E13" s="59"/>
      <c r="F13" s="59"/>
    </row>
    <row r="14" spans="1:6" x14ac:dyDescent="0.3">
      <c r="A14" s="607" t="s">
        <v>1190</v>
      </c>
      <c r="B14" s="602"/>
      <c r="C14" s="29"/>
      <c r="D14" s="59"/>
      <c r="E14" s="59"/>
      <c r="F14" s="59"/>
    </row>
    <row r="15" spans="1:6" x14ac:dyDescent="0.3">
      <c r="A15" s="607" t="s">
        <v>1191</v>
      </c>
      <c r="B15" s="602"/>
      <c r="C15" s="29"/>
      <c r="D15" s="59"/>
      <c r="E15" s="59"/>
      <c r="F15" s="59"/>
    </row>
    <row r="16" spans="1:6" x14ac:dyDescent="0.3">
      <c r="A16" s="607" t="s">
        <v>1192</v>
      </c>
      <c r="B16" s="602"/>
      <c r="C16" s="29"/>
      <c r="D16" s="59"/>
      <c r="E16" s="59"/>
      <c r="F16" s="59"/>
    </row>
    <row r="17" spans="1:6" x14ac:dyDescent="0.3">
      <c r="A17" s="607" t="s">
        <v>1192</v>
      </c>
      <c r="B17" s="602"/>
      <c r="C17" s="29"/>
      <c r="D17" s="59"/>
      <c r="E17" s="59"/>
      <c r="F17" s="59"/>
    </row>
    <row r="18" spans="1:6" x14ac:dyDescent="0.3">
      <c r="A18" s="608"/>
      <c r="B18" s="515"/>
      <c r="C18" s="29"/>
    </row>
    <row r="19" spans="1:6" x14ac:dyDescent="0.3">
      <c r="A19" s="607" t="s">
        <v>1071</v>
      </c>
      <c r="B19" s="603"/>
      <c r="C19" s="29"/>
    </row>
    <row r="20" spans="1:6" x14ac:dyDescent="0.3">
      <c r="A20" s="607"/>
      <c r="B20" s="515"/>
      <c r="C20" s="29"/>
    </row>
    <row r="21" spans="1:6" x14ac:dyDescent="0.3">
      <c r="A21" s="607" t="s">
        <v>1245</v>
      </c>
      <c r="B21" s="515"/>
      <c r="C21" s="29"/>
    </row>
    <row r="22" spans="1:6" x14ac:dyDescent="0.3">
      <c r="A22" s="607"/>
      <c r="B22" s="515"/>
      <c r="C22" s="29"/>
    </row>
    <row r="23" spans="1:6" x14ac:dyDescent="0.3">
      <c r="A23" s="607" t="s">
        <v>1246</v>
      </c>
      <c r="B23" s="640">
        <f>ROUNDUP(SUM(B39:B40)/3.6*1.25*1,0)</f>
        <v>0</v>
      </c>
      <c r="C23" s="29"/>
    </row>
    <row r="24" spans="1:6" x14ac:dyDescent="0.3">
      <c r="A24" s="607"/>
      <c r="B24" s="515"/>
      <c r="C24" s="29"/>
    </row>
    <row r="25" spans="1:6" x14ac:dyDescent="0.3">
      <c r="A25" s="607" t="s">
        <v>1099</v>
      </c>
      <c r="B25" s="515"/>
      <c r="C25" s="29"/>
    </row>
    <row r="26" spans="1:6" x14ac:dyDescent="0.3">
      <c r="A26" s="607" t="s">
        <v>1100</v>
      </c>
      <c r="B26" s="515"/>
      <c r="C26" s="29"/>
    </row>
    <row r="27" spans="1:6" x14ac:dyDescent="0.3">
      <c r="A27" s="607"/>
      <c r="B27" s="515"/>
      <c r="C27" s="29"/>
    </row>
    <row r="28" spans="1:6" x14ac:dyDescent="0.3">
      <c r="A28" s="607" t="s">
        <v>1179</v>
      </c>
      <c r="B28" s="604"/>
      <c r="C28" s="29"/>
    </row>
    <row r="29" spans="1:6" x14ac:dyDescent="0.3">
      <c r="A29" s="607" t="s">
        <v>1157</v>
      </c>
      <c r="B29" s="605"/>
      <c r="C29" s="29"/>
    </row>
    <row r="30" spans="1:6" x14ac:dyDescent="0.3">
      <c r="A30" s="607" t="s">
        <v>1072</v>
      </c>
      <c r="B30" s="515" t="s">
        <v>1345</v>
      </c>
      <c r="C30" s="29"/>
    </row>
    <row r="31" spans="1:6" hidden="1" x14ac:dyDescent="0.3">
      <c r="A31" s="60"/>
      <c r="B31" s="537"/>
      <c r="C31" s="29"/>
    </row>
    <row r="32" spans="1:6" hidden="1" x14ac:dyDescent="0.3">
      <c r="A32" s="18" t="s">
        <v>1247</v>
      </c>
      <c r="B32" s="3">
        <v>3.9609999999999999</v>
      </c>
      <c r="C32" s="29"/>
    </row>
    <row r="33" spans="1:3" hidden="1" x14ac:dyDescent="0.3">
      <c r="A33" s="18" t="s">
        <v>1248</v>
      </c>
      <c r="B33" s="3">
        <v>2.5459999999999998</v>
      </c>
      <c r="C33" s="29"/>
    </row>
    <row r="34" spans="1:3" hidden="1" x14ac:dyDescent="0.3">
      <c r="A34" s="18" t="s">
        <v>1249</v>
      </c>
      <c r="B34" s="3">
        <v>1.145</v>
      </c>
      <c r="C34" s="29"/>
    </row>
    <row r="35" spans="1:3" hidden="1" x14ac:dyDescent="0.3">
      <c r="A35" s="18" t="s">
        <v>1250</v>
      </c>
      <c r="B35" s="3">
        <v>1.1200000000000001</v>
      </c>
      <c r="C35" s="29"/>
    </row>
    <row r="36" spans="1:3" hidden="1" x14ac:dyDescent="0.3">
      <c r="C36" s="29"/>
    </row>
    <row r="37" spans="1:3" hidden="1" x14ac:dyDescent="0.3">
      <c r="A37" t="s">
        <v>1260</v>
      </c>
      <c r="B37" s="3" t="str">
        <f>IF(B5="Eletrocentro",B35,IF(B5="Alvenaria",B33,"ERRO"))</f>
        <v>ERRO</v>
      </c>
      <c r="C37" s="29"/>
    </row>
    <row r="38" spans="1:3" hidden="1" x14ac:dyDescent="0.3">
      <c r="A38" t="s">
        <v>1259</v>
      </c>
      <c r="B38" s="3" t="str">
        <f>IF(B5="Eletrocentro",B34,IF(B5="Alvenaria",B32,"ERRO"))</f>
        <v>ERRO</v>
      </c>
      <c r="C38" s="29"/>
    </row>
    <row r="39" spans="1:3" hidden="1" x14ac:dyDescent="0.3">
      <c r="A39" t="s">
        <v>1261</v>
      </c>
      <c r="B39" s="588">
        <f>(0.827*B25*0.0402*(POWER(B28,0.5))*3600)</f>
        <v>0</v>
      </c>
      <c r="C39" s="29"/>
    </row>
    <row r="40" spans="1:3" hidden="1" x14ac:dyDescent="0.3">
      <c r="A40" t="s">
        <v>1262</v>
      </c>
      <c r="B40" s="588">
        <f>(0.827*B26*0.024*(POWER(B28,0.5))*3600)</f>
        <v>0</v>
      </c>
      <c r="C40" s="29"/>
    </row>
    <row r="41" spans="1:3" hidden="1" x14ac:dyDescent="0.3">
      <c r="C41" s="29"/>
    </row>
    <row r="42" spans="1:3" hidden="1" x14ac:dyDescent="0.3">
      <c r="A42" s="60" t="s">
        <v>1251</v>
      </c>
      <c r="C42" s="29"/>
    </row>
    <row r="43" spans="1:3" hidden="1" x14ac:dyDescent="0.3">
      <c r="A43" t="s">
        <v>1256</v>
      </c>
      <c r="C43" s="29"/>
    </row>
    <row r="44" spans="1:3" hidden="1" x14ac:dyDescent="0.3">
      <c r="A44" t="s">
        <v>1257</v>
      </c>
      <c r="C44" s="29"/>
    </row>
    <row r="45" spans="1:3" hidden="1" x14ac:dyDescent="0.3">
      <c r="A45" t="s">
        <v>1252</v>
      </c>
      <c r="C45" s="29"/>
    </row>
    <row r="46" spans="1:3" hidden="1" x14ac:dyDescent="0.3">
      <c r="A46" t="s">
        <v>1253</v>
      </c>
      <c r="C46" s="29"/>
    </row>
    <row r="47" spans="1:3" hidden="1" x14ac:dyDescent="0.3">
      <c r="A47" t="s">
        <v>1254</v>
      </c>
      <c r="C47" s="29"/>
    </row>
    <row r="48" spans="1:3" hidden="1" x14ac:dyDescent="0.3">
      <c r="A48" t="s">
        <v>1255</v>
      </c>
      <c r="C48" s="29"/>
    </row>
    <row r="49" spans="1:7" hidden="1" x14ac:dyDescent="0.3">
      <c r="C49" s="29"/>
    </row>
    <row r="50" spans="1:7" hidden="1" x14ac:dyDescent="0.3">
      <c r="A50" t="s">
        <v>1263</v>
      </c>
      <c r="C50" s="29"/>
    </row>
    <row r="51" spans="1:7" hidden="1" x14ac:dyDescent="0.3">
      <c r="A51" t="s">
        <v>1264</v>
      </c>
      <c r="C51" s="29"/>
    </row>
    <row r="52" spans="1:7" hidden="1" x14ac:dyDescent="0.3">
      <c r="A52" t="s">
        <v>1265</v>
      </c>
      <c r="C52" s="29"/>
    </row>
    <row r="53" spans="1:7" hidden="1" x14ac:dyDescent="0.3">
      <c r="C53" s="29"/>
    </row>
    <row r="54" spans="1:7" hidden="1" x14ac:dyDescent="0.3">
      <c r="A54" t="s">
        <v>1266</v>
      </c>
      <c r="C54" s="29"/>
    </row>
    <row r="55" spans="1:7" hidden="1" x14ac:dyDescent="0.3">
      <c r="C55" s="29"/>
    </row>
    <row r="56" spans="1:7" x14ac:dyDescent="0.3">
      <c r="C56" s="29"/>
    </row>
    <row r="57" spans="1:7" x14ac:dyDescent="0.3">
      <c r="A57" s="29"/>
      <c r="B57" s="99"/>
      <c r="C57" s="29"/>
      <c r="D57" s="29"/>
      <c r="E57" s="29"/>
      <c r="F57" s="29"/>
    </row>
    <row r="58" spans="1:7" x14ac:dyDescent="0.3">
      <c r="A58" s="683" t="s">
        <v>1180</v>
      </c>
      <c r="B58" s="683"/>
      <c r="C58" s="683"/>
      <c r="D58" s="683"/>
      <c r="E58" s="683"/>
      <c r="F58" s="683"/>
    </row>
    <row r="59" spans="1:7" ht="32.4" customHeight="1" x14ac:dyDescent="0.3">
      <c r="A59" s="571"/>
      <c r="B59" s="572" t="s">
        <v>218</v>
      </c>
      <c r="C59" s="572" t="s">
        <v>1181</v>
      </c>
      <c r="D59" s="572" t="s">
        <v>1182</v>
      </c>
      <c r="E59" s="573" t="s">
        <v>1183</v>
      </c>
      <c r="F59" s="573" t="s">
        <v>1184</v>
      </c>
    </row>
    <row r="60" spans="1:7" x14ac:dyDescent="0.3">
      <c r="A60" s="18" t="s">
        <v>1185</v>
      </c>
      <c r="B60" s="18"/>
      <c r="C60" s="277">
        <f>B4</f>
        <v>0</v>
      </c>
      <c r="D60" s="38" t="str">
        <f>B38</f>
        <v>ERRO</v>
      </c>
      <c r="E60" s="38">
        <v>20</v>
      </c>
      <c r="F60" s="478" t="e">
        <f>C60*D60*E60</f>
        <v>#VALUE!</v>
      </c>
      <c r="G60" s="448"/>
    </row>
    <row r="61" spans="1:7" x14ac:dyDescent="0.3">
      <c r="A61" s="18" t="s">
        <v>1174</v>
      </c>
      <c r="B61" s="18">
        <f>B7</f>
        <v>0</v>
      </c>
      <c r="C61" s="277">
        <f>B61*$B$12</f>
        <v>0</v>
      </c>
      <c r="D61" s="38" t="str">
        <f>$B$37</f>
        <v>ERRO</v>
      </c>
      <c r="E61" s="38">
        <v>13</v>
      </c>
      <c r="F61" s="478" t="e">
        <f t="shared" ref="F61:F64" si="0">C61*D61*E61</f>
        <v>#VALUE!</v>
      </c>
    </row>
    <row r="62" spans="1:7" x14ac:dyDescent="0.3">
      <c r="A62" s="18" t="s">
        <v>1175</v>
      </c>
      <c r="B62" s="18">
        <f>B8</f>
        <v>0</v>
      </c>
      <c r="C62" s="277">
        <f t="shared" ref="C62:C64" si="1">B62*$B$12</f>
        <v>0</v>
      </c>
      <c r="D62" s="38" t="str">
        <f t="shared" ref="D62:D64" si="2">$B$37</f>
        <v>ERRO</v>
      </c>
      <c r="E62" s="38">
        <v>13</v>
      </c>
      <c r="F62" s="478" t="e">
        <f t="shared" si="0"/>
        <v>#VALUE!</v>
      </c>
    </row>
    <row r="63" spans="1:7" x14ac:dyDescent="0.3">
      <c r="A63" s="18" t="s">
        <v>1176</v>
      </c>
      <c r="B63" s="18">
        <f>B9</f>
        <v>0</v>
      </c>
      <c r="C63" s="277">
        <f t="shared" si="1"/>
        <v>0</v>
      </c>
      <c r="D63" s="38" t="str">
        <f t="shared" si="2"/>
        <v>ERRO</v>
      </c>
      <c r="E63" s="38">
        <v>13</v>
      </c>
      <c r="F63" s="478" t="e">
        <f t="shared" si="0"/>
        <v>#VALUE!</v>
      </c>
    </row>
    <row r="64" spans="1:7" x14ac:dyDescent="0.3">
      <c r="A64" s="18" t="s">
        <v>1177</v>
      </c>
      <c r="B64" s="18">
        <f>B10</f>
        <v>0</v>
      </c>
      <c r="C64" s="277">
        <f t="shared" si="1"/>
        <v>0</v>
      </c>
      <c r="D64" s="38" t="str">
        <f t="shared" si="2"/>
        <v>ERRO</v>
      </c>
      <c r="E64" s="38">
        <v>13</v>
      </c>
      <c r="F64" s="478" t="e">
        <f t="shared" si="0"/>
        <v>#VALUE!</v>
      </c>
    </row>
    <row r="65" spans="1:6" x14ac:dyDescent="0.3">
      <c r="A65" s="574" t="s">
        <v>1186</v>
      </c>
      <c r="B65" s="574"/>
      <c r="C65" s="691" t="e">
        <f>ROUNDUP(SUM(F60:F64),0)</f>
        <v>#VALUE!</v>
      </c>
      <c r="D65" s="691"/>
      <c r="E65" s="691"/>
      <c r="F65" s="691"/>
    </row>
    <row r="66" spans="1:6" x14ac:dyDescent="0.3">
      <c r="A66" s="574" t="s">
        <v>1187</v>
      </c>
      <c r="B66" s="574"/>
      <c r="C66" s="684"/>
      <c r="D66" s="684"/>
      <c r="E66" s="684"/>
      <c r="F66" s="684"/>
    </row>
    <row r="68" spans="1:6" x14ac:dyDescent="0.3">
      <c r="A68" s="683" t="s">
        <v>1188</v>
      </c>
      <c r="B68" s="683"/>
      <c r="C68" s="683"/>
      <c r="D68" s="683"/>
      <c r="E68" s="683"/>
      <c r="F68" s="683"/>
    </row>
    <row r="69" spans="1:6" x14ac:dyDescent="0.3">
      <c r="A69" s="571"/>
      <c r="B69" s="572" t="s">
        <v>218</v>
      </c>
      <c r="C69" s="574" t="s">
        <v>4</v>
      </c>
      <c r="D69" s="574" t="s">
        <v>126</v>
      </c>
      <c r="E69" s="575" t="s">
        <v>216</v>
      </c>
      <c r="F69" s="575" t="s">
        <v>1189</v>
      </c>
    </row>
    <row r="70" spans="1:6" x14ac:dyDescent="0.3">
      <c r="A70" s="18" t="s">
        <v>1190</v>
      </c>
      <c r="B70" s="18">
        <f>B14</f>
        <v>0</v>
      </c>
      <c r="C70" s="277">
        <f>B70*$B$12</f>
        <v>0</v>
      </c>
      <c r="D70" s="38" t="str">
        <f>$B$37</f>
        <v>ERRO</v>
      </c>
      <c r="E70" s="38">
        <v>10</v>
      </c>
      <c r="F70" s="478" t="e">
        <f t="shared" ref="F70:F73" si="3">C70*D70*E70</f>
        <v>#VALUE!</v>
      </c>
    </row>
    <row r="71" spans="1:6" x14ac:dyDescent="0.3">
      <c r="A71" s="18" t="s">
        <v>1191</v>
      </c>
      <c r="B71" s="18">
        <f>B15</f>
        <v>0</v>
      </c>
      <c r="C71" s="277">
        <f t="shared" ref="C71:C73" si="4">B71*$B$12</f>
        <v>0</v>
      </c>
      <c r="D71" s="38" t="str">
        <f t="shared" ref="D71:D73" si="5">$B$37</f>
        <v>ERRO</v>
      </c>
      <c r="E71" s="38">
        <v>10</v>
      </c>
      <c r="F71" s="478" t="e">
        <f t="shared" si="3"/>
        <v>#VALUE!</v>
      </c>
    </row>
    <row r="72" spans="1:6" x14ac:dyDescent="0.3">
      <c r="A72" s="18" t="s">
        <v>1192</v>
      </c>
      <c r="B72" s="18">
        <f>B16</f>
        <v>0</v>
      </c>
      <c r="C72" s="277">
        <f t="shared" si="4"/>
        <v>0</v>
      </c>
      <c r="D72" s="38" t="str">
        <f t="shared" si="5"/>
        <v>ERRO</v>
      </c>
      <c r="E72" s="38">
        <v>3</v>
      </c>
      <c r="F72" s="478" t="e">
        <f t="shared" si="3"/>
        <v>#VALUE!</v>
      </c>
    </row>
    <row r="73" spans="1:6" x14ac:dyDescent="0.3">
      <c r="A73" s="18" t="s">
        <v>1192</v>
      </c>
      <c r="B73" s="18">
        <f>B17</f>
        <v>0</v>
      </c>
      <c r="C73" s="277">
        <f t="shared" si="4"/>
        <v>0</v>
      </c>
      <c r="D73" s="38" t="str">
        <f t="shared" si="5"/>
        <v>ERRO</v>
      </c>
      <c r="E73" s="38">
        <v>3</v>
      </c>
      <c r="F73" s="478" t="e">
        <f t="shared" si="3"/>
        <v>#VALUE!</v>
      </c>
    </row>
    <row r="74" spans="1:6" x14ac:dyDescent="0.3">
      <c r="A74" s="574" t="s">
        <v>6</v>
      </c>
      <c r="B74" s="574"/>
      <c r="C74" s="691" t="e">
        <f>ROUNDUP(SUM(F70:F73),0)</f>
        <v>#VALUE!</v>
      </c>
      <c r="D74" s="691"/>
      <c r="E74" s="691"/>
      <c r="F74" s="691"/>
    </row>
    <row r="75" spans="1:6" x14ac:dyDescent="0.3">
      <c r="A75" s="574" t="s">
        <v>1187</v>
      </c>
      <c r="B75" s="569"/>
      <c r="C75" s="685"/>
      <c r="D75" s="686"/>
      <c r="E75" s="686"/>
      <c r="F75" s="687"/>
    </row>
    <row r="77" spans="1:6" x14ac:dyDescent="0.3">
      <c r="A77" s="683" t="s">
        <v>1193</v>
      </c>
      <c r="B77" s="683"/>
      <c r="C77" s="683"/>
      <c r="D77" s="683"/>
      <c r="E77" s="683"/>
      <c r="F77" s="683"/>
    </row>
    <row r="78" spans="1:6" ht="28.8" x14ac:dyDescent="0.3">
      <c r="A78" s="571"/>
      <c r="B78" s="571"/>
      <c r="C78" s="572" t="s">
        <v>1194</v>
      </c>
      <c r="D78" s="572" t="s">
        <v>1195</v>
      </c>
      <c r="E78" s="573" t="s">
        <v>1196</v>
      </c>
      <c r="F78" s="573" t="s">
        <v>1197</v>
      </c>
    </row>
    <row r="79" spans="1:6" x14ac:dyDescent="0.3">
      <c r="A79" s="18" t="s">
        <v>1198</v>
      </c>
      <c r="B79" s="18"/>
      <c r="C79" s="277">
        <f>B4</f>
        <v>0</v>
      </c>
      <c r="D79" s="38">
        <v>2.7</v>
      </c>
      <c r="E79" s="38">
        <v>7.5</v>
      </c>
      <c r="F79" s="478">
        <f>C79*D79*E79</f>
        <v>0</v>
      </c>
    </row>
    <row r="80" spans="1:6" x14ac:dyDescent="0.3">
      <c r="A80" s="574" t="s">
        <v>1199</v>
      </c>
      <c r="B80" s="574"/>
      <c r="C80" s="691">
        <f>ROUNDUP(F79,0)</f>
        <v>0</v>
      </c>
      <c r="D80" s="691"/>
      <c r="E80" s="691"/>
      <c r="F80" s="691"/>
    </row>
    <row r="81" spans="1:7" x14ac:dyDescent="0.3">
      <c r="A81" s="574" t="s">
        <v>1187</v>
      </c>
      <c r="B81" s="574"/>
      <c r="C81" s="684"/>
      <c r="D81" s="684"/>
      <c r="E81" s="684"/>
      <c r="F81" s="684"/>
    </row>
    <row r="83" spans="1:7" x14ac:dyDescent="0.3">
      <c r="A83" s="683" t="s">
        <v>1200</v>
      </c>
      <c r="B83" s="683"/>
      <c r="C83" s="683"/>
      <c r="D83" s="683"/>
      <c r="E83" s="683"/>
      <c r="F83" s="683"/>
    </row>
    <row r="84" spans="1:7" ht="28.8" x14ac:dyDescent="0.3">
      <c r="A84" s="574"/>
      <c r="B84" s="574"/>
      <c r="C84" s="572" t="s">
        <v>1181</v>
      </c>
      <c r="D84" s="574" t="s">
        <v>1201</v>
      </c>
      <c r="E84" s="574" t="s">
        <v>1202</v>
      </c>
      <c r="F84" s="572" t="s">
        <v>1197</v>
      </c>
    </row>
    <row r="85" spans="1:7" x14ac:dyDescent="0.3">
      <c r="A85" s="13" t="s">
        <v>1203</v>
      </c>
      <c r="B85" s="38"/>
      <c r="C85" s="13">
        <f>B4</f>
        <v>0</v>
      </c>
      <c r="D85" s="13">
        <v>7</v>
      </c>
      <c r="E85" s="13">
        <v>1</v>
      </c>
      <c r="F85" s="13">
        <f>C85*D85*E85</f>
        <v>0</v>
      </c>
    </row>
    <row r="86" spans="1:7" x14ac:dyDescent="0.3">
      <c r="A86" s="576" t="s">
        <v>6</v>
      </c>
      <c r="B86" s="574"/>
      <c r="C86" s="684">
        <f>ROUNDUP(F85,0)</f>
        <v>0</v>
      </c>
      <c r="D86" s="684"/>
      <c r="E86" s="684"/>
      <c r="F86" s="684"/>
    </row>
    <row r="88" spans="1:7" x14ac:dyDescent="0.3">
      <c r="A88" s="683" t="s">
        <v>1204</v>
      </c>
      <c r="B88" s="683"/>
      <c r="C88" s="683"/>
      <c r="D88" s="683"/>
      <c r="E88" s="683"/>
      <c r="F88" s="683"/>
    </row>
    <row r="89" spans="1:7" ht="28.8" x14ac:dyDescent="0.3">
      <c r="A89" s="577"/>
      <c r="B89" s="571"/>
      <c r="C89" s="574" t="s">
        <v>1205</v>
      </c>
      <c r="D89" s="572" t="s">
        <v>1206</v>
      </c>
      <c r="E89" s="574" t="s">
        <v>1202</v>
      </c>
      <c r="F89" s="572" t="s">
        <v>1207</v>
      </c>
    </row>
    <row r="90" spans="1:7" x14ac:dyDescent="0.3">
      <c r="A90" s="17" t="s">
        <v>1208</v>
      </c>
      <c r="B90" s="18"/>
      <c r="C90" s="13">
        <v>1</v>
      </c>
      <c r="D90" s="578">
        <f>B19</f>
        <v>0</v>
      </c>
      <c r="E90" s="13">
        <v>100</v>
      </c>
      <c r="F90" s="13">
        <f>C90*D90*E90/100</f>
        <v>0</v>
      </c>
    </row>
    <row r="91" spans="1:7" x14ac:dyDescent="0.3">
      <c r="A91" s="576" t="s">
        <v>6</v>
      </c>
      <c r="B91" s="574"/>
      <c r="C91" s="684">
        <f>ROUNDUP(F90,0)</f>
        <v>0</v>
      </c>
      <c r="D91" s="684"/>
      <c r="E91" s="684"/>
      <c r="F91" s="684"/>
    </row>
    <row r="93" spans="1:7" x14ac:dyDescent="0.3">
      <c r="A93" s="683" t="s">
        <v>1209</v>
      </c>
      <c r="B93" s="683"/>
      <c r="C93" s="683"/>
      <c r="D93" s="683"/>
      <c r="E93" s="683"/>
      <c r="F93" s="683"/>
      <c r="G93" s="683"/>
    </row>
    <row r="94" spans="1:7" x14ac:dyDescent="0.3">
      <c r="A94" s="13"/>
      <c r="B94" s="38"/>
      <c r="C94" s="574" t="s">
        <v>1210</v>
      </c>
      <c r="D94" s="574" t="s">
        <v>1211</v>
      </c>
      <c r="E94" s="574" t="s">
        <v>1212</v>
      </c>
      <c r="F94" s="574" t="s">
        <v>1202</v>
      </c>
      <c r="G94" s="574" t="s">
        <v>1189</v>
      </c>
    </row>
    <row r="95" spans="1:7" x14ac:dyDescent="0.3">
      <c r="A95" s="17" t="s">
        <v>1213</v>
      </c>
      <c r="B95" s="18"/>
      <c r="C95" s="13">
        <v>86.5</v>
      </c>
      <c r="D95" s="13">
        <v>133.30000000000001</v>
      </c>
      <c r="E95" s="13">
        <f>B21</f>
        <v>0</v>
      </c>
      <c r="F95" s="13">
        <v>100</v>
      </c>
      <c r="G95" s="13">
        <f>(C95*E95*F95/100)+(D95*E95*F95/100)</f>
        <v>0</v>
      </c>
    </row>
    <row r="96" spans="1:7" x14ac:dyDescent="0.3">
      <c r="A96" s="17" t="s">
        <v>6</v>
      </c>
      <c r="B96" s="567"/>
      <c r="C96" s="685">
        <f>ROUNDUP(G95,0)</f>
        <v>0</v>
      </c>
      <c r="D96" s="686"/>
      <c r="E96" s="686"/>
      <c r="F96" s="686"/>
      <c r="G96" s="687"/>
    </row>
    <row r="98" spans="1:10" x14ac:dyDescent="0.3">
      <c r="A98" s="683" t="s">
        <v>1214</v>
      </c>
      <c r="B98" s="683"/>
      <c r="C98" s="683"/>
      <c r="D98" s="683"/>
      <c r="E98" s="683"/>
      <c r="F98" s="683"/>
      <c r="G98" s="683"/>
      <c r="H98" s="683"/>
      <c r="I98" s="683"/>
      <c r="J98" s="683"/>
    </row>
    <row r="99" spans="1:10" x14ac:dyDescent="0.3">
      <c r="A99" s="13"/>
      <c r="B99" s="38"/>
      <c r="C99" s="575" t="s">
        <v>304</v>
      </c>
      <c r="D99" s="575" t="s">
        <v>1215</v>
      </c>
      <c r="E99" s="575" t="s">
        <v>216</v>
      </c>
      <c r="F99" s="574" t="s">
        <v>1189</v>
      </c>
      <c r="G99" s="574" t="s">
        <v>109</v>
      </c>
      <c r="H99" s="574" t="s">
        <v>108</v>
      </c>
      <c r="I99" s="574" t="s">
        <v>297</v>
      </c>
      <c r="J99" s="574" t="s">
        <v>467</v>
      </c>
    </row>
    <row r="100" spans="1:10" x14ac:dyDescent="0.3">
      <c r="A100" s="17" t="s">
        <v>1216</v>
      </c>
      <c r="B100" s="18"/>
      <c r="C100" s="13">
        <f>J100</f>
        <v>0</v>
      </c>
      <c r="D100" s="13">
        <v>0.24</v>
      </c>
      <c r="E100" s="13">
        <v>10</v>
      </c>
      <c r="F100" s="13">
        <f>C100*D100*E100/1000*1.16</f>
        <v>0</v>
      </c>
      <c r="G100" s="13">
        <f>B23</f>
        <v>0</v>
      </c>
      <c r="H100" s="13">
        <f>G100*3.6</f>
        <v>0</v>
      </c>
      <c r="I100" s="13">
        <f>H100*1.17</f>
        <v>0</v>
      </c>
      <c r="J100" s="13">
        <f>I100*1000</f>
        <v>0</v>
      </c>
    </row>
    <row r="101" spans="1:10" x14ac:dyDescent="0.3">
      <c r="A101" s="576" t="s">
        <v>6</v>
      </c>
      <c r="B101" s="581"/>
      <c r="C101" s="689">
        <f>ROUNDUP(F100,0)</f>
        <v>0</v>
      </c>
      <c r="D101" s="690"/>
      <c r="E101" s="690"/>
      <c r="F101" s="690"/>
      <c r="G101" s="690"/>
      <c r="H101" s="690"/>
      <c r="I101" s="690"/>
      <c r="J101" s="690"/>
    </row>
    <row r="103" spans="1:10" x14ac:dyDescent="0.3">
      <c r="A103" s="683" t="s">
        <v>1217</v>
      </c>
      <c r="B103" s="683"/>
      <c r="C103" s="683"/>
      <c r="D103" s="683"/>
      <c r="E103" s="683"/>
      <c r="F103" s="683"/>
    </row>
    <row r="104" spans="1:10" ht="28.8" x14ac:dyDescent="0.3">
      <c r="A104" s="13"/>
      <c r="B104" s="38"/>
      <c r="C104" s="573" t="s">
        <v>1218</v>
      </c>
      <c r="D104" s="575" t="s">
        <v>461</v>
      </c>
      <c r="E104" s="573" t="s">
        <v>1219</v>
      </c>
      <c r="F104" s="572" t="s">
        <v>1197</v>
      </c>
    </row>
    <row r="105" spans="1:10" x14ac:dyDescent="0.3">
      <c r="A105" s="17" t="s">
        <v>1220</v>
      </c>
      <c r="B105" s="18"/>
      <c r="C105" s="13">
        <f>G100</f>
        <v>0</v>
      </c>
      <c r="D105" s="13">
        <v>3.01</v>
      </c>
      <c r="E105" s="13">
        <v>8.4700000000000006</v>
      </c>
      <c r="F105" s="579">
        <f>C105*D105*E105</f>
        <v>0</v>
      </c>
    </row>
    <row r="106" spans="1:10" x14ac:dyDescent="0.3">
      <c r="A106" s="576" t="s">
        <v>6</v>
      </c>
      <c r="B106" s="574"/>
      <c r="C106" s="684">
        <f>ROUNDUP(F105,0)</f>
        <v>0</v>
      </c>
      <c r="D106" s="684"/>
      <c r="E106" s="684"/>
      <c r="F106" s="684"/>
    </row>
    <row r="108" spans="1:10" x14ac:dyDescent="0.3">
      <c r="A108" s="13"/>
      <c r="B108" s="38"/>
      <c r="C108" s="574" t="s">
        <v>1210</v>
      </c>
      <c r="D108" s="574" t="s">
        <v>1211</v>
      </c>
      <c r="E108" s="574" t="s">
        <v>1212</v>
      </c>
      <c r="F108" s="574" t="s">
        <v>1202</v>
      </c>
      <c r="G108" s="574" t="s">
        <v>1189</v>
      </c>
    </row>
    <row r="109" spans="1:10" x14ac:dyDescent="0.3">
      <c r="A109" s="17" t="s">
        <v>1213</v>
      </c>
      <c r="B109" s="18"/>
      <c r="C109" s="13">
        <v>86.5</v>
      </c>
      <c r="D109" s="13">
        <v>133.30000000000001</v>
      </c>
      <c r="E109" s="13">
        <v>3</v>
      </c>
      <c r="F109" s="13">
        <v>100</v>
      </c>
      <c r="G109" s="13">
        <f>(C109*E109*F109/100)+(D109*E109*F109/100)</f>
        <v>659.4</v>
      </c>
    </row>
    <row r="110" spans="1:10" x14ac:dyDescent="0.3">
      <c r="A110" s="17" t="s">
        <v>6</v>
      </c>
      <c r="B110" s="567"/>
      <c r="C110" s="685">
        <f>G109</f>
        <v>659.4</v>
      </c>
      <c r="D110" s="686"/>
      <c r="E110" s="686"/>
      <c r="F110" s="686"/>
      <c r="G110" s="687"/>
    </row>
    <row r="113" spans="1:8" x14ac:dyDescent="0.3">
      <c r="A113" s="688" t="s">
        <v>1221</v>
      </c>
      <c r="B113" s="688"/>
      <c r="C113" s="688"/>
      <c r="D113" s="688"/>
      <c r="E113" s="688"/>
      <c r="F113" s="688"/>
    </row>
    <row r="114" spans="1:8" x14ac:dyDescent="0.3">
      <c r="A114" s="574" t="s">
        <v>1222</v>
      </c>
      <c r="B114" s="574"/>
      <c r="C114" s="680" t="e">
        <f>C65</f>
        <v>#VALUE!</v>
      </c>
      <c r="D114" s="680"/>
      <c r="E114" s="680"/>
      <c r="F114" s="680"/>
    </row>
    <row r="115" spans="1:8" x14ac:dyDescent="0.3">
      <c r="A115" s="574" t="s">
        <v>1223</v>
      </c>
      <c r="B115" s="574"/>
      <c r="C115" s="680" t="e">
        <f>C74</f>
        <v>#VALUE!</v>
      </c>
      <c r="D115" s="680"/>
      <c r="E115" s="680"/>
      <c r="F115" s="680"/>
    </row>
    <row r="116" spans="1:8" x14ac:dyDescent="0.3">
      <c r="A116" s="574" t="s">
        <v>1199</v>
      </c>
      <c r="B116" s="574"/>
      <c r="C116" s="680">
        <f>C80</f>
        <v>0</v>
      </c>
      <c r="D116" s="680"/>
      <c r="E116" s="680"/>
      <c r="F116" s="680"/>
    </row>
    <row r="117" spans="1:8" x14ac:dyDescent="0.3">
      <c r="A117" s="576" t="s">
        <v>1224</v>
      </c>
      <c r="B117" s="574"/>
      <c r="C117" s="681">
        <f>C86</f>
        <v>0</v>
      </c>
      <c r="D117" s="681"/>
      <c r="E117" s="681"/>
      <c r="F117" s="681"/>
    </row>
    <row r="118" spans="1:8" x14ac:dyDescent="0.3">
      <c r="A118" s="576" t="s">
        <v>1225</v>
      </c>
      <c r="B118" s="574"/>
      <c r="C118" s="681">
        <f>C91</f>
        <v>0</v>
      </c>
      <c r="D118" s="681"/>
      <c r="E118" s="681"/>
      <c r="F118" s="681"/>
    </row>
    <row r="119" spans="1:8" x14ac:dyDescent="0.3">
      <c r="A119" s="576" t="s">
        <v>1226</v>
      </c>
      <c r="B119" s="574"/>
      <c r="C119" s="681">
        <f>C96</f>
        <v>0</v>
      </c>
      <c r="D119" s="681"/>
      <c r="E119" s="681"/>
      <c r="F119" s="681"/>
    </row>
    <row r="120" spans="1:8" x14ac:dyDescent="0.3">
      <c r="A120" s="576" t="s">
        <v>1227</v>
      </c>
      <c r="B120" s="574"/>
      <c r="C120" s="681">
        <f>SUM(C101,C106)</f>
        <v>0</v>
      </c>
      <c r="D120" s="681"/>
      <c r="E120" s="681"/>
      <c r="F120" s="681"/>
    </row>
    <row r="121" spans="1:8" x14ac:dyDescent="0.3">
      <c r="A121" s="19" t="s">
        <v>548</v>
      </c>
      <c r="B121" s="16"/>
      <c r="C121" s="682" t="e">
        <f>SUM(C114:F120)</f>
        <v>#VALUE!</v>
      </c>
      <c r="D121" s="682"/>
      <c r="E121" s="682"/>
      <c r="F121" s="682"/>
      <c r="H121" s="580"/>
    </row>
    <row r="122" spans="1:8" x14ac:dyDescent="0.3">
      <c r="A122" s="582" t="s">
        <v>1228</v>
      </c>
      <c r="B122" s="20"/>
      <c r="C122" s="676" t="e">
        <f>ROUNDUP(C121/3517,2)</f>
        <v>#VALUE!</v>
      </c>
      <c r="D122" s="677"/>
      <c r="E122" s="677"/>
      <c r="F122" s="678"/>
      <c r="H122" s="580"/>
    </row>
    <row r="123" spans="1:8" x14ac:dyDescent="0.3">
      <c r="A123" s="19" t="s">
        <v>1228</v>
      </c>
      <c r="B123" s="16"/>
      <c r="C123" s="675" t="e">
        <f>ROUNDUP(C121/3517,0)</f>
        <v>#VALUE!</v>
      </c>
      <c r="D123" s="675"/>
      <c r="E123" s="675"/>
      <c r="F123" s="675"/>
    </row>
    <row r="124" spans="1:8" x14ac:dyDescent="0.3">
      <c r="A124" s="29"/>
      <c r="B124" s="99"/>
      <c r="C124" s="29"/>
      <c r="D124" s="29"/>
      <c r="E124" s="29"/>
      <c r="F124" s="29"/>
    </row>
    <row r="125" spans="1:8" x14ac:dyDescent="0.3">
      <c r="C125" t="s">
        <v>1229</v>
      </c>
    </row>
    <row r="126" spans="1:8" x14ac:dyDescent="0.3">
      <c r="C126" t="s">
        <v>1230</v>
      </c>
    </row>
    <row r="127" spans="1:8" x14ac:dyDescent="0.3">
      <c r="C127">
        <f>456/1000*60*60*1.14</f>
        <v>1871.4239999999998</v>
      </c>
      <c r="D127" t="s">
        <v>217</v>
      </c>
    </row>
    <row r="128" spans="1:8" x14ac:dyDescent="0.3">
      <c r="A128" t="s">
        <v>1231</v>
      </c>
    </row>
    <row r="129" spans="1:12" x14ac:dyDescent="0.3">
      <c r="A129" t="s">
        <v>1232</v>
      </c>
      <c r="C129" t="s">
        <v>1233</v>
      </c>
      <c r="F129" t="s">
        <v>1234</v>
      </c>
      <c r="H129" t="s">
        <v>1235</v>
      </c>
      <c r="I129" t="s">
        <v>1236</v>
      </c>
      <c r="K129">
        <f>(1000/453.59)*4.5</f>
        <v>9.9208536343393803</v>
      </c>
    </row>
    <row r="130" spans="1:12" x14ac:dyDescent="0.3">
      <c r="A130" t="s">
        <v>1237</v>
      </c>
      <c r="C130" t="s">
        <v>1238</v>
      </c>
      <c r="F130" t="s">
        <v>1239</v>
      </c>
      <c r="H130" t="s">
        <v>1235</v>
      </c>
      <c r="I130" t="s">
        <v>1240</v>
      </c>
      <c r="K130">
        <f>(1000/453.59)*8.34</f>
        <v>18.386648735642318</v>
      </c>
    </row>
    <row r="131" spans="1:12" x14ac:dyDescent="0.3">
      <c r="K131">
        <f>K130-K129</f>
        <v>8.4657951013029376</v>
      </c>
      <c r="L131" t="s">
        <v>1241</v>
      </c>
    </row>
    <row r="132" spans="1:12" x14ac:dyDescent="0.3">
      <c r="A132" t="s">
        <v>1242</v>
      </c>
    </row>
    <row r="133" spans="1:12" x14ac:dyDescent="0.3">
      <c r="A133" t="s">
        <v>1243</v>
      </c>
    </row>
    <row r="134" spans="1:12" x14ac:dyDescent="0.3">
      <c r="A134" t="s">
        <v>1244</v>
      </c>
      <c r="C134">
        <f>456*3.01*8.47</f>
        <v>11625.583200000001</v>
      </c>
    </row>
  </sheetData>
  <mergeCells count="32">
    <mergeCell ref="C86:F86"/>
    <mergeCell ref="A58:F58"/>
    <mergeCell ref="C65:F65"/>
    <mergeCell ref="C66:F66"/>
    <mergeCell ref="A68:F68"/>
    <mergeCell ref="C74:F74"/>
    <mergeCell ref="C75:F75"/>
    <mergeCell ref="A77:F77"/>
    <mergeCell ref="C80:F80"/>
    <mergeCell ref="C81:F81"/>
    <mergeCell ref="A83:F83"/>
    <mergeCell ref="C91:F91"/>
    <mergeCell ref="A93:G93"/>
    <mergeCell ref="C96:G96"/>
    <mergeCell ref="A98:J98"/>
    <mergeCell ref="C101:J101"/>
    <mergeCell ref="C123:F123"/>
    <mergeCell ref="C122:F122"/>
    <mergeCell ref="A1:B1"/>
    <mergeCell ref="C116:F116"/>
    <mergeCell ref="C117:F117"/>
    <mergeCell ref="C118:F118"/>
    <mergeCell ref="C119:F119"/>
    <mergeCell ref="C120:F120"/>
    <mergeCell ref="C121:F121"/>
    <mergeCell ref="A103:F103"/>
    <mergeCell ref="C106:F106"/>
    <mergeCell ref="C110:G110"/>
    <mergeCell ref="A113:F113"/>
    <mergeCell ref="C114:F114"/>
    <mergeCell ref="C115:F115"/>
    <mergeCell ref="A88:F88"/>
  </mergeCells>
  <phoneticPr fontId="36" type="noConversion"/>
  <dataValidations count="2">
    <dataValidation type="list" allowBlank="1" showInputMessage="1" showErrorMessage="1" sqref="B5" xr:uid="{98A3A95E-E33A-4791-B761-C534DF0716A5}">
      <formula1>"Alvenaria, Eletrocentro,"</formula1>
    </dataValidation>
    <dataValidation type="list" allowBlank="1" showInputMessage="1" showErrorMessage="1" sqref="B30" xr:uid="{DC4CFA63-753F-4851-B5CE-686B3ADBB1FD}">
      <formula1>"Manual/Detecção,FM200,NOVEC,FirePRO,N/I,"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27340" r:id="rId4" name="Button 12">
              <controlPr defaultSize="0" print="0" autoFill="0" autoPict="0" macro="[0]!CargaEstimada">
                <anchor moveWithCells="1" sizeWithCells="1">
                  <from>
                    <xdr:col>2</xdr:col>
                    <xdr:colOff>167640</xdr:colOff>
                    <xdr:row>0</xdr:row>
                    <xdr:rowOff>45720</xdr:rowOff>
                  </from>
                  <to>
                    <xdr:col>2</xdr:col>
                    <xdr:colOff>1135380</xdr:colOff>
                    <xdr:row>29</xdr:row>
                    <xdr:rowOff>129540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E251F-19A5-4916-8D9A-101733C3530F}">
  <sheetPr codeName="Planilha6"/>
  <dimension ref="A1:AC73"/>
  <sheetViews>
    <sheetView zoomScaleNormal="100" zoomScaleSheetLayoutView="100" workbookViewId="0">
      <selection activeCell="O3" sqref="O3"/>
    </sheetView>
  </sheetViews>
  <sheetFormatPr defaultRowHeight="14.4" x14ac:dyDescent="0.3"/>
  <cols>
    <col min="1" max="1" width="10.109375" customWidth="1"/>
    <col min="3" max="5" width="11.6640625" customWidth="1"/>
    <col min="6" max="6" width="13.5546875" customWidth="1"/>
    <col min="7" max="10" width="11.6640625" customWidth="1"/>
    <col min="11" max="11" width="19.33203125" customWidth="1"/>
    <col min="12" max="12" width="11.6640625" customWidth="1"/>
    <col min="13" max="13" width="0.88671875" style="29" customWidth="1"/>
    <col min="14" max="15" width="14.44140625" customWidth="1"/>
    <col min="17" max="17" width="8.88671875" customWidth="1"/>
    <col min="18" max="18" width="12.33203125" style="49" bestFit="1" customWidth="1"/>
    <col min="20" max="20" width="10.6640625" customWidth="1"/>
  </cols>
  <sheetData>
    <row r="1" spans="1:29" ht="20.399999999999999" thickBot="1" x14ac:dyDescent="0.45">
      <c r="A1" s="698" t="s">
        <v>1144</v>
      </c>
      <c r="B1" s="699"/>
      <c r="C1" s="699"/>
      <c r="D1" s="699"/>
      <c r="E1" s="699"/>
      <c r="F1" s="699"/>
      <c r="G1" s="699"/>
      <c r="H1" s="699"/>
      <c r="I1" s="699"/>
      <c r="J1" s="699"/>
      <c r="K1" s="699"/>
      <c r="L1" s="700"/>
      <c r="N1" s="698" t="s">
        <v>1268</v>
      </c>
      <c r="O1" s="699"/>
      <c r="P1" s="699"/>
      <c r="Q1" s="699"/>
      <c r="R1" s="699"/>
      <c r="S1" s="699"/>
      <c r="T1" s="699"/>
      <c r="U1" s="699"/>
      <c r="V1" s="699"/>
      <c r="W1" s="699"/>
      <c r="X1" s="699"/>
      <c r="Y1" s="699"/>
      <c r="Z1" s="700"/>
      <c r="AA1" s="586"/>
      <c r="AB1" s="587"/>
      <c r="AC1" s="587"/>
    </row>
    <row r="2" spans="1:29" ht="15" customHeight="1" x14ac:dyDescent="0.3">
      <c r="A2" s="706"/>
      <c r="B2" s="707"/>
      <c r="C2" s="543" t="s">
        <v>878</v>
      </c>
      <c r="D2" s="692"/>
      <c r="E2" s="693"/>
      <c r="F2" s="693"/>
      <c r="G2" s="693"/>
      <c r="H2" s="705" t="s">
        <v>1145</v>
      </c>
      <c r="I2" s="703"/>
      <c r="J2" s="703"/>
      <c r="K2" s="703"/>
      <c r="L2" s="704"/>
    </row>
    <row r="3" spans="1:29" ht="15" customHeight="1" x14ac:dyDescent="0.3">
      <c r="A3" s="708"/>
      <c r="B3" s="709"/>
      <c r="C3" s="543" t="s">
        <v>879</v>
      </c>
      <c r="D3" s="692"/>
      <c r="E3" s="693"/>
      <c r="F3" s="693"/>
      <c r="G3" s="693"/>
      <c r="H3" s="705"/>
      <c r="I3" s="703"/>
      <c r="J3" s="703"/>
      <c r="K3" s="703"/>
      <c r="L3" s="704"/>
    </row>
    <row r="4" spans="1:29" ht="15" customHeight="1" x14ac:dyDescent="0.3">
      <c r="A4" s="708"/>
      <c r="B4" s="709"/>
      <c r="C4" s="543" t="s">
        <v>1146</v>
      </c>
      <c r="D4" s="692"/>
      <c r="E4" s="693"/>
      <c r="F4" s="693"/>
      <c r="G4" s="693"/>
      <c r="H4" s="705"/>
      <c r="I4" s="703"/>
      <c r="J4" s="703"/>
      <c r="K4" s="703"/>
      <c r="L4" s="704"/>
    </row>
    <row r="5" spans="1:29" ht="15" customHeight="1" x14ac:dyDescent="0.3">
      <c r="A5" s="708"/>
      <c r="B5" s="709"/>
      <c r="C5" s="543" t="s">
        <v>45</v>
      </c>
      <c r="D5" s="701">
        <f ca="1">TODAY()</f>
        <v>45953</v>
      </c>
      <c r="E5" s="702"/>
      <c r="F5" s="702"/>
      <c r="G5" s="702"/>
      <c r="H5" s="705"/>
      <c r="I5" s="703"/>
      <c r="J5" s="703"/>
      <c r="K5" s="703"/>
      <c r="L5" s="704"/>
    </row>
    <row r="6" spans="1:29" ht="7.5" customHeight="1" x14ac:dyDescent="0.3">
      <c r="A6" s="544"/>
      <c r="B6" s="545"/>
      <c r="C6" s="546"/>
      <c r="D6" s="546"/>
      <c r="E6" s="547"/>
      <c r="F6" s="547"/>
      <c r="G6" s="547"/>
      <c r="H6" s="547"/>
      <c r="I6" s="547"/>
      <c r="J6" s="547"/>
      <c r="K6" s="548"/>
      <c r="L6" s="549"/>
    </row>
    <row r="7" spans="1:29" ht="15" customHeight="1" x14ac:dyDescent="0.3">
      <c r="A7" s="550" t="s">
        <v>1147</v>
      </c>
      <c r="B7" s="692" t="s">
        <v>2</v>
      </c>
      <c r="C7" s="693"/>
      <c r="D7" s="693"/>
      <c r="E7" s="693"/>
      <c r="F7" s="693"/>
      <c r="G7" s="693"/>
      <c r="H7" s="694"/>
      <c r="I7" s="568"/>
      <c r="J7" s="551" t="s">
        <v>1148</v>
      </c>
      <c r="K7" s="551" t="s">
        <v>1149</v>
      </c>
      <c r="L7" s="552" t="s">
        <v>1150</v>
      </c>
    </row>
    <row r="8" spans="1:29" ht="15" customHeight="1" x14ac:dyDescent="0.3">
      <c r="A8" s="550" t="s">
        <v>136</v>
      </c>
      <c r="B8" s="695" t="s">
        <v>1151</v>
      </c>
      <c r="C8" s="696"/>
      <c r="D8" s="696"/>
      <c r="E8" s="696"/>
      <c r="F8" s="696"/>
      <c r="G8" s="696"/>
      <c r="H8" s="697"/>
      <c r="I8" s="566"/>
      <c r="J8" s="553" t="s">
        <v>1152</v>
      </c>
      <c r="K8" s="551" t="s">
        <v>7</v>
      </c>
      <c r="L8" s="554">
        <f ca="1">TODAY()</f>
        <v>45953</v>
      </c>
    </row>
    <row r="9" spans="1:29" ht="15" customHeight="1" x14ac:dyDescent="0.3">
      <c r="A9" s="610" t="s">
        <v>138</v>
      </c>
      <c r="B9" s="737"/>
      <c r="C9" s="738"/>
      <c r="D9" s="738"/>
      <c r="E9" s="738"/>
      <c r="F9" s="738"/>
      <c r="G9" s="738"/>
      <c r="H9" s="739"/>
      <c r="I9" s="570"/>
      <c r="J9" s="611"/>
      <c r="K9" s="612"/>
      <c r="L9" s="613"/>
    </row>
    <row r="10" spans="1:29" ht="15" customHeight="1" x14ac:dyDescent="0.3">
      <c r="A10" s="741" t="s">
        <v>1168</v>
      </c>
      <c r="B10" s="741"/>
      <c r="C10" s="616" t="s">
        <v>7</v>
      </c>
      <c r="D10" s="740" t="s">
        <v>1276</v>
      </c>
      <c r="E10" s="740"/>
      <c r="F10" s="740"/>
      <c r="G10" s="616" t="s">
        <v>1275</v>
      </c>
      <c r="H10" s="616" t="s">
        <v>857</v>
      </c>
      <c r="I10" s="616" t="s">
        <v>768</v>
      </c>
      <c r="J10" s="618" t="s">
        <v>39</v>
      </c>
      <c r="K10" s="618" t="s">
        <v>40</v>
      </c>
      <c r="L10" s="618" t="s">
        <v>119</v>
      </c>
    </row>
    <row r="11" spans="1:29" ht="15" customHeight="1" x14ac:dyDescent="0.3">
      <c r="A11" s="741"/>
      <c r="B11" s="741"/>
      <c r="C11" s="617" t="s">
        <v>1277</v>
      </c>
      <c r="D11" s="749" t="s">
        <v>730</v>
      </c>
      <c r="E11" s="749"/>
      <c r="F11" s="749"/>
      <c r="G11" s="621">
        <f>'AUX4 - Dados Ambientais (2)'!E12</f>
        <v>34</v>
      </c>
      <c r="H11" s="621">
        <f>'AUX4 - Dados Ambientais (2)'!H12</f>
        <v>26.1</v>
      </c>
      <c r="I11" s="621">
        <f>'AUX4 - Dados Ambientais (2)'!I12</f>
        <v>8.5</v>
      </c>
      <c r="J11" s="620">
        <f>'AUX4 - Dados Ambientais (2)'!J12</f>
        <v>0.03</v>
      </c>
      <c r="K11" s="620">
        <f>'AUX4 - Dados Ambientais (2)'!K12</f>
        <v>-51.5</v>
      </c>
      <c r="L11" s="619">
        <f>'AUX4 - Dados Ambientais (2)'!L12</f>
        <v>15</v>
      </c>
    </row>
    <row r="12" spans="1:29" x14ac:dyDescent="0.3">
      <c r="A12" s="742"/>
      <c r="B12" s="742"/>
      <c r="C12" s="617" t="s">
        <v>1267</v>
      </c>
      <c r="D12" s="743"/>
      <c r="E12" s="744"/>
      <c r="F12" s="745"/>
      <c r="G12" s="621"/>
      <c r="H12" s="621"/>
      <c r="I12" s="621"/>
      <c r="J12" s="620"/>
      <c r="K12" s="620"/>
      <c r="L12" s="619"/>
    </row>
    <row r="13" spans="1:29" ht="15" customHeight="1" x14ac:dyDescent="0.3">
      <c r="A13" s="747"/>
      <c r="B13" s="748"/>
      <c r="C13" s="614"/>
      <c r="D13" s="614"/>
      <c r="E13" s="614"/>
      <c r="F13" s="614"/>
      <c r="G13" s="614"/>
      <c r="H13" s="614"/>
      <c r="I13" s="614"/>
      <c r="J13" s="614"/>
      <c r="K13" s="614"/>
      <c r="L13" s="615"/>
    </row>
    <row r="14" spans="1:29" ht="15" customHeight="1" x14ac:dyDescent="0.3">
      <c r="A14" s="693"/>
      <c r="B14" s="694"/>
      <c r="C14" s="564"/>
      <c r="D14" s="564"/>
      <c r="E14" s="564"/>
      <c r="F14" s="564"/>
      <c r="G14" s="564"/>
      <c r="H14" s="564"/>
      <c r="I14" s="564"/>
      <c r="J14" s="564"/>
      <c r="K14" s="564"/>
      <c r="L14" s="565"/>
    </row>
    <row r="15" spans="1:29" ht="15" customHeight="1" x14ac:dyDescent="0.3">
      <c r="A15" s="583"/>
      <c r="B15" s="562"/>
      <c r="C15" s="564"/>
      <c r="D15" s="564"/>
      <c r="E15" s="564"/>
      <c r="F15" s="564"/>
      <c r="G15" s="564"/>
      <c r="H15" s="564"/>
      <c r="I15" s="564"/>
      <c r="J15" s="564"/>
      <c r="K15" s="564"/>
      <c r="L15" s="565"/>
    </row>
    <row r="16" spans="1:29" ht="15" customHeight="1" x14ac:dyDescent="0.3">
      <c r="A16" s="746" t="s">
        <v>1153</v>
      </c>
      <c r="B16" s="746"/>
      <c r="C16" s="176" t="s">
        <v>882</v>
      </c>
      <c r="D16" s="176" t="s">
        <v>4</v>
      </c>
      <c r="E16" s="176" t="s">
        <v>92</v>
      </c>
      <c r="F16" s="176" t="s">
        <v>1154</v>
      </c>
      <c r="G16" s="176" t="s">
        <v>1073</v>
      </c>
      <c r="H16" s="176" t="s">
        <v>1273</v>
      </c>
      <c r="I16" s="176" t="s">
        <v>1274</v>
      </c>
      <c r="J16" s="176" t="s">
        <v>1155</v>
      </c>
      <c r="K16" s="176" t="s">
        <v>1156</v>
      </c>
      <c r="L16" s="190" t="s">
        <v>1157</v>
      </c>
      <c r="N16" s="291" t="s">
        <v>1271</v>
      </c>
      <c r="O16" s="291" t="s">
        <v>1278</v>
      </c>
      <c r="P16" s="291" t="s">
        <v>1269</v>
      </c>
      <c r="Q16" s="291" t="s">
        <v>1270</v>
      </c>
      <c r="R16" s="291" t="s">
        <v>1272</v>
      </c>
      <c r="S16" s="291" t="s">
        <v>548</v>
      </c>
      <c r="T16" s="291" t="s">
        <v>1353</v>
      </c>
    </row>
    <row r="17" spans="1:22" ht="19.95" customHeight="1" x14ac:dyDescent="0.3">
      <c r="A17" s="715">
        <f>'AUX-CARGA ESTIMADA'!A2</f>
        <v>0</v>
      </c>
      <c r="B17" s="715"/>
      <c r="C17" s="555" t="s">
        <v>1158</v>
      </c>
      <c r="D17" s="594">
        <f>'AUX-CARGA ESTIMADA'!B2</f>
        <v>0</v>
      </c>
      <c r="E17" s="595">
        <f>'AUX-CARGA ESTIMADA'!C2</f>
        <v>0</v>
      </c>
      <c r="F17" s="596">
        <f>'AUX-CARGA ESTIMADA'!D2</f>
        <v>0</v>
      </c>
      <c r="G17" s="597">
        <f>'AUX-CARGA ESTIMADA'!E2</f>
        <v>0</v>
      </c>
      <c r="H17" s="598">
        <f>'AUX-CARGA ESTIMADA'!F2</f>
        <v>0</v>
      </c>
      <c r="I17" s="598">
        <f>'AUX-CARGA ESTIMADA'!G2</f>
        <v>0</v>
      </c>
      <c r="J17" s="555"/>
      <c r="K17" s="599">
        <f>'AUX-CARGA ESTIMADA'!I2</f>
        <v>0</v>
      </c>
      <c r="L17" s="556">
        <f>'AUX-CARGA ESTIMADA'!J2</f>
        <v>0</v>
      </c>
      <c r="N17" s="592">
        <f>'AUX-CARGA ESTIMADA'!L2</f>
        <v>0</v>
      </c>
      <c r="O17" s="622">
        <v>0.1</v>
      </c>
      <c r="P17" s="593">
        <v>10</v>
      </c>
      <c r="Q17" s="540">
        <f>ROUNDUP((N17*(O17+1))/P17,0)</f>
        <v>0</v>
      </c>
      <c r="R17" s="540">
        <f>Q17+1</f>
        <v>1</v>
      </c>
      <c r="S17" s="584">
        <f>Q17*P17</f>
        <v>0</v>
      </c>
      <c r="T17" s="646" t="e">
        <f>S17/N17-1</f>
        <v>#DIV/0!</v>
      </c>
      <c r="V17">
        <v>4</v>
      </c>
    </row>
    <row r="18" spans="1:22" ht="19.95" customHeight="1" x14ac:dyDescent="0.3">
      <c r="A18" s="715">
        <f>'AUX-CARGA ESTIMADA'!A3</f>
        <v>0</v>
      </c>
      <c r="B18" s="715"/>
      <c r="C18" s="555" t="s">
        <v>1158</v>
      </c>
      <c r="D18" s="594">
        <f>'AUX-CARGA ESTIMADA'!B3</f>
        <v>0</v>
      </c>
      <c r="E18" s="595">
        <f>'AUX-CARGA ESTIMADA'!C3</f>
        <v>0</v>
      </c>
      <c r="F18" s="596">
        <f>'AUX-CARGA ESTIMADA'!D3</f>
        <v>0</v>
      </c>
      <c r="G18" s="597">
        <f>'AUX-CARGA ESTIMADA'!E3</f>
        <v>0</v>
      </c>
      <c r="H18" s="598">
        <f>'AUX-CARGA ESTIMADA'!F3</f>
        <v>0</v>
      </c>
      <c r="I18" s="598">
        <f>'AUX-CARGA ESTIMADA'!G3</f>
        <v>0</v>
      </c>
      <c r="J18" s="555"/>
      <c r="K18" s="599">
        <f>'AUX-CARGA ESTIMADA'!I3</f>
        <v>0</v>
      </c>
      <c r="L18" s="556">
        <f>'AUX-CARGA ESTIMADA'!J3</f>
        <v>0</v>
      </c>
      <c r="N18" s="592">
        <f>'AUX-CARGA ESTIMADA'!L3</f>
        <v>0</v>
      </c>
      <c r="O18" s="622">
        <v>0.1</v>
      </c>
      <c r="P18" s="593">
        <v>5</v>
      </c>
      <c r="Q18" s="540">
        <f t="shared" ref="Q18:Q23" si="0">ROUNDUP((N18*(O18+1))/P18,0)</f>
        <v>0</v>
      </c>
      <c r="R18" s="540">
        <f t="shared" ref="R18:R23" si="1">Q18+1</f>
        <v>1</v>
      </c>
      <c r="S18" s="584">
        <f t="shared" ref="S18:S20" si="2">Q18*P18</f>
        <v>0</v>
      </c>
      <c r="T18" s="646" t="e">
        <f t="shared" ref="T18:T23" si="3">S18/N18-1</f>
        <v>#DIV/0!</v>
      </c>
      <c r="V18">
        <v>1</v>
      </c>
    </row>
    <row r="19" spans="1:22" ht="19.95" customHeight="1" x14ac:dyDescent="0.3">
      <c r="A19" s="715">
        <f>'AUX-CARGA ESTIMADA'!A4</f>
        <v>0</v>
      </c>
      <c r="B19" s="715"/>
      <c r="C19" s="555" t="s">
        <v>1158</v>
      </c>
      <c r="D19" s="594">
        <f>'AUX-CARGA ESTIMADA'!B4</f>
        <v>0</v>
      </c>
      <c r="E19" s="595">
        <f>'AUX-CARGA ESTIMADA'!C4</f>
        <v>0</v>
      </c>
      <c r="F19" s="596">
        <f>'AUX-CARGA ESTIMADA'!D4</f>
        <v>0</v>
      </c>
      <c r="G19" s="597">
        <f>'AUX-CARGA ESTIMADA'!E4</f>
        <v>0</v>
      </c>
      <c r="H19" s="598">
        <f>'AUX-CARGA ESTIMADA'!F4</f>
        <v>0</v>
      </c>
      <c r="I19" s="598">
        <f>'AUX-CARGA ESTIMADA'!G4</f>
        <v>0</v>
      </c>
      <c r="J19" s="555"/>
      <c r="K19" s="599">
        <f>'AUX-CARGA ESTIMADA'!I4</f>
        <v>0</v>
      </c>
      <c r="L19" s="556">
        <f>'AUX-CARGA ESTIMADA'!J4</f>
        <v>0</v>
      </c>
      <c r="N19" s="592">
        <f>'AUX-CARGA ESTIMADA'!L4</f>
        <v>0</v>
      </c>
      <c r="O19" s="622">
        <v>0.1</v>
      </c>
      <c r="P19" s="593">
        <v>7.5</v>
      </c>
      <c r="Q19" s="540">
        <f t="shared" si="0"/>
        <v>0</v>
      </c>
      <c r="R19" s="540">
        <f t="shared" si="1"/>
        <v>1</v>
      </c>
      <c r="S19" s="584">
        <f t="shared" si="2"/>
        <v>0</v>
      </c>
      <c r="T19" s="646" t="e">
        <f t="shared" si="3"/>
        <v>#DIV/0!</v>
      </c>
      <c r="V19">
        <v>2</v>
      </c>
    </row>
    <row r="20" spans="1:22" ht="19.95" customHeight="1" x14ac:dyDescent="0.3">
      <c r="A20" s="715">
        <f>'AUX-CARGA ESTIMADA'!A5</f>
        <v>0</v>
      </c>
      <c r="B20" s="715"/>
      <c r="C20" s="555" t="s">
        <v>1158</v>
      </c>
      <c r="D20" s="594">
        <f>'AUX-CARGA ESTIMADA'!B5</f>
        <v>0</v>
      </c>
      <c r="E20" s="595">
        <f>'AUX-CARGA ESTIMADA'!C5</f>
        <v>0</v>
      </c>
      <c r="F20" s="596">
        <f>'AUX-CARGA ESTIMADA'!D5</f>
        <v>0</v>
      </c>
      <c r="G20" s="597">
        <f>'AUX-CARGA ESTIMADA'!E5</f>
        <v>0</v>
      </c>
      <c r="H20" s="598">
        <f>'AUX-CARGA ESTIMADA'!F5</f>
        <v>0</v>
      </c>
      <c r="I20" s="598">
        <f>'AUX-CARGA ESTIMADA'!G5</f>
        <v>0</v>
      </c>
      <c r="J20" s="555"/>
      <c r="K20" s="599">
        <f>'AUX-CARGA ESTIMADA'!I5</f>
        <v>0</v>
      </c>
      <c r="L20" s="556">
        <f>'AUX-CARGA ESTIMADA'!J5</f>
        <v>0</v>
      </c>
      <c r="N20" s="592">
        <f>'AUX-CARGA ESTIMADA'!L5</f>
        <v>0</v>
      </c>
      <c r="O20" s="622">
        <v>0.1</v>
      </c>
      <c r="P20" s="593">
        <v>7.5</v>
      </c>
      <c r="Q20" s="540">
        <f t="shared" si="0"/>
        <v>0</v>
      </c>
      <c r="R20" s="540">
        <f t="shared" si="1"/>
        <v>1</v>
      </c>
      <c r="S20" s="584">
        <f t="shared" si="2"/>
        <v>0</v>
      </c>
      <c r="T20" s="646" t="e">
        <f t="shared" si="3"/>
        <v>#DIV/0!</v>
      </c>
      <c r="V20">
        <v>1</v>
      </c>
    </row>
    <row r="21" spans="1:22" ht="19.95" customHeight="1" x14ac:dyDescent="0.3">
      <c r="A21" s="715">
        <f>'AUX-CARGA ESTIMADA'!A6</f>
        <v>0</v>
      </c>
      <c r="B21" s="715"/>
      <c r="C21" s="555" t="s">
        <v>1158</v>
      </c>
      <c r="D21" s="594">
        <f>'AUX-CARGA ESTIMADA'!B6</f>
        <v>0</v>
      </c>
      <c r="E21" s="595">
        <f>'AUX-CARGA ESTIMADA'!C6</f>
        <v>0</v>
      </c>
      <c r="F21" s="596">
        <f>'AUX-CARGA ESTIMADA'!D6</f>
        <v>0</v>
      </c>
      <c r="G21" s="597">
        <f>'AUX-CARGA ESTIMADA'!E6</f>
        <v>0</v>
      </c>
      <c r="H21" s="598">
        <f>'AUX-CARGA ESTIMADA'!F6</f>
        <v>0</v>
      </c>
      <c r="I21" s="598">
        <f>'AUX-CARGA ESTIMADA'!G6</f>
        <v>0</v>
      </c>
      <c r="J21" s="555"/>
      <c r="K21" s="599">
        <f>'AUX-CARGA ESTIMADA'!I6</f>
        <v>0</v>
      </c>
      <c r="L21" s="556">
        <f>'AUX-CARGA ESTIMADA'!J6</f>
        <v>0</v>
      </c>
      <c r="N21" s="592">
        <f>'AUX-CARGA ESTIMADA'!L6</f>
        <v>0</v>
      </c>
      <c r="O21" s="622">
        <v>0.1</v>
      </c>
      <c r="P21" s="593">
        <v>7.5</v>
      </c>
      <c r="Q21" s="540">
        <f t="shared" si="0"/>
        <v>0</v>
      </c>
      <c r="R21" s="540">
        <f t="shared" si="1"/>
        <v>1</v>
      </c>
      <c r="S21" s="584">
        <f t="shared" ref="S21:S23" si="4">Q21*P21</f>
        <v>0</v>
      </c>
      <c r="T21" s="646" t="e">
        <f t="shared" si="3"/>
        <v>#DIV/0!</v>
      </c>
      <c r="V21">
        <v>6</v>
      </c>
    </row>
    <row r="22" spans="1:22" ht="19.95" customHeight="1" x14ac:dyDescent="0.3">
      <c r="A22" s="715">
        <f>'AUX-CARGA ESTIMADA'!A7</f>
        <v>0</v>
      </c>
      <c r="B22" s="715"/>
      <c r="C22" s="555" t="s">
        <v>1158</v>
      </c>
      <c r="D22" s="594">
        <f>'AUX-CARGA ESTIMADA'!B7</f>
        <v>0</v>
      </c>
      <c r="E22" s="595">
        <f>'AUX-CARGA ESTIMADA'!C7</f>
        <v>0</v>
      </c>
      <c r="F22" s="596">
        <f>'AUX-CARGA ESTIMADA'!D7</f>
        <v>0</v>
      </c>
      <c r="G22" s="597">
        <f>'AUX-CARGA ESTIMADA'!E7</f>
        <v>0</v>
      </c>
      <c r="H22" s="598">
        <f>'AUX-CARGA ESTIMADA'!F7</f>
        <v>0</v>
      </c>
      <c r="I22" s="598">
        <f>'AUX-CARGA ESTIMADA'!G7</f>
        <v>0</v>
      </c>
      <c r="J22" s="555"/>
      <c r="K22" s="599">
        <f>'AUX-CARGA ESTIMADA'!I7</f>
        <v>0</v>
      </c>
      <c r="L22" s="556">
        <f>'AUX-CARGA ESTIMADA'!J7</f>
        <v>0</v>
      </c>
      <c r="N22" s="592">
        <f>'AUX-CARGA ESTIMADA'!L7</f>
        <v>0</v>
      </c>
      <c r="O22" s="622">
        <v>0.1</v>
      </c>
      <c r="P22" s="593">
        <v>7.5</v>
      </c>
      <c r="Q22" s="540">
        <f t="shared" si="0"/>
        <v>0</v>
      </c>
      <c r="R22" s="540">
        <f t="shared" si="1"/>
        <v>1</v>
      </c>
      <c r="S22" s="584">
        <f t="shared" si="4"/>
        <v>0</v>
      </c>
      <c r="T22" s="646" t="e">
        <f t="shared" si="3"/>
        <v>#DIV/0!</v>
      </c>
      <c r="V22">
        <v>1</v>
      </c>
    </row>
    <row r="23" spans="1:22" ht="19.95" customHeight="1" x14ac:dyDescent="0.3">
      <c r="A23" s="715">
        <f>'AUX-CARGA ESTIMADA'!A8</f>
        <v>0</v>
      </c>
      <c r="B23" s="715"/>
      <c r="C23" s="555" t="s">
        <v>1158</v>
      </c>
      <c r="D23" s="594">
        <f>'AUX-CARGA ESTIMADA'!B8</f>
        <v>0</v>
      </c>
      <c r="E23" s="595">
        <f>'AUX-CARGA ESTIMADA'!C8</f>
        <v>0</v>
      </c>
      <c r="F23" s="596">
        <f>'AUX-CARGA ESTIMADA'!D8</f>
        <v>0</v>
      </c>
      <c r="G23" s="597">
        <f>'AUX-CARGA ESTIMADA'!E8</f>
        <v>0</v>
      </c>
      <c r="H23" s="598">
        <f>'AUX-CARGA ESTIMADA'!F8</f>
        <v>0</v>
      </c>
      <c r="I23" s="598">
        <f>'AUX-CARGA ESTIMADA'!G8</f>
        <v>0</v>
      </c>
      <c r="J23" s="555"/>
      <c r="K23" s="599">
        <f>'AUX-CARGA ESTIMADA'!I8</f>
        <v>0</v>
      </c>
      <c r="L23" s="556">
        <f>'AUX-CARGA ESTIMADA'!J8</f>
        <v>0</v>
      </c>
      <c r="N23" s="592">
        <f>'AUX-CARGA ESTIMADA'!L8</f>
        <v>0</v>
      </c>
      <c r="O23" s="622">
        <v>0.1</v>
      </c>
      <c r="P23" s="593">
        <v>7.5</v>
      </c>
      <c r="Q23" s="540">
        <f t="shared" si="0"/>
        <v>0</v>
      </c>
      <c r="R23" s="540">
        <f t="shared" si="1"/>
        <v>1</v>
      </c>
      <c r="S23" s="584">
        <f t="shared" si="4"/>
        <v>0</v>
      </c>
      <c r="T23" s="646" t="e">
        <f t="shared" si="3"/>
        <v>#DIV/0!</v>
      </c>
      <c r="V23">
        <v>5</v>
      </c>
    </row>
    <row r="24" spans="1:22" ht="19.95" customHeight="1" x14ac:dyDescent="0.3">
      <c r="A24" s="715">
        <f>'AUX-CARGA ESTIMADA'!A9</f>
        <v>0</v>
      </c>
      <c r="B24" s="715"/>
      <c r="C24" s="555" t="s">
        <v>1158</v>
      </c>
      <c r="D24" s="594">
        <f>'AUX-CARGA ESTIMADA'!B9</f>
        <v>0</v>
      </c>
      <c r="E24" s="595">
        <f>'AUX-CARGA ESTIMADA'!C9</f>
        <v>0</v>
      </c>
      <c r="F24" s="596">
        <f>'AUX-CARGA ESTIMADA'!D9</f>
        <v>0</v>
      </c>
      <c r="G24" s="597">
        <f>'AUX-CARGA ESTIMADA'!E9</f>
        <v>0</v>
      </c>
      <c r="H24" s="598">
        <f>'AUX-CARGA ESTIMADA'!F9</f>
        <v>0</v>
      </c>
      <c r="I24" s="598">
        <f>'AUX-CARGA ESTIMADA'!G9</f>
        <v>0</v>
      </c>
      <c r="J24" s="555"/>
      <c r="K24" s="599">
        <f>'AUX-CARGA ESTIMADA'!I9</f>
        <v>0</v>
      </c>
      <c r="L24" s="556">
        <f>'AUX-CARGA ESTIMADA'!J9</f>
        <v>0</v>
      </c>
      <c r="N24" s="592">
        <f>'AUX-CARGA ESTIMADA'!L9</f>
        <v>0</v>
      </c>
      <c r="O24" s="622">
        <v>0.1</v>
      </c>
      <c r="P24" s="593">
        <v>7.5</v>
      </c>
      <c r="Q24" s="540">
        <f t="shared" ref="Q24:Q36" si="5">ROUNDUP((N24*(O24+1))/P24,0)</f>
        <v>0</v>
      </c>
      <c r="R24" s="540">
        <f t="shared" ref="R24:R36" si="6">Q24+1</f>
        <v>1</v>
      </c>
      <c r="S24" s="584">
        <f t="shared" ref="S24:S36" si="7">Q24*P24</f>
        <v>0</v>
      </c>
      <c r="T24" s="646" t="e">
        <f t="shared" ref="T24:T36" si="8">S24/N24-1</f>
        <v>#DIV/0!</v>
      </c>
      <c r="V24">
        <v>1</v>
      </c>
    </row>
    <row r="25" spans="1:22" ht="19.95" customHeight="1" x14ac:dyDescent="0.3">
      <c r="A25" s="715">
        <f>'AUX-CARGA ESTIMADA'!A10</f>
        <v>0</v>
      </c>
      <c r="B25" s="715"/>
      <c r="C25" s="555" t="s">
        <v>1158</v>
      </c>
      <c r="D25" s="594">
        <f>'AUX-CARGA ESTIMADA'!B10</f>
        <v>0</v>
      </c>
      <c r="E25" s="595">
        <f>'AUX-CARGA ESTIMADA'!C10</f>
        <v>0</v>
      </c>
      <c r="F25" s="596">
        <f>'AUX-CARGA ESTIMADA'!D10</f>
        <v>0</v>
      </c>
      <c r="G25" s="597">
        <f>'AUX-CARGA ESTIMADA'!E10</f>
        <v>0</v>
      </c>
      <c r="H25" s="598">
        <f>'AUX-CARGA ESTIMADA'!F10</f>
        <v>0</v>
      </c>
      <c r="I25" s="598">
        <f>'AUX-CARGA ESTIMADA'!G10</f>
        <v>0</v>
      </c>
      <c r="J25" s="555"/>
      <c r="K25" s="599">
        <f>'AUX-CARGA ESTIMADA'!I10</f>
        <v>0</v>
      </c>
      <c r="L25" s="556">
        <f>'AUX-CARGA ESTIMADA'!J10</f>
        <v>0</v>
      </c>
      <c r="N25" s="592">
        <f>'AUX-CARGA ESTIMADA'!L10</f>
        <v>0</v>
      </c>
      <c r="O25" s="622">
        <v>0.1</v>
      </c>
      <c r="P25" s="593">
        <v>7.5</v>
      </c>
      <c r="Q25" s="540">
        <f t="shared" si="5"/>
        <v>0</v>
      </c>
      <c r="R25" s="540">
        <f t="shared" si="6"/>
        <v>1</v>
      </c>
      <c r="S25" s="584">
        <f t="shared" si="7"/>
        <v>0</v>
      </c>
      <c r="T25" s="646" t="e">
        <f t="shared" si="8"/>
        <v>#DIV/0!</v>
      </c>
      <c r="V25">
        <v>3</v>
      </c>
    </row>
    <row r="26" spans="1:22" ht="19.95" customHeight="1" x14ac:dyDescent="0.3">
      <c r="A26" s="715">
        <f>'AUX-CARGA ESTIMADA'!A11</f>
        <v>0</v>
      </c>
      <c r="B26" s="715"/>
      <c r="C26" s="555" t="s">
        <v>1158</v>
      </c>
      <c r="D26" s="594">
        <f>'AUX-CARGA ESTIMADA'!B11</f>
        <v>0</v>
      </c>
      <c r="E26" s="595">
        <f>'AUX-CARGA ESTIMADA'!C11</f>
        <v>0</v>
      </c>
      <c r="F26" s="596">
        <f>'AUX-CARGA ESTIMADA'!D11</f>
        <v>0</v>
      </c>
      <c r="G26" s="597">
        <f>'AUX-CARGA ESTIMADA'!E11</f>
        <v>0</v>
      </c>
      <c r="H26" s="598">
        <f>'AUX-CARGA ESTIMADA'!F11</f>
        <v>0</v>
      </c>
      <c r="I26" s="598">
        <f>'AUX-CARGA ESTIMADA'!G11</f>
        <v>0</v>
      </c>
      <c r="J26" s="555"/>
      <c r="K26" s="599">
        <f>'AUX-CARGA ESTIMADA'!I11</f>
        <v>0</v>
      </c>
      <c r="L26" s="556">
        <f>'AUX-CARGA ESTIMADA'!J11</f>
        <v>0</v>
      </c>
      <c r="N26" s="592">
        <f>'AUX-CARGA ESTIMADA'!L11</f>
        <v>0</v>
      </c>
      <c r="O26" s="622">
        <v>0.1</v>
      </c>
      <c r="P26" s="593">
        <v>7.5</v>
      </c>
      <c r="Q26" s="540">
        <f t="shared" si="5"/>
        <v>0</v>
      </c>
      <c r="R26" s="540">
        <f t="shared" si="6"/>
        <v>1</v>
      </c>
      <c r="S26" s="584">
        <f t="shared" si="7"/>
        <v>0</v>
      </c>
      <c r="T26" s="646" t="e">
        <f t="shared" si="8"/>
        <v>#DIV/0!</v>
      </c>
      <c r="V26">
        <v>1</v>
      </c>
    </row>
    <row r="27" spans="1:22" ht="19.95" customHeight="1" x14ac:dyDescent="0.3">
      <c r="A27" s="715">
        <f>'AUX-CARGA ESTIMADA'!A12</f>
        <v>0</v>
      </c>
      <c r="B27" s="715"/>
      <c r="C27" s="555" t="s">
        <v>1158</v>
      </c>
      <c r="D27" s="594">
        <f>'AUX-CARGA ESTIMADA'!B12</f>
        <v>0</v>
      </c>
      <c r="E27" s="595">
        <f>'AUX-CARGA ESTIMADA'!C12</f>
        <v>0</v>
      </c>
      <c r="F27" s="596">
        <f>'AUX-CARGA ESTIMADA'!D12</f>
        <v>0</v>
      </c>
      <c r="G27" s="597">
        <f>'AUX-CARGA ESTIMADA'!E12</f>
        <v>0</v>
      </c>
      <c r="H27" s="598">
        <f>'AUX-CARGA ESTIMADA'!F12</f>
        <v>0</v>
      </c>
      <c r="I27" s="598">
        <f>'AUX-CARGA ESTIMADA'!G12</f>
        <v>0</v>
      </c>
      <c r="J27" s="555"/>
      <c r="K27" s="599">
        <f>'AUX-CARGA ESTIMADA'!I12</f>
        <v>0</v>
      </c>
      <c r="L27" s="556">
        <f>'AUX-CARGA ESTIMADA'!J12</f>
        <v>0</v>
      </c>
      <c r="N27" s="592">
        <f>'AUX-CARGA ESTIMADA'!L12</f>
        <v>0</v>
      </c>
      <c r="O27" s="622">
        <v>0.1</v>
      </c>
      <c r="P27" s="593">
        <v>7.5</v>
      </c>
      <c r="Q27" s="540">
        <f t="shared" si="5"/>
        <v>0</v>
      </c>
      <c r="R27" s="540">
        <f t="shared" si="6"/>
        <v>1</v>
      </c>
      <c r="S27" s="584">
        <f t="shared" si="7"/>
        <v>0</v>
      </c>
      <c r="T27" s="646" t="e">
        <f t="shared" si="8"/>
        <v>#DIV/0!</v>
      </c>
      <c r="V27">
        <v>3</v>
      </c>
    </row>
    <row r="28" spans="1:22" ht="19.95" customHeight="1" x14ac:dyDescent="0.3">
      <c r="A28" s="715">
        <f>'AUX-CARGA ESTIMADA'!A13</f>
        <v>0</v>
      </c>
      <c r="B28" s="715"/>
      <c r="C28" s="555" t="s">
        <v>1158</v>
      </c>
      <c r="D28" s="594">
        <f>'AUX-CARGA ESTIMADA'!B13</f>
        <v>0</v>
      </c>
      <c r="E28" s="595">
        <f>'AUX-CARGA ESTIMADA'!C13</f>
        <v>0</v>
      </c>
      <c r="F28" s="596">
        <f>'AUX-CARGA ESTIMADA'!D13</f>
        <v>0</v>
      </c>
      <c r="G28" s="597">
        <f>'AUX-CARGA ESTIMADA'!E13</f>
        <v>0</v>
      </c>
      <c r="H28" s="598">
        <f>'AUX-CARGA ESTIMADA'!F13</f>
        <v>0</v>
      </c>
      <c r="I28" s="598">
        <f>'AUX-CARGA ESTIMADA'!G13</f>
        <v>0</v>
      </c>
      <c r="J28" s="555"/>
      <c r="K28" s="599">
        <f>'AUX-CARGA ESTIMADA'!I13</f>
        <v>0</v>
      </c>
      <c r="L28" s="556">
        <f>'AUX-CARGA ESTIMADA'!J13</f>
        <v>0</v>
      </c>
      <c r="N28" s="592">
        <f>'AUX-CARGA ESTIMADA'!L13</f>
        <v>0</v>
      </c>
      <c r="O28" s="622">
        <v>0.1</v>
      </c>
      <c r="P28" s="593">
        <v>7.5</v>
      </c>
      <c r="Q28" s="540">
        <f t="shared" si="5"/>
        <v>0</v>
      </c>
      <c r="R28" s="540">
        <f t="shared" si="6"/>
        <v>1</v>
      </c>
      <c r="S28" s="584">
        <f t="shared" si="7"/>
        <v>0</v>
      </c>
      <c r="T28" s="646" t="e">
        <f t="shared" si="8"/>
        <v>#DIV/0!</v>
      </c>
      <c r="V28">
        <v>1</v>
      </c>
    </row>
    <row r="29" spans="1:22" ht="19.95" customHeight="1" x14ac:dyDescent="0.3">
      <c r="A29" s="715">
        <f>'AUX-CARGA ESTIMADA'!A14</f>
        <v>0</v>
      </c>
      <c r="B29" s="715"/>
      <c r="C29" s="555" t="s">
        <v>1158</v>
      </c>
      <c r="D29" s="594">
        <f>'AUX-CARGA ESTIMADA'!B14</f>
        <v>0</v>
      </c>
      <c r="E29" s="595">
        <f>'AUX-CARGA ESTIMADA'!C14</f>
        <v>0</v>
      </c>
      <c r="F29" s="596">
        <f>'AUX-CARGA ESTIMADA'!D14</f>
        <v>0</v>
      </c>
      <c r="G29" s="597">
        <f>'AUX-CARGA ESTIMADA'!E14</f>
        <v>0</v>
      </c>
      <c r="H29" s="598">
        <f>'AUX-CARGA ESTIMADA'!F14</f>
        <v>0</v>
      </c>
      <c r="I29" s="598">
        <f>'AUX-CARGA ESTIMADA'!G14</f>
        <v>0</v>
      </c>
      <c r="J29" s="555"/>
      <c r="K29" s="599">
        <f>'AUX-CARGA ESTIMADA'!I14</f>
        <v>0</v>
      </c>
      <c r="L29" s="556">
        <f>'AUX-CARGA ESTIMADA'!J14</f>
        <v>0</v>
      </c>
      <c r="N29" s="592">
        <f>'AUX-CARGA ESTIMADA'!L14</f>
        <v>0</v>
      </c>
      <c r="O29" s="622">
        <v>0.1</v>
      </c>
      <c r="P29" s="593">
        <v>7.5</v>
      </c>
      <c r="Q29" s="540">
        <f t="shared" si="5"/>
        <v>0</v>
      </c>
      <c r="R29" s="540">
        <f t="shared" si="6"/>
        <v>1</v>
      </c>
      <c r="S29" s="584">
        <f t="shared" si="7"/>
        <v>0</v>
      </c>
      <c r="T29" s="646" t="e">
        <f t="shared" si="8"/>
        <v>#DIV/0!</v>
      </c>
      <c r="V29">
        <v>3</v>
      </c>
    </row>
    <row r="30" spans="1:22" ht="19.95" customHeight="1" x14ac:dyDescent="0.3">
      <c r="A30" s="715">
        <f>'AUX-CARGA ESTIMADA'!A15</f>
        <v>0</v>
      </c>
      <c r="B30" s="715"/>
      <c r="C30" s="555" t="s">
        <v>1158</v>
      </c>
      <c r="D30" s="594">
        <f>'AUX-CARGA ESTIMADA'!B15</f>
        <v>0</v>
      </c>
      <c r="E30" s="595">
        <f>'AUX-CARGA ESTIMADA'!C15</f>
        <v>0</v>
      </c>
      <c r="F30" s="596">
        <f>'AUX-CARGA ESTIMADA'!D15</f>
        <v>0</v>
      </c>
      <c r="G30" s="597">
        <f>'AUX-CARGA ESTIMADA'!E15</f>
        <v>0</v>
      </c>
      <c r="H30" s="598">
        <f>'AUX-CARGA ESTIMADA'!F15</f>
        <v>0</v>
      </c>
      <c r="I30" s="598">
        <f>'AUX-CARGA ESTIMADA'!G15</f>
        <v>0</v>
      </c>
      <c r="J30" s="555"/>
      <c r="K30" s="599">
        <f>'AUX-CARGA ESTIMADA'!I15</f>
        <v>0</v>
      </c>
      <c r="L30" s="556">
        <f>'AUX-CARGA ESTIMADA'!J15</f>
        <v>0</v>
      </c>
      <c r="N30" s="592">
        <f>'AUX-CARGA ESTIMADA'!L15</f>
        <v>0</v>
      </c>
      <c r="O30" s="622">
        <v>0.1</v>
      </c>
      <c r="P30" s="593">
        <v>7.5</v>
      </c>
      <c r="Q30" s="540">
        <f t="shared" si="5"/>
        <v>0</v>
      </c>
      <c r="R30" s="540">
        <f t="shared" si="6"/>
        <v>1</v>
      </c>
      <c r="S30" s="584">
        <f t="shared" si="7"/>
        <v>0</v>
      </c>
      <c r="T30" s="646" t="e">
        <f t="shared" si="8"/>
        <v>#DIV/0!</v>
      </c>
      <c r="V30">
        <v>1</v>
      </c>
    </row>
    <row r="31" spans="1:22" ht="19.95" customHeight="1" x14ac:dyDescent="0.3">
      <c r="A31" s="715">
        <f>'AUX-CARGA ESTIMADA'!A16</f>
        <v>0</v>
      </c>
      <c r="B31" s="715"/>
      <c r="C31" s="555" t="s">
        <v>1158</v>
      </c>
      <c r="D31" s="594">
        <f>'AUX-CARGA ESTIMADA'!B16</f>
        <v>0</v>
      </c>
      <c r="E31" s="595">
        <f>'AUX-CARGA ESTIMADA'!C16</f>
        <v>0</v>
      </c>
      <c r="F31" s="596">
        <f>'AUX-CARGA ESTIMADA'!D16</f>
        <v>0</v>
      </c>
      <c r="G31" s="597">
        <f>'AUX-CARGA ESTIMADA'!E16</f>
        <v>0</v>
      </c>
      <c r="H31" s="598">
        <f>'AUX-CARGA ESTIMADA'!F16</f>
        <v>0</v>
      </c>
      <c r="I31" s="598">
        <f>'AUX-CARGA ESTIMADA'!G16</f>
        <v>0</v>
      </c>
      <c r="J31" s="555"/>
      <c r="K31" s="599">
        <f>'AUX-CARGA ESTIMADA'!I16</f>
        <v>0</v>
      </c>
      <c r="L31" s="556">
        <f>'AUX-CARGA ESTIMADA'!J16</f>
        <v>0</v>
      </c>
      <c r="N31" s="592">
        <f>'AUX-CARGA ESTIMADA'!L16</f>
        <v>0</v>
      </c>
      <c r="O31" s="622">
        <v>0.1</v>
      </c>
      <c r="P31" s="593">
        <v>7.5</v>
      </c>
      <c r="Q31" s="540">
        <f t="shared" si="5"/>
        <v>0</v>
      </c>
      <c r="R31" s="540">
        <f t="shared" si="6"/>
        <v>1</v>
      </c>
      <c r="S31" s="584">
        <f t="shared" si="7"/>
        <v>0</v>
      </c>
      <c r="T31" s="646" t="e">
        <f t="shared" si="8"/>
        <v>#DIV/0!</v>
      </c>
      <c r="V31">
        <v>9</v>
      </c>
    </row>
    <row r="32" spans="1:22" ht="19.95" customHeight="1" x14ac:dyDescent="0.3">
      <c r="A32" s="715">
        <f>'AUX-CARGA ESTIMADA'!A17</f>
        <v>0</v>
      </c>
      <c r="B32" s="715"/>
      <c r="C32" s="555" t="s">
        <v>1158</v>
      </c>
      <c r="D32" s="594">
        <f>'AUX-CARGA ESTIMADA'!B17</f>
        <v>0</v>
      </c>
      <c r="E32" s="595">
        <f>'AUX-CARGA ESTIMADA'!C17</f>
        <v>0</v>
      </c>
      <c r="F32" s="596">
        <f>'AUX-CARGA ESTIMADA'!D17</f>
        <v>0</v>
      </c>
      <c r="G32" s="597">
        <f>'AUX-CARGA ESTIMADA'!E17</f>
        <v>0</v>
      </c>
      <c r="H32" s="598">
        <f>'AUX-CARGA ESTIMADA'!F17</f>
        <v>0</v>
      </c>
      <c r="I32" s="598">
        <f>'AUX-CARGA ESTIMADA'!G17</f>
        <v>0</v>
      </c>
      <c r="J32" s="555"/>
      <c r="K32" s="599">
        <f>'AUX-CARGA ESTIMADA'!I17</f>
        <v>0</v>
      </c>
      <c r="L32" s="556">
        <f>'AUX-CARGA ESTIMADA'!J17</f>
        <v>0</v>
      </c>
      <c r="N32" s="592">
        <f>'AUX-CARGA ESTIMADA'!L17</f>
        <v>0</v>
      </c>
      <c r="O32" s="622">
        <v>0.1</v>
      </c>
      <c r="P32" s="593">
        <v>7.5</v>
      </c>
      <c r="Q32" s="540">
        <f t="shared" si="5"/>
        <v>0</v>
      </c>
      <c r="R32" s="540">
        <f t="shared" si="6"/>
        <v>1</v>
      </c>
      <c r="S32" s="584">
        <f t="shared" si="7"/>
        <v>0</v>
      </c>
      <c r="T32" s="646" t="e">
        <f t="shared" si="8"/>
        <v>#DIV/0!</v>
      </c>
      <c r="V32">
        <v>1</v>
      </c>
    </row>
    <row r="33" spans="1:22" ht="19.95" customHeight="1" x14ac:dyDescent="0.3">
      <c r="A33" s="715">
        <f>'AUX-CARGA ESTIMADA'!A18</f>
        <v>0</v>
      </c>
      <c r="B33" s="715"/>
      <c r="C33" s="555" t="s">
        <v>1158</v>
      </c>
      <c r="D33" s="594">
        <f>'AUX-CARGA ESTIMADA'!B18</f>
        <v>0</v>
      </c>
      <c r="E33" s="595">
        <f>'AUX-CARGA ESTIMADA'!C18</f>
        <v>0</v>
      </c>
      <c r="F33" s="596">
        <f>'AUX-CARGA ESTIMADA'!D18</f>
        <v>0</v>
      </c>
      <c r="G33" s="597">
        <f>'AUX-CARGA ESTIMADA'!E18</f>
        <v>0</v>
      </c>
      <c r="H33" s="598">
        <f>'AUX-CARGA ESTIMADA'!F18</f>
        <v>0</v>
      </c>
      <c r="I33" s="598">
        <f>'AUX-CARGA ESTIMADA'!G18</f>
        <v>0</v>
      </c>
      <c r="J33" s="555"/>
      <c r="K33" s="599">
        <f>'AUX-CARGA ESTIMADA'!I18</f>
        <v>0</v>
      </c>
      <c r="L33" s="556">
        <f>'AUX-CARGA ESTIMADA'!J18</f>
        <v>0</v>
      </c>
      <c r="N33" s="592">
        <f>'AUX-CARGA ESTIMADA'!L18</f>
        <v>0</v>
      </c>
      <c r="O33" s="622">
        <v>0.1</v>
      </c>
      <c r="P33" s="593">
        <v>7.5</v>
      </c>
      <c r="Q33" s="540">
        <f t="shared" si="5"/>
        <v>0</v>
      </c>
      <c r="R33" s="540">
        <f t="shared" si="6"/>
        <v>1</v>
      </c>
      <c r="S33" s="584">
        <f t="shared" si="7"/>
        <v>0</v>
      </c>
      <c r="T33" s="646" t="e">
        <f t="shared" si="8"/>
        <v>#DIV/0!</v>
      </c>
      <c r="V33">
        <v>12</v>
      </c>
    </row>
    <row r="34" spans="1:22" ht="19.95" customHeight="1" x14ac:dyDescent="0.3">
      <c r="A34" s="715">
        <f>'AUX-CARGA ESTIMADA'!A19</f>
        <v>0</v>
      </c>
      <c r="B34" s="715"/>
      <c r="C34" s="555" t="s">
        <v>1158</v>
      </c>
      <c r="D34" s="594">
        <f>'AUX-CARGA ESTIMADA'!B19</f>
        <v>0</v>
      </c>
      <c r="E34" s="595">
        <f>'AUX-CARGA ESTIMADA'!C19</f>
        <v>0</v>
      </c>
      <c r="F34" s="596">
        <f>'AUX-CARGA ESTIMADA'!D19</f>
        <v>0</v>
      </c>
      <c r="G34" s="597">
        <f>'AUX-CARGA ESTIMADA'!E19</f>
        <v>0</v>
      </c>
      <c r="H34" s="598">
        <f>'AUX-CARGA ESTIMADA'!F19</f>
        <v>0</v>
      </c>
      <c r="I34" s="598">
        <f>'AUX-CARGA ESTIMADA'!G19</f>
        <v>0</v>
      </c>
      <c r="J34" s="555"/>
      <c r="K34" s="599">
        <f>'AUX-CARGA ESTIMADA'!I19</f>
        <v>0</v>
      </c>
      <c r="L34" s="556">
        <f>'AUX-CARGA ESTIMADA'!J19</f>
        <v>0</v>
      </c>
      <c r="N34" s="592">
        <f>'AUX-CARGA ESTIMADA'!L19</f>
        <v>0</v>
      </c>
      <c r="O34" s="622">
        <v>0.1</v>
      </c>
      <c r="P34" s="593">
        <v>7.5</v>
      </c>
      <c r="Q34" s="540">
        <f t="shared" si="5"/>
        <v>0</v>
      </c>
      <c r="R34" s="540">
        <f t="shared" si="6"/>
        <v>1</v>
      </c>
      <c r="S34" s="584">
        <f t="shared" si="7"/>
        <v>0</v>
      </c>
      <c r="T34" s="646" t="e">
        <f t="shared" si="8"/>
        <v>#DIV/0!</v>
      </c>
      <c r="V34">
        <v>1</v>
      </c>
    </row>
    <row r="35" spans="1:22" ht="19.95" customHeight="1" x14ac:dyDescent="0.3">
      <c r="A35" s="715">
        <f>'AUX-CARGA ESTIMADA'!A20</f>
        <v>0</v>
      </c>
      <c r="B35" s="715"/>
      <c r="C35" s="555" t="s">
        <v>1158</v>
      </c>
      <c r="D35" s="594">
        <f>'AUX-CARGA ESTIMADA'!B20</f>
        <v>0</v>
      </c>
      <c r="E35" s="595">
        <f>'AUX-CARGA ESTIMADA'!C20</f>
        <v>0</v>
      </c>
      <c r="F35" s="596">
        <f>'AUX-CARGA ESTIMADA'!D20</f>
        <v>0</v>
      </c>
      <c r="G35" s="597">
        <f>'AUX-CARGA ESTIMADA'!E20</f>
        <v>0</v>
      </c>
      <c r="H35" s="598">
        <f>'AUX-CARGA ESTIMADA'!F20</f>
        <v>0</v>
      </c>
      <c r="I35" s="598">
        <f>'AUX-CARGA ESTIMADA'!G20</f>
        <v>0</v>
      </c>
      <c r="J35" s="555"/>
      <c r="K35" s="599">
        <f>'AUX-CARGA ESTIMADA'!I20</f>
        <v>0</v>
      </c>
      <c r="L35" s="556">
        <f>'AUX-CARGA ESTIMADA'!J20</f>
        <v>0</v>
      </c>
      <c r="N35" s="592">
        <f>'AUX-CARGA ESTIMADA'!L20</f>
        <v>0</v>
      </c>
      <c r="O35" s="622">
        <v>0.1</v>
      </c>
      <c r="P35" s="593">
        <v>7.5</v>
      </c>
      <c r="Q35" s="540">
        <f t="shared" si="5"/>
        <v>0</v>
      </c>
      <c r="R35" s="540">
        <f t="shared" si="6"/>
        <v>1</v>
      </c>
      <c r="S35" s="584">
        <f t="shared" si="7"/>
        <v>0</v>
      </c>
      <c r="T35" s="646" t="e">
        <f t="shared" si="8"/>
        <v>#DIV/0!</v>
      </c>
      <c r="V35">
        <v>8</v>
      </c>
    </row>
    <row r="36" spans="1:22" ht="19.95" customHeight="1" x14ac:dyDescent="0.3">
      <c r="A36" s="715">
        <f>'AUX-CARGA ESTIMADA'!A21</f>
        <v>0</v>
      </c>
      <c r="B36" s="715"/>
      <c r="C36" s="555" t="s">
        <v>1158</v>
      </c>
      <c r="D36" s="594">
        <f>'AUX-CARGA ESTIMADA'!B21</f>
        <v>0</v>
      </c>
      <c r="E36" s="595">
        <f>'AUX-CARGA ESTIMADA'!C21</f>
        <v>0</v>
      </c>
      <c r="F36" s="596">
        <f>'AUX-CARGA ESTIMADA'!D21</f>
        <v>0</v>
      </c>
      <c r="G36" s="597">
        <f>'AUX-CARGA ESTIMADA'!E21</f>
        <v>0</v>
      </c>
      <c r="H36" s="598">
        <f>'AUX-CARGA ESTIMADA'!F21</f>
        <v>0</v>
      </c>
      <c r="I36" s="598">
        <f>'AUX-CARGA ESTIMADA'!G21</f>
        <v>0</v>
      </c>
      <c r="J36" s="555"/>
      <c r="K36" s="599">
        <f>'AUX-CARGA ESTIMADA'!I21</f>
        <v>0</v>
      </c>
      <c r="L36" s="556">
        <f>'AUX-CARGA ESTIMADA'!J21</f>
        <v>0</v>
      </c>
      <c r="N36" s="592">
        <f>'AUX-CARGA ESTIMADA'!L21</f>
        <v>0</v>
      </c>
      <c r="O36" s="622">
        <v>0.1</v>
      </c>
      <c r="P36" s="593">
        <v>7.5</v>
      </c>
      <c r="Q36" s="540">
        <f t="shared" si="5"/>
        <v>0</v>
      </c>
      <c r="R36" s="540">
        <f t="shared" si="6"/>
        <v>1</v>
      </c>
      <c r="S36" s="584">
        <f t="shared" si="7"/>
        <v>0</v>
      </c>
      <c r="T36" s="646" t="e">
        <f t="shared" si="8"/>
        <v>#DIV/0!</v>
      </c>
      <c r="V36">
        <v>1</v>
      </c>
    </row>
    <row r="37" spans="1:22" ht="19.95" customHeight="1" x14ac:dyDescent="0.3">
      <c r="A37" s="715">
        <f>'AUX-CARGA ESTIMADA'!A22</f>
        <v>0</v>
      </c>
      <c r="B37" s="715"/>
      <c r="C37" s="555" t="s">
        <v>1158</v>
      </c>
      <c r="D37" s="594">
        <f>'AUX-CARGA ESTIMADA'!B22</f>
        <v>0</v>
      </c>
      <c r="E37" s="595">
        <f>'AUX-CARGA ESTIMADA'!C22</f>
        <v>0</v>
      </c>
      <c r="F37" s="596">
        <f>'AUX-CARGA ESTIMADA'!D22</f>
        <v>0</v>
      </c>
      <c r="G37" s="597">
        <f>'AUX-CARGA ESTIMADA'!E22</f>
        <v>0</v>
      </c>
      <c r="H37" s="598">
        <f>'AUX-CARGA ESTIMADA'!F22</f>
        <v>0</v>
      </c>
      <c r="I37" s="598">
        <f>'AUX-CARGA ESTIMADA'!G22</f>
        <v>0</v>
      </c>
      <c r="J37" s="555"/>
      <c r="K37" s="599">
        <f>'AUX-CARGA ESTIMADA'!I22</f>
        <v>0</v>
      </c>
      <c r="L37" s="556">
        <f>'AUX-CARGA ESTIMADA'!J22</f>
        <v>0</v>
      </c>
      <c r="N37" s="592">
        <f>'AUX-CARGA ESTIMADA'!L22</f>
        <v>0</v>
      </c>
      <c r="O37" s="622">
        <v>0.1</v>
      </c>
      <c r="P37" s="593">
        <v>7.5</v>
      </c>
      <c r="Q37" s="540">
        <f t="shared" ref="Q37:Q45" si="9">ROUNDUP((N37*(O37+1))/P37,0)</f>
        <v>0</v>
      </c>
      <c r="R37" s="540">
        <f t="shared" ref="R37:R45" si="10">Q37+1</f>
        <v>1</v>
      </c>
      <c r="S37" s="584">
        <f t="shared" ref="S37:S45" si="11">Q37*P37</f>
        <v>0</v>
      </c>
      <c r="T37" s="646" t="e">
        <f t="shared" ref="T37:T45" si="12">S37/N37-1</f>
        <v>#DIV/0!</v>
      </c>
      <c r="V37">
        <v>8</v>
      </c>
    </row>
    <row r="38" spans="1:22" ht="19.95" customHeight="1" x14ac:dyDescent="0.3">
      <c r="A38" s="715">
        <f>'AUX-CARGA ESTIMADA'!A23</f>
        <v>0</v>
      </c>
      <c r="B38" s="715"/>
      <c r="C38" s="555" t="s">
        <v>1158</v>
      </c>
      <c r="D38" s="594">
        <f>'AUX-CARGA ESTIMADA'!B23</f>
        <v>0</v>
      </c>
      <c r="E38" s="595">
        <f>'AUX-CARGA ESTIMADA'!C23</f>
        <v>0</v>
      </c>
      <c r="F38" s="596">
        <f>'AUX-CARGA ESTIMADA'!D23</f>
        <v>0</v>
      </c>
      <c r="G38" s="597">
        <f>'AUX-CARGA ESTIMADA'!E23</f>
        <v>0</v>
      </c>
      <c r="H38" s="598">
        <f>'AUX-CARGA ESTIMADA'!F23</f>
        <v>0</v>
      </c>
      <c r="I38" s="598">
        <f>'AUX-CARGA ESTIMADA'!G23</f>
        <v>0</v>
      </c>
      <c r="J38" s="555"/>
      <c r="K38" s="599">
        <f>'AUX-CARGA ESTIMADA'!I23</f>
        <v>0</v>
      </c>
      <c r="L38" s="556">
        <f>'AUX-CARGA ESTIMADA'!J23</f>
        <v>0</v>
      </c>
      <c r="N38" s="592">
        <f>'AUX-CARGA ESTIMADA'!L23</f>
        <v>0</v>
      </c>
      <c r="O38" s="622">
        <v>0.1</v>
      </c>
      <c r="P38" s="593">
        <v>7.5</v>
      </c>
      <c r="Q38" s="540">
        <f t="shared" si="9"/>
        <v>0</v>
      </c>
      <c r="R38" s="540">
        <f t="shared" si="10"/>
        <v>1</v>
      </c>
      <c r="S38" s="584">
        <f t="shared" si="11"/>
        <v>0</v>
      </c>
      <c r="T38" s="646" t="e">
        <f t="shared" si="12"/>
        <v>#DIV/0!</v>
      </c>
      <c r="V38">
        <v>1</v>
      </c>
    </row>
    <row r="39" spans="1:22" ht="19.95" customHeight="1" x14ac:dyDescent="0.3">
      <c r="A39" s="715">
        <f>'AUX-CARGA ESTIMADA'!A24</f>
        <v>0</v>
      </c>
      <c r="B39" s="715"/>
      <c r="C39" s="555" t="s">
        <v>1158</v>
      </c>
      <c r="D39" s="594">
        <f>'AUX-CARGA ESTIMADA'!B24</f>
        <v>0</v>
      </c>
      <c r="E39" s="595">
        <f>'AUX-CARGA ESTIMADA'!C24</f>
        <v>0</v>
      </c>
      <c r="F39" s="596">
        <f>'AUX-CARGA ESTIMADA'!D24</f>
        <v>0</v>
      </c>
      <c r="G39" s="597">
        <f>'AUX-CARGA ESTIMADA'!E24</f>
        <v>0</v>
      </c>
      <c r="H39" s="598">
        <f>'AUX-CARGA ESTIMADA'!F24</f>
        <v>0</v>
      </c>
      <c r="I39" s="598">
        <f>'AUX-CARGA ESTIMADA'!G24</f>
        <v>0</v>
      </c>
      <c r="J39" s="555"/>
      <c r="K39" s="599">
        <f>'AUX-CARGA ESTIMADA'!I24</f>
        <v>0</v>
      </c>
      <c r="L39" s="556">
        <f>'AUX-CARGA ESTIMADA'!J24</f>
        <v>0</v>
      </c>
      <c r="N39" s="592">
        <f>'AUX-CARGA ESTIMADA'!L24</f>
        <v>0</v>
      </c>
      <c r="O39" s="622">
        <v>0.1</v>
      </c>
      <c r="P39" s="593">
        <v>7.5</v>
      </c>
      <c r="Q39" s="540">
        <f t="shared" si="9"/>
        <v>0</v>
      </c>
      <c r="R39" s="540">
        <f t="shared" si="10"/>
        <v>1</v>
      </c>
      <c r="S39" s="584">
        <f t="shared" si="11"/>
        <v>0</v>
      </c>
      <c r="T39" s="646" t="e">
        <f t="shared" si="12"/>
        <v>#DIV/0!</v>
      </c>
      <c r="V39">
        <v>3</v>
      </c>
    </row>
    <row r="40" spans="1:22" ht="19.95" customHeight="1" x14ac:dyDescent="0.3">
      <c r="A40" s="715">
        <f>'AUX-CARGA ESTIMADA'!A25</f>
        <v>0</v>
      </c>
      <c r="B40" s="715"/>
      <c r="C40" s="555" t="s">
        <v>1158</v>
      </c>
      <c r="D40" s="594">
        <f>'AUX-CARGA ESTIMADA'!B25</f>
        <v>0</v>
      </c>
      <c r="E40" s="595">
        <f>'AUX-CARGA ESTIMADA'!C25</f>
        <v>0</v>
      </c>
      <c r="F40" s="596">
        <f>'AUX-CARGA ESTIMADA'!D25</f>
        <v>0</v>
      </c>
      <c r="G40" s="597">
        <f>'AUX-CARGA ESTIMADA'!E25</f>
        <v>0</v>
      </c>
      <c r="H40" s="598">
        <f>'AUX-CARGA ESTIMADA'!F25</f>
        <v>0</v>
      </c>
      <c r="I40" s="598">
        <f>'AUX-CARGA ESTIMADA'!G25</f>
        <v>0</v>
      </c>
      <c r="J40" s="555"/>
      <c r="K40" s="599">
        <f>'AUX-CARGA ESTIMADA'!I25</f>
        <v>0</v>
      </c>
      <c r="L40" s="556">
        <f>'AUX-CARGA ESTIMADA'!J25</f>
        <v>0</v>
      </c>
      <c r="N40" s="592">
        <f>'AUX-CARGA ESTIMADA'!L25</f>
        <v>0</v>
      </c>
      <c r="O40" s="622">
        <v>0.1</v>
      </c>
      <c r="P40" s="593">
        <v>7.5</v>
      </c>
      <c r="Q40" s="540">
        <f t="shared" si="9"/>
        <v>0</v>
      </c>
      <c r="R40" s="540">
        <f t="shared" si="10"/>
        <v>1</v>
      </c>
      <c r="S40" s="584">
        <f t="shared" si="11"/>
        <v>0</v>
      </c>
      <c r="T40" s="646" t="e">
        <f t="shared" si="12"/>
        <v>#DIV/0!</v>
      </c>
      <c r="V40">
        <v>1</v>
      </c>
    </row>
    <row r="41" spans="1:22" ht="19.95" customHeight="1" x14ac:dyDescent="0.3">
      <c r="A41" s="715">
        <f>'AUX-CARGA ESTIMADA'!A26</f>
        <v>0</v>
      </c>
      <c r="B41" s="715"/>
      <c r="C41" s="555" t="s">
        <v>1158</v>
      </c>
      <c r="D41" s="594">
        <f>'AUX-CARGA ESTIMADA'!B26</f>
        <v>0</v>
      </c>
      <c r="E41" s="595">
        <f>'AUX-CARGA ESTIMADA'!C26</f>
        <v>0</v>
      </c>
      <c r="F41" s="596">
        <f>'AUX-CARGA ESTIMADA'!D26</f>
        <v>0</v>
      </c>
      <c r="G41" s="597">
        <f>'AUX-CARGA ESTIMADA'!E26</f>
        <v>0</v>
      </c>
      <c r="H41" s="598">
        <f>'AUX-CARGA ESTIMADA'!F26</f>
        <v>0</v>
      </c>
      <c r="I41" s="598">
        <f>'AUX-CARGA ESTIMADA'!G26</f>
        <v>0</v>
      </c>
      <c r="J41" s="555"/>
      <c r="K41" s="599">
        <f>'AUX-CARGA ESTIMADA'!I26</f>
        <v>0</v>
      </c>
      <c r="L41" s="556">
        <f>'AUX-CARGA ESTIMADA'!J26</f>
        <v>0</v>
      </c>
      <c r="N41" s="592">
        <f>'AUX-CARGA ESTIMADA'!L26</f>
        <v>0</v>
      </c>
      <c r="O41" s="622">
        <v>0.1</v>
      </c>
      <c r="P41" s="593">
        <v>7.5</v>
      </c>
      <c r="Q41" s="540">
        <f t="shared" si="9"/>
        <v>0</v>
      </c>
      <c r="R41" s="540">
        <f t="shared" si="10"/>
        <v>1</v>
      </c>
      <c r="S41" s="584">
        <f t="shared" si="11"/>
        <v>0</v>
      </c>
      <c r="T41" s="646" t="e">
        <f t="shared" si="12"/>
        <v>#DIV/0!</v>
      </c>
      <c r="V41">
        <v>7</v>
      </c>
    </row>
    <row r="42" spans="1:22" ht="19.95" customHeight="1" x14ac:dyDescent="0.3">
      <c r="A42" s="715">
        <f>'AUX-CARGA ESTIMADA'!A27</f>
        <v>0</v>
      </c>
      <c r="B42" s="715"/>
      <c r="C42" s="555" t="s">
        <v>1158</v>
      </c>
      <c r="D42" s="594">
        <f>'AUX-CARGA ESTIMADA'!B27</f>
        <v>0</v>
      </c>
      <c r="E42" s="595">
        <f>'AUX-CARGA ESTIMADA'!C27</f>
        <v>0</v>
      </c>
      <c r="F42" s="596">
        <f>'AUX-CARGA ESTIMADA'!D27</f>
        <v>0</v>
      </c>
      <c r="G42" s="597">
        <f>'AUX-CARGA ESTIMADA'!E27</f>
        <v>0</v>
      </c>
      <c r="H42" s="598">
        <f>'AUX-CARGA ESTIMADA'!F27</f>
        <v>0</v>
      </c>
      <c r="I42" s="598">
        <f>'AUX-CARGA ESTIMADA'!G27</f>
        <v>0</v>
      </c>
      <c r="J42" s="555"/>
      <c r="K42" s="599">
        <f>'AUX-CARGA ESTIMADA'!I27</f>
        <v>0</v>
      </c>
      <c r="L42" s="556">
        <f>'AUX-CARGA ESTIMADA'!J27</f>
        <v>0</v>
      </c>
      <c r="N42" s="592">
        <f>'AUX-CARGA ESTIMADA'!L27</f>
        <v>0</v>
      </c>
      <c r="O42" s="622">
        <v>0.1</v>
      </c>
      <c r="P42" s="593">
        <v>7.5</v>
      </c>
      <c r="Q42" s="540">
        <f t="shared" si="9"/>
        <v>0</v>
      </c>
      <c r="R42" s="540">
        <f t="shared" si="10"/>
        <v>1</v>
      </c>
      <c r="S42" s="584">
        <f t="shared" si="11"/>
        <v>0</v>
      </c>
      <c r="T42" s="646" t="e">
        <f t="shared" si="12"/>
        <v>#DIV/0!</v>
      </c>
      <c r="V42">
        <v>1</v>
      </c>
    </row>
    <row r="43" spans="1:22" ht="19.95" customHeight="1" x14ac:dyDescent="0.3">
      <c r="A43" s="715">
        <f>'AUX-CARGA ESTIMADA'!A28</f>
        <v>0</v>
      </c>
      <c r="B43" s="715"/>
      <c r="C43" s="555" t="s">
        <v>1158</v>
      </c>
      <c r="D43" s="594">
        <f>'AUX-CARGA ESTIMADA'!B28</f>
        <v>0</v>
      </c>
      <c r="E43" s="595">
        <f>'AUX-CARGA ESTIMADA'!C28</f>
        <v>0</v>
      </c>
      <c r="F43" s="596">
        <f>'AUX-CARGA ESTIMADA'!D28</f>
        <v>0</v>
      </c>
      <c r="G43" s="597">
        <f>'AUX-CARGA ESTIMADA'!E28</f>
        <v>0</v>
      </c>
      <c r="H43" s="598">
        <f>'AUX-CARGA ESTIMADA'!F28</f>
        <v>0</v>
      </c>
      <c r="I43" s="598">
        <f>'AUX-CARGA ESTIMADA'!G28</f>
        <v>0</v>
      </c>
      <c r="J43" s="555"/>
      <c r="K43" s="599">
        <f>'AUX-CARGA ESTIMADA'!I28</f>
        <v>0</v>
      </c>
      <c r="L43" s="556">
        <f>'AUX-CARGA ESTIMADA'!J28</f>
        <v>0</v>
      </c>
      <c r="N43" s="592">
        <f>'AUX-CARGA ESTIMADA'!L28</f>
        <v>0</v>
      </c>
      <c r="O43" s="622">
        <v>0.1</v>
      </c>
      <c r="P43" s="593">
        <v>7.5</v>
      </c>
      <c r="Q43" s="540">
        <f t="shared" si="9"/>
        <v>0</v>
      </c>
      <c r="R43" s="540">
        <f t="shared" si="10"/>
        <v>1</v>
      </c>
      <c r="S43" s="584">
        <f t="shared" si="11"/>
        <v>0</v>
      </c>
      <c r="T43" s="646" t="e">
        <f t="shared" si="12"/>
        <v>#DIV/0!</v>
      </c>
      <c r="V43">
        <v>2</v>
      </c>
    </row>
    <row r="44" spans="1:22" ht="19.95" customHeight="1" x14ac:dyDescent="0.3">
      <c r="A44" s="715">
        <f>'AUX-CARGA ESTIMADA'!A29</f>
        <v>0</v>
      </c>
      <c r="B44" s="715"/>
      <c r="C44" s="555" t="s">
        <v>1158</v>
      </c>
      <c r="D44" s="594">
        <f>'AUX-CARGA ESTIMADA'!B29</f>
        <v>0</v>
      </c>
      <c r="E44" s="595">
        <f>'AUX-CARGA ESTIMADA'!C29</f>
        <v>0</v>
      </c>
      <c r="F44" s="596">
        <f>'AUX-CARGA ESTIMADA'!D29</f>
        <v>0</v>
      </c>
      <c r="G44" s="597">
        <f>'AUX-CARGA ESTIMADA'!E29</f>
        <v>0</v>
      </c>
      <c r="H44" s="598">
        <f>'AUX-CARGA ESTIMADA'!F29</f>
        <v>0</v>
      </c>
      <c r="I44" s="598">
        <f>'AUX-CARGA ESTIMADA'!G29</f>
        <v>0</v>
      </c>
      <c r="J44" s="555"/>
      <c r="K44" s="599">
        <f>'AUX-CARGA ESTIMADA'!I29</f>
        <v>0</v>
      </c>
      <c r="L44" s="556">
        <f>'AUX-CARGA ESTIMADA'!J29</f>
        <v>0</v>
      </c>
      <c r="N44" s="592">
        <f>'AUX-CARGA ESTIMADA'!L29</f>
        <v>0</v>
      </c>
      <c r="O44" s="622">
        <v>0.1</v>
      </c>
      <c r="P44" s="593">
        <v>7.5</v>
      </c>
      <c r="Q44" s="540">
        <f t="shared" si="9"/>
        <v>0</v>
      </c>
      <c r="R44" s="540">
        <f t="shared" si="10"/>
        <v>1</v>
      </c>
      <c r="S44" s="584">
        <f t="shared" si="11"/>
        <v>0</v>
      </c>
      <c r="T44" s="646" t="e">
        <f t="shared" si="12"/>
        <v>#DIV/0!</v>
      </c>
      <c r="V44">
        <v>1</v>
      </c>
    </row>
    <row r="45" spans="1:22" ht="19.95" customHeight="1" x14ac:dyDescent="0.3">
      <c r="A45" s="715">
        <f>'AUX-CARGA ESTIMADA'!A30</f>
        <v>0</v>
      </c>
      <c r="B45" s="715"/>
      <c r="C45" s="555" t="s">
        <v>1158</v>
      </c>
      <c r="D45" s="594">
        <f>'AUX-CARGA ESTIMADA'!B30</f>
        <v>0</v>
      </c>
      <c r="E45" s="595">
        <f>'AUX-CARGA ESTIMADA'!C30</f>
        <v>0</v>
      </c>
      <c r="F45" s="596">
        <f>'AUX-CARGA ESTIMADA'!D30</f>
        <v>0</v>
      </c>
      <c r="G45" s="597">
        <f>'AUX-CARGA ESTIMADA'!E30</f>
        <v>0</v>
      </c>
      <c r="H45" s="598">
        <f>'AUX-CARGA ESTIMADA'!F30</f>
        <v>0</v>
      </c>
      <c r="I45" s="598">
        <f>'AUX-CARGA ESTIMADA'!G30</f>
        <v>0</v>
      </c>
      <c r="J45" s="555"/>
      <c r="K45" s="599">
        <f>'AUX-CARGA ESTIMADA'!I30</f>
        <v>0</v>
      </c>
      <c r="L45" s="556">
        <f>'AUX-CARGA ESTIMADA'!J30</f>
        <v>0</v>
      </c>
      <c r="N45" s="592">
        <f>'AUX-CARGA ESTIMADA'!L30</f>
        <v>0</v>
      </c>
      <c r="O45" s="622">
        <v>0.1</v>
      </c>
      <c r="P45" s="593">
        <v>7.5</v>
      </c>
      <c r="Q45" s="540">
        <f t="shared" si="9"/>
        <v>0</v>
      </c>
      <c r="R45" s="540">
        <f t="shared" si="10"/>
        <v>1</v>
      </c>
      <c r="S45" s="584">
        <f t="shared" si="11"/>
        <v>0</v>
      </c>
      <c r="T45" s="646" t="e">
        <f t="shared" si="12"/>
        <v>#DIV/0!</v>
      </c>
      <c r="V45">
        <v>8</v>
      </c>
    </row>
    <row r="46" spans="1:22" ht="19.95" customHeight="1" x14ac:dyDescent="0.3">
      <c r="A46" s="715">
        <f>'AUX-CARGA ESTIMADA'!A31</f>
        <v>0</v>
      </c>
      <c r="B46" s="715"/>
      <c r="C46" s="555" t="s">
        <v>1158</v>
      </c>
      <c r="D46" s="594">
        <f>'AUX-CARGA ESTIMADA'!B31</f>
        <v>0</v>
      </c>
      <c r="E46" s="595">
        <f>'AUX-CARGA ESTIMADA'!C31</f>
        <v>0</v>
      </c>
      <c r="F46" s="596">
        <f>'AUX-CARGA ESTIMADA'!D31</f>
        <v>0</v>
      </c>
      <c r="G46" s="597">
        <f>'AUX-CARGA ESTIMADA'!E31</f>
        <v>0</v>
      </c>
      <c r="H46" s="598">
        <f>'AUX-CARGA ESTIMADA'!F31</f>
        <v>0</v>
      </c>
      <c r="I46" s="598">
        <f>'AUX-CARGA ESTIMADA'!G31</f>
        <v>0</v>
      </c>
      <c r="J46" s="555"/>
      <c r="K46" s="599">
        <f>'AUX-CARGA ESTIMADA'!I31</f>
        <v>0</v>
      </c>
      <c r="L46" s="556">
        <f>'AUX-CARGA ESTIMADA'!J31</f>
        <v>0</v>
      </c>
      <c r="N46" s="592">
        <f>'AUX-CARGA ESTIMADA'!L31</f>
        <v>0</v>
      </c>
      <c r="O46" s="622">
        <v>0.1</v>
      </c>
      <c r="P46" s="593">
        <v>7.5</v>
      </c>
      <c r="Q46" s="540">
        <f t="shared" ref="Q46:Q48" si="13">ROUNDUP((N46*(O46+1))/P46,0)</f>
        <v>0</v>
      </c>
      <c r="R46" s="540">
        <f t="shared" ref="R46:R48" si="14">Q46+1</f>
        <v>1</v>
      </c>
      <c r="S46" s="584">
        <f t="shared" ref="S46:S48" si="15">Q46*P46</f>
        <v>0</v>
      </c>
      <c r="T46" s="646" t="e">
        <f t="shared" ref="T46:T48" si="16">S46/N46-1</f>
        <v>#DIV/0!</v>
      </c>
      <c r="V46">
        <v>1</v>
      </c>
    </row>
    <row r="47" spans="1:22" ht="19.95" customHeight="1" x14ac:dyDescent="0.3">
      <c r="A47" s="715">
        <f>'AUX-CARGA ESTIMADA'!A32</f>
        <v>0</v>
      </c>
      <c r="B47" s="715"/>
      <c r="C47" s="555" t="s">
        <v>1158</v>
      </c>
      <c r="D47" s="594">
        <f>'AUX-CARGA ESTIMADA'!B32</f>
        <v>0</v>
      </c>
      <c r="E47" s="595">
        <f>'AUX-CARGA ESTIMADA'!C32</f>
        <v>0</v>
      </c>
      <c r="F47" s="596">
        <f>'AUX-CARGA ESTIMADA'!D32</f>
        <v>0</v>
      </c>
      <c r="G47" s="597">
        <f>'AUX-CARGA ESTIMADA'!E32</f>
        <v>0</v>
      </c>
      <c r="H47" s="598">
        <f>'AUX-CARGA ESTIMADA'!F32</f>
        <v>0</v>
      </c>
      <c r="I47" s="598">
        <f>'AUX-CARGA ESTIMADA'!G32</f>
        <v>0</v>
      </c>
      <c r="J47" s="555"/>
      <c r="K47" s="599">
        <f>'AUX-CARGA ESTIMADA'!I32</f>
        <v>0</v>
      </c>
      <c r="L47" s="556">
        <f>'AUX-CARGA ESTIMADA'!J32</f>
        <v>0</v>
      </c>
      <c r="N47" s="592">
        <f>'AUX-CARGA ESTIMADA'!L32</f>
        <v>0</v>
      </c>
      <c r="O47" s="622">
        <v>0.1</v>
      </c>
      <c r="P47" s="593">
        <v>7.5</v>
      </c>
      <c r="Q47" s="540">
        <f t="shared" si="13"/>
        <v>0</v>
      </c>
      <c r="R47" s="540">
        <f t="shared" si="14"/>
        <v>1</v>
      </c>
      <c r="S47" s="584">
        <f t="shared" si="15"/>
        <v>0</v>
      </c>
      <c r="T47" s="646" t="e">
        <f t="shared" si="16"/>
        <v>#DIV/0!</v>
      </c>
      <c r="V47">
        <v>2</v>
      </c>
    </row>
    <row r="48" spans="1:22" ht="19.95" customHeight="1" x14ac:dyDescent="0.3">
      <c r="A48" s="715">
        <f>'AUX-CARGA ESTIMADA'!A33</f>
        <v>0</v>
      </c>
      <c r="B48" s="715"/>
      <c r="C48" s="555" t="s">
        <v>1158</v>
      </c>
      <c r="D48" s="594">
        <f>'AUX-CARGA ESTIMADA'!B33</f>
        <v>0</v>
      </c>
      <c r="E48" s="595">
        <f>'AUX-CARGA ESTIMADA'!C33</f>
        <v>0</v>
      </c>
      <c r="F48" s="596">
        <f>'AUX-CARGA ESTIMADA'!D33</f>
        <v>0</v>
      </c>
      <c r="G48" s="597">
        <f>'AUX-CARGA ESTIMADA'!E33</f>
        <v>0</v>
      </c>
      <c r="H48" s="598">
        <f>'AUX-CARGA ESTIMADA'!F33</f>
        <v>0</v>
      </c>
      <c r="I48" s="598">
        <f>'AUX-CARGA ESTIMADA'!G33</f>
        <v>0</v>
      </c>
      <c r="J48" s="555"/>
      <c r="K48" s="599">
        <f>'AUX-CARGA ESTIMADA'!I33</f>
        <v>0</v>
      </c>
      <c r="L48" s="556">
        <f>'AUX-CARGA ESTIMADA'!J33</f>
        <v>0</v>
      </c>
      <c r="N48" s="592">
        <f>'AUX-CARGA ESTIMADA'!L33</f>
        <v>0</v>
      </c>
      <c r="O48" s="622">
        <v>0.1</v>
      </c>
      <c r="P48" s="593">
        <v>7.5</v>
      </c>
      <c r="Q48" s="540">
        <f t="shared" si="13"/>
        <v>0</v>
      </c>
      <c r="R48" s="540">
        <f t="shared" si="14"/>
        <v>1</v>
      </c>
      <c r="S48" s="584">
        <f t="shared" si="15"/>
        <v>0</v>
      </c>
      <c r="T48" s="646" t="e">
        <f t="shared" si="16"/>
        <v>#DIV/0!</v>
      </c>
      <c r="V48">
        <v>1</v>
      </c>
    </row>
    <row r="49" spans="1:20" ht="19.95" customHeight="1" x14ac:dyDescent="0.3">
      <c r="A49" s="728" t="s">
        <v>1159</v>
      </c>
      <c r="B49" s="728"/>
      <c r="C49" s="555" t="s">
        <v>1160</v>
      </c>
      <c r="D49" s="594"/>
      <c r="E49" s="595"/>
      <c r="F49" s="596"/>
      <c r="G49" s="597"/>
      <c r="H49" s="598"/>
      <c r="I49" s="598"/>
      <c r="J49" s="555"/>
      <c r="K49" s="599">
        <f>'AUX-CARGA ESTIMADA'!I6</f>
        <v>0</v>
      </c>
      <c r="L49" s="556">
        <f>'AUX-CARGA ESTIMADA'!J6</f>
        <v>0</v>
      </c>
      <c r="N49" s="592">
        <f>'AUX-CARGA ESTIMADA'!L34</f>
        <v>0</v>
      </c>
      <c r="O49" s="622">
        <v>0.1</v>
      </c>
      <c r="P49" s="593">
        <v>7.5</v>
      </c>
      <c r="Q49" s="540">
        <f t="shared" ref="Q49:Q51" si="17">ROUNDUP((N49*(O49+1))/P49,0)</f>
        <v>0</v>
      </c>
      <c r="R49" s="540">
        <f t="shared" ref="R49:R51" si="18">Q49+1</f>
        <v>1</v>
      </c>
      <c r="S49" s="584">
        <f t="shared" ref="S49:S51" si="19">Q49*P49</f>
        <v>0</v>
      </c>
      <c r="T49" s="646" t="e">
        <f t="shared" ref="T49:T51" si="20">S49/N49-1</f>
        <v>#DIV/0!</v>
      </c>
    </row>
    <row r="50" spans="1:20" ht="19.95" customHeight="1" x14ac:dyDescent="0.3">
      <c r="A50" s="728" t="s">
        <v>1161</v>
      </c>
      <c r="B50" s="692"/>
      <c r="C50" s="555" t="s">
        <v>1160</v>
      </c>
      <c r="D50" s="594"/>
      <c r="E50" s="595"/>
      <c r="F50" s="596"/>
      <c r="G50" s="597"/>
      <c r="H50" s="598"/>
      <c r="I50" s="598"/>
      <c r="J50" s="555"/>
      <c r="K50" s="599">
        <f>'AUX-CARGA ESTIMADA'!I7</f>
        <v>0</v>
      </c>
      <c r="L50" s="556">
        <f>'AUX-CARGA ESTIMADA'!J7</f>
        <v>0</v>
      </c>
      <c r="N50" s="592">
        <f>'AUX-CARGA ESTIMADA'!L35</f>
        <v>0</v>
      </c>
      <c r="O50" s="622">
        <v>0.1</v>
      </c>
      <c r="P50" s="593">
        <v>7.5</v>
      </c>
      <c r="Q50" s="540">
        <f t="shared" si="17"/>
        <v>0</v>
      </c>
      <c r="R50" s="540">
        <f t="shared" si="18"/>
        <v>1</v>
      </c>
      <c r="S50" s="584">
        <f t="shared" si="19"/>
        <v>0</v>
      </c>
      <c r="T50" s="646" t="e">
        <f t="shared" si="20"/>
        <v>#DIV/0!</v>
      </c>
    </row>
    <row r="51" spans="1:20" ht="19.95" customHeight="1" x14ac:dyDescent="0.3">
      <c r="A51" s="728" t="s">
        <v>1161</v>
      </c>
      <c r="B51" s="692"/>
      <c r="C51" s="648" t="s">
        <v>1160</v>
      </c>
      <c r="D51" s="594"/>
      <c r="E51" s="595"/>
      <c r="F51" s="596"/>
      <c r="G51" s="597"/>
      <c r="H51" s="598"/>
      <c r="I51" s="598"/>
      <c r="J51" s="648"/>
      <c r="K51" s="649">
        <f>'AUX-CARGA ESTIMADA'!I8</f>
        <v>0</v>
      </c>
      <c r="L51" s="650">
        <f>'AUX-CARGA ESTIMADA'!J8</f>
        <v>0</v>
      </c>
      <c r="N51" s="592">
        <f>'AUX-CARGA ESTIMADA'!L36</f>
        <v>0</v>
      </c>
      <c r="O51" s="622">
        <v>0.1</v>
      </c>
      <c r="P51" s="593">
        <v>7.5</v>
      </c>
      <c r="Q51" s="540">
        <f t="shared" si="17"/>
        <v>0</v>
      </c>
      <c r="R51" s="540">
        <f t="shared" si="18"/>
        <v>1</v>
      </c>
      <c r="S51" s="584">
        <f t="shared" si="19"/>
        <v>0</v>
      </c>
      <c r="T51" s="646" t="e">
        <f t="shared" si="20"/>
        <v>#DIV/0!</v>
      </c>
    </row>
    <row r="52" spans="1:20" ht="19.95" customHeight="1" x14ac:dyDescent="0.3">
      <c r="A52" s="647" t="s">
        <v>1162</v>
      </c>
      <c r="B52" s="647"/>
      <c r="C52" s="750"/>
      <c r="D52" s="751"/>
      <c r="E52" s="751"/>
      <c r="F52" s="751"/>
      <c r="G52" s="751"/>
      <c r="H52" s="751"/>
      <c r="I52" s="751"/>
      <c r="J52" s="751"/>
      <c r="K52" s="751"/>
      <c r="L52" s="752"/>
    </row>
    <row r="53" spans="1:20" ht="19.95" customHeight="1" x14ac:dyDescent="0.3">
      <c r="A53" s="716"/>
      <c r="B53" s="716"/>
      <c r="C53" s="716"/>
      <c r="D53" s="716"/>
      <c r="E53" s="716"/>
      <c r="F53" s="716"/>
      <c r="G53" s="716"/>
      <c r="H53" s="716"/>
      <c r="I53" s="716"/>
      <c r="J53" s="716"/>
      <c r="K53" s="716"/>
      <c r="L53" s="716"/>
    </row>
    <row r="54" spans="1:20" x14ac:dyDescent="0.3">
      <c r="A54" s="729" t="s">
        <v>1163</v>
      </c>
      <c r="B54" s="677"/>
      <c r="C54" s="677"/>
      <c r="D54" s="677"/>
      <c r="E54" s="677"/>
      <c r="F54" s="677"/>
      <c r="G54" s="677"/>
      <c r="H54" s="677"/>
      <c r="I54" s="677"/>
      <c r="J54" s="677"/>
      <c r="K54" s="677"/>
      <c r="L54" s="730"/>
    </row>
    <row r="55" spans="1:20" x14ac:dyDescent="0.3">
      <c r="A55" s="731"/>
      <c r="B55" s="732"/>
      <c r="C55" s="732"/>
      <c r="D55" s="732"/>
      <c r="E55" s="732"/>
      <c r="F55" s="732"/>
      <c r="G55" s="732"/>
      <c r="H55" s="732"/>
      <c r="I55" s="732"/>
      <c r="J55" s="732"/>
      <c r="K55" s="732"/>
      <c r="L55" s="733"/>
    </row>
    <row r="56" spans="1:20" x14ac:dyDescent="0.3">
      <c r="A56" s="734"/>
      <c r="B56" s="735"/>
      <c r="C56" s="735"/>
      <c r="D56" s="735"/>
      <c r="E56" s="735"/>
      <c r="F56" s="735"/>
      <c r="G56" s="735"/>
      <c r="H56" s="735"/>
      <c r="I56" s="735"/>
      <c r="J56" s="735"/>
      <c r="K56" s="735"/>
      <c r="L56" s="736"/>
    </row>
    <row r="57" spans="1:20" x14ac:dyDescent="0.3">
      <c r="A57" s="734"/>
      <c r="B57" s="735"/>
      <c r="C57" s="735"/>
      <c r="D57" s="735"/>
      <c r="E57" s="735"/>
      <c r="F57" s="735"/>
      <c r="G57" s="735"/>
      <c r="H57" s="735"/>
      <c r="I57" s="735"/>
      <c r="J57" s="735"/>
      <c r="K57" s="735"/>
      <c r="L57" s="736"/>
    </row>
    <row r="58" spans="1:20" x14ac:dyDescent="0.3">
      <c r="A58" s="734"/>
      <c r="B58" s="735"/>
      <c r="C58" s="735"/>
      <c r="D58" s="735"/>
      <c r="E58" s="735"/>
      <c r="F58" s="735"/>
      <c r="G58" s="735"/>
      <c r="H58" s="735"/>
      <c r="I58" s="735"/>
      <c r="J58" s="735"/>
      <c r="K58" s="735"/>
      <c r="L58" s="736"/>
    </row>
    <row r="59" spans="1:20" x14ac:dyDescent="0.3">
      <c r="A59" s="734"/>
      <c r="B59" s="735"/>
      <c r="C59" s="735"/>
      <c r="D59" s="735"/>
      <c r="E59" s="735"/>
      <c r="F59" s="735"/>
      <c r="G59" s="735"/>
      <c r="H59" s="735"/>
      <c r="I59" s="735"/>
      <c r="J59" s="735"/>
      <c r="K59" s="735"/>
      <c r="L59" s="736"/>
    </row>
    <row r="60" spans="1:20" ht="15" customHeight="1" x14ac:dyDescent="0.3">
      <c r="A60" s="734"/>
      <c r="B60" s="735"/>
      <c r="C60" s="735"/>
      <c r="D60" s="735"/>
      <c r="E60" s="735"/>
      <c r="F60" s="735"/>
      <c r="G60" s="735"/>
      <c r="H60" s="735"/>
      <c r="I60" s="735"/>
      <c r="J60" s="735"/>
      <c r="K60" s="735"/>
      <c r="L60" s="736"/>
    </row>
    <row r="61" spans="1:20" x14ac:dyDescent="0.3">
      <c r="A61" s="717"/>
      <c r="B61" s="718"/>
      <c r="C61" s="718"/>
      <c r="D61" s="718"/>
      <c r="E61" s="718"/>
      <c r="F61" s="718"/>
      <c r="G61" s="718"/>
      <c r="H61" s="718"/>
      <c r="I61" s="718"/>
      <c r="J61" s="718"/>
      <c r="K61" s="718"/>
      <c r="L61" s="719"/>
    </row>
    <row r="62" spans="1:20" ht="13.95" customHeight="1" x14ac:dyDescent="0.3">
      <c r="A62" s="644"/>
      <c r="B62" s="641"/>
      <c r="C62" s="641"/>
      <c r="D62" s="641"/>
      <c r="E62" s="641"/>
      <c r="F62" s="641"/>
      <c r="G62" s="641"/>
      <c r="H62" s="641"/>
      <c r="I62" s="641"/>
      <c r="J62" s="641"/>
      <c r="K62" s="641"/>
      <c r="L62" s="645"/>
    </row>
    <row r="63" spans="1:20" x14ac:dyDescent="0.3">
      <c r="A63" s="121"/>
      <c r="F63" s="3"/>
      <c r="G63" s="395"/>
      <c r="H63" s="105"/>
      <c r="I63" s="105"/>
      <c r="J63" s="202"/>
      <c r="K63" s="557"/>
      <c r="L63" s="558"/>
    </row>
    <row r="64" spans="1:20" x14ac:dyDescent="0.3">
      <c r="A64" s="121"/>
      <c r="H64" s="105"/>
      <c r="I64" s="105"/>
      <c r="J64" s="105"/>
      <c r="K64" s="105"/>
      <c r="L64" s="558"/>
    </row>
    <row r="65" spans="1:12" x14ac:dyDescent="0.3">
      <c r="A65" s="121"/>
      <c r="H65" s="105"/>
      <c r="I65" s="105"/>
      <c r="J65" s="105"/>
      <c r="K65" s="105"/>
      <c r="L65" s="558"/>
    </row>
    <row r="66" spans="1:12" x14ac:dyDescent="0.3">
      <c r="A66" s="121"/>
      <c r="H66" s="105"/>
      <c r="I66" s="105"/>
      <c r="J66" s="105"/>
      <c r="K66" s="105"/>
      <c r="L66" s="558"/>
    </row>
    <row r="67" spans="1:12" x14ac:dyDescent="0.3">
      <c r="H67" s="105"/>
      <c r="I67" s="105"/>
      <c r="J67" s="105"/>
      <c r="K67" s="105"/>
      <c r="L67" s="558"/>
    </row>
    <row r="68" spans="1:12" x14ac:dyDescent="0.3">
      <c r="H68" s="105"/>
      <c r="I68" s="105"/>
      <c r="J68" s="105"/>
      <c r="K68" s="105"/>
      <c r="L68" s="558"/>
    </row>
    <row r="69" spans="1:12" x14ac:dyDescent="0.3">
      <c r="A69" s="720"/>
      <c r="B69" s="721"/>
      <c r="C69" s="721"/>
      <c r="D69" s="721"/>
      <c r="E69" s="721"/>
      <c r="F69" s="721"/>
      <c r="G69" s="721"/>
      <c r="H69" s="722"/>
      <c r="I69" s="722"/>
      <c r="J69" s="722"/>
      <c r="K69" s="723"/>
      <c r="L69" s="724"/>
    </row>
    <row r="70" spans="1:12" x14ac:dyDescent="0.3">
      <c r="A70" s="725" t="s">
        <v>1164</v>
      </c>
      <c r="B70" s="726"/>
      <c r="C70" s="726"/>
      <c r="D70" s="726"/>
      <c r="E70" s="726"/>
      <c r="F70" s="726"/>
      <c r="G70" s="726"/>
      <c r="H70" s="726"/>
      <c r="I70" s="291"/>
      <c r="J70" s="726"/>
      <c r="K70" s="726"/>
      <c r="L70" s="727"/>
    </row>
    <row r="71" spans="1:12" x14ac:dyDescent="0.3">
      <c r="A71" s="710" t="s">
        <v>1165</v>
      </c>
      <c r="B71" s="711"/>
      <c r="C71" s="711"/>
      <c r="D71" s="711"/>
      <c r="E71" s="711"/>
      <c r="F71" s="711"/>
      <c r="G71" s="711"/>
      <c r="H71" s="712"/>
      <c r="I71" s="563"/>
      <c r="J71" s="713" t="s">
        <v>7</v>
      </c>
      <c r="K71" s="713"/>
      <c r="L71" s="714"/>
    </row>
    <row r="72" spans="1:12" x14ac:dyDescent="0.3">
      <c r="A72" s="710" t="s">
        <v>1166</v>
      </c>
      <c r="B72" s="711"/>
      <c r="C72" s="711"/>
      <c r="D72" s="711"/>
      <c r="E72" s="711"/>
      <c r="F72" s="711"/>
      <c r="G72" s="711"/>
      <c r="H72" s="712"/>
      <c r="I72" s="563"/>
      <c r="J72" s="713" t="s">
        <v>7</v>
      </c>
      <c r="K72" s="713"/>
      <c r="L72" s="714"/>
    </row>
    <row r="73" spans="1:12" ht="15" thickBot="1" x14ac:dyDescent="0.35">
      <c r="A73" s="642" t="s">
        <v>1167</v>
      </c>
      <c r="B73" s="643"/>
      <c r="C73" s="643"/>
      <c r="D73" s="643"/>
      <c r="E73" s="643"/>
      <c r="F73" s="643"/>
      <c r="G73" s="643"/>
      <c r="H73" s="561"/>
      <c r="I73" s="561"/>
      <c r="J73" s="268" t="s">
        <v>7</v>
      </c>
      <c r="K73" s="268"/>
      <c r="L73" s="270"/>
    </row>
  </sheetData>
  <mergeCells count="65">
    <mergeCell ref="A39:B39"/>
    <mergeCell ref="A40:B40"/>
    <mergeCell ref="A46:B46"/>
    <mergeCell ref="A47:B47"/>
    <mergeCell ref="A48:B48"/>
    <mergeCell ref="A41:B41"/>
    <mergeCell ref="A42:B42"/>
    <mergeCell ref="A43:B43"/>
    <mergeCell ref="A44:B44"/>
    <mergeCell ref="A45:B45"/>
    <mergeCell ref="A37:B37"/>
    <mergeCell ref="A38:B38"/>
    <mergeCell ref="C52:L52"/>
    <mergeCell ref="A18:B18"/>
    <mergeCell ref="A50:B50"/>
    <mergeCell ref="A24:B24"/>
    <mergeCell ref="A25:B25"/>
    <mergeCell ref="A26:B26"/>
    <mergeCell ref="A27:B27"/>
    <mergeCell ref="A28:B28"/>
    <mergeCell ref="A29:B29"/>
    <mergeCell ref="A30:B30"/>
    <mergeCell ref="A21:B21"/>
    <mergeCell ref="A31:B31"/>
    <mergeCell ref="A32:B32"/>
    <mergeCell ref="A33:B33"/>
    <mergeCell ref="B9:H9"/>
    <mergeCell ref="D10:F10"/>
    <mergeCell ref="A10:B12"/>
    <mergeCell ref="D12:F12"/>
    <mergeCell ref="A36:B36"/>
    <mergeCell ref="A34:B34"/>
    <mergeCell ref="A35:B35"/>
    <mergeCell ref="A16:B16"/>
    <mergeCell ref="A17:B17"/>
    <mergeCell ref="A13:B13"/>
    <mergeCell ref="A14:B14"/>
    <mergeCell ref="D11:F11"/>
    <mergeCell ref="A72:H72"/>
    <mergeCell ref="J72:L72"/>
    <mergeCell ref="A19:B19"/>
    <mergeCell ref="A20:B20"/>
    <mergeCell ref="A53:L53"/>
    <mergeCell ref="A61:L61"/>
    <mergeCell ref="A69:L69"/>
    <mergeCell ref="A70:H70"/>
    <mergeCell ref="J70:L70"/>
    <mergeCell ref="A71:H71"/>
    <mergeCell ref="J71:L71"/>
    <mergeCell ref="A49:B49"/>
    <mergeCell ref="A22:B22"/>
    <mergeCell ref="A23:B23"/>
    <mergeCell ref="A51:B51"/>
    <mergeCell ref="A54:L60"/>
    <mergeCell ref="B7:H7"/>
    <mergeCell ref="B8:H8"/>
    <mergeCell ref="N1:Z1"/>
    <mergeCell ref="D2:G2"/>
    <mergeCell ref="D3:G3"/>
    <mergeCell ref="D4:G4"/>
    <mergeCell ref="D5:G5"/>
    <mergeCell ref="I2:L5"/>
    <mergeCell ref="H2:H5"/>
    <mergeCell ref="A1:L1"/>
    <mergeCell ref="A2:B5"/>
  </mergeCells>
  <conditionalFormatting sqref="F17:F51">
    <cfRule type="dataBar" priority="26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{4CB61DC0-4F9B-4892-8BEC-080036055C45}</x14:id>
        </ext>
      </extLst>
    </cfRule>
  </conditionalFormatting>
  <conditionalFormatting sqref="T17:T51">
    <cfRule type="dataBar" priority="26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{C5313871-4B82-49D2-83AD-8C11593ED546}</x14:id>
        </ext>
      </extLst>
    </cfRule>
  </conditionalFormatting>
  <conditionalFormatting sqref="P17:P51">
    <cfRule type="dataBar" priority="26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{F761780E-9ADD-4F8C-8025-DB2F32663DDB}</x14:id>
        </ext>
      </extLst>
    </cfRule>
  </conditionalFormatting>
  <conditionalFormatting sqref="N17:N51">
    <cfRule type="dataBar" priority="27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{E477120A-C8DB-4AFB-B14C-651105A31345}</x14:id>
        </ext>
      </extLst>
    </cfRule>
  </conditionalFormatting>
  <dataValidations count="6">
    <dataValidation type="list" allowBlank="1" showInputMessage="1" showErrorMessage="1" sqref="J70" xr:uid="{971C4B7C-9CC1-42D8-9B48-874CE8597DD5}">
      <formula1>"220V, 380V, 440V, 480V, -"</formula1>
    </dataValidation>
    <dataValidation type="list" allowBlank="1" showInputMessage="1" showErrorMessage="1" sqref="J72" xr:uid="{2B97D338-0218-43D9-90C4-812D32446DA1}">
      <formula1>"127V,220V, -,"</formula1>
    </dataValidation>
    <dataValidation type="list" allowBlank="1" showInputMessage="1" showErrorMessage="1" sqref="J71" xr:uid="{4F6F93DB-CB3E-4269-9C43-EF6837A5F653}">
      <formula1>"220V, 380V, -"</formula1>
    </dataValidation>
    <dataValidation type="list" allowBlank="1" showInputMessage="1" showErrorMessage="1" sqref="J17:J51" xr:uid="{FB1B82DB-FF7F-4CF0-940C-87BB2ED4CD90}">
      <formula1>"Lã de Rocha, Poliuretano, Poliestireno, Alvenaria, N/A"</formula1>
    </dataValidation>
    <dataValidation type="list" allowBlank="1" showInputMessage="1" showErrorMessage="1" sqref="C17:C51" xr:uid="{F0478EFE-3CDC-4456-BEC4-1257CF7C904B}">
      <formula1>"Climatizado,Ventilado,"</formula1>
    </dataValidation>
    <dataValidation type="list" allowBlank="1" showInputMessage="1" showErrorMessage="1" sqref="P17:P51" xr:uid="{FF77BAD4-A302-4CDF-8AF9-2F96461AE57B}">
      <formula1>"1,2,3,4,5,7,5,10,12,5,15,20,25,30,"</formula1>
    </dataValidation>
  </dataValidations>
  <printOptions horizontalCentered="1"/>
  <pageMargins left="0.19685039370078741" right="0.19685039370078741" top="0.19685039370078741" bottom="0.19685039370078741" header="0.19685039370078741" footer="0.19685039370078741"/>
  <pageSetup paperSize="9" scale="68" orientation="portrait" r:id="rId1"/>
  <colBreaks count="1" manualBreakCount="1">
    <brk id="12" max="1048575" man="1"/>
  </col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98657" r:id="rId4" name="Spinner 1">
              <controlPr defaultSize="0" autoPict="0">
                <anchor moveWithCells="1" sizeWithCells="1">
                  <from>
                    <xdr:col>11</xdr:col>
                    <xdr:colOff>411480</xdr:colOff>
                    <xdr:row>16</xdr:row>
                    <xdr:rowOff>22860</xdr:rowOff>
                  </from>
                  <to>
                    <xdr:col>11</xdr:col>
                    <xdr:colOff>784860</xdr:colOff>
                    <xdr:row>16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58" r:id="rId5" name="Spinner 2">
              <controlPr defaultSize="0" autoPict="0">
                <anchor moveWithCells="1" sizeWithCells="1">
                  <from>
                    <xdr:col>11</xdr:col>
                    <xdr:colOff>411480</xdr:colOff>
                    <xdr:row>17</xdr:row>
                    <xdr:rowOff>22860</xdr:rowOff>
                  </from>
                  <to>
                    <xdr:col>11</xdr:col>
                    <xdr:colOff>784860</xdr:colOff>
                    <xdr:row>17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59" r:id="rId6" name="Spinner 3">
              <controlPr defaultSize="0" autoPict="0">
                <anchor moveWithCells="1" sizeWithCells="1">
                  <from>
                    <xdr:col>11</xdr:col>
                    <xdr:colOff>411480</xdr:colOff>
                    <xdr:row>18</xdr:row>
                    <xdr:rowOff>22860</xdr:rowOff>
                  </from>
                  <to>
                    <xdr:col>11</xdr:col>
                    <xdr:colOff>784860</xdr:colOff>
                    <xdr:row>18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60" r:id="rId7" name="Spinner 4">
              <controlPr defaultSize="0" autoPict="0">
                <anchor moveWithCells="1" sizeWithCells="1">
                  <from>
                    <xdr:col>11</xdr:col>
                    <xdr:colOff>411480</xdr:colOff>
                    <xdr:row>19</xdr:row>
                    <xdr:rowOff>22860</xdr:rowOff>
                  </from>
                  <to>
                    <xdr:col>11</xdr:col>
                    <xdr:colOff>784860</xdr:colOff>
                    <xdr:row>19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61" r:id="rId8" name="Spinner 5">
              <controlPr defaultSize="0" autoPict="0">
                <anchor moveWithCells="1" sizeWithCells="1">
                  <from>
                    <xdr:col>11</xdr:col>
                    <xdr:colOff>411480</xdr:colOff>
                    <xdr:row>48</xdr:row>
                    <xdr:rowOff>0</xdr:rowOff>
                  </from>
                  <to>
                    <xdr:col>11</xdr:col>
                    <xdr:colOff>784860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62" r:id="rId9" name="Spinner 6">
              <controlPr defaultSize="0" autoPict="0">
                <anchor moveWithCells="1" sizeWithCells="1">
                  <from>
                    <xdr:col>11</xdr:col>
                    <xdr:colOff>411480</xdr:colOff>
                    <xdr:row>17</xdr:row>
                    <xdr:rowOff>22860</xdr:rowOff>
                  </from>
                  <to>
                    <xdr:col>11</xdr:col>
                    <xdr:colOff>784860</xdr:colOff>
                    <xdr:row>17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63" r:id="rId10" name="Spinner 7">
              <controlPr defaultSize="0" autoPict="0">
                <anchor moveWithCells="1" sizeWithCells="1">
                  <from>
                    <xdr:col>11</xdr:col>
                    <xdr:colOff>411480</xdr:colOff>
                    <xdr:row>18</xdr:row>
                    <xdr:rowOff>22860</xdr:rowOff>
                  </from>
                  <to>
                    <xdr:col>11</xdr:col>
                    <xdr:colOff>784860</xdr:colOff>
                    <xdr:row>18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64" r:id="rId11" name="Spinner 8">
              <controlPr defaultSize="0" autoPict="0">
                <anchor moveWithCells="1" sizeWithCells="1">
                  <from>
                    <xdr:col>11</xdr:col>
                    <xdr:colOff>411480</xdr:colOff>
                    <xdr:row>19</xdr:row>
                    <xdr:rowOff>22860</xdr:rowOff>
                  </from>
                  <to>
                    <xdr:col>11</xdr:col>
                    <xdr:colOff>784860</xdr:colOff>
                    <xdr:row>19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65" r:id="rId12" name="Spinner 9">
              <controlPr defaultSize="0" autoPict="0">
                <anchor moveWithCells="1" sizeWithCells="1">
                  <from>
                    <xdr:col>11</xdr:col>
                    <xdr:colOff>411480</xdr:colOff>
                    <xdr:row>48</xdr:row>
                    <xdr:rowOff>0</xdr:rowOff>
                  </from>
                  <to>
                    <xdr:col>11</xdr:col>
                    <xdr:colOff>784860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66" r:id="rId13" name="Spinner 10">
              <controlPr defaultSize="0" autoPict="0">
                <anchor moveWithCells="1" sizeWithCells="1">
                  <from>
                    <xdr:col>11</xdr:col>
                    <xdr:colOff>411480</xdr:colOff>
                    <xdr:row>17</xdr:row>
                    <xdr:rowOff>22860</xdr:rowOff>
                  </from>
                  <to>
                    <xdr:col>11</xdr:col>
                    <xdr:colOff>784860</xdr:colOff>
                    <xdr:row>17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67" r:id="rId14" name="Spinner 11">
              <controlPr defaultSize="0" autoPict="0">
                <anchor moveWithCells="1" sizeWithCells="1">
                  <from>
                    <xdr:col>11</xdr:col>
                    <xdr:colOff>411480</xdr:colOff>
                    <xdr:row>18</xdr:row>
                    <xdr:rowOff>22860</xdr:rowOff>
                  </from>
                  <to>
                    <xdr:col>11</xdr:col>
                    <xdr:colOff>784860</xdr:colOff>
                    <xdr:row>18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68" r:id="rId15" name="Spinner 12">
              <controlPr defaultSize="0" autoPict="0">
                <anchor moveWithCells="1" sizeWithCells="1">
                  <from>
                    <xdr:col>11</xdr:col>
                    <xdr:colOff>411480</xdr:colOff>
                    <xdr:row>17</xdr:row>
                    <xdr:rowOff>22860</xdr:rowOff>
                  </from>
                  <to>
                    <xdr:col>11</xdr:col>
                    <xdr:colOff>784860</xdr:colOff>
                    <xdr:row>17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69" r:id="rId16" name="Spinner 13">
              <controlPr defaultSize="0" autoPict="0">
                <anchor moveWithCells="1" sizeWithCells="1">
                  <from>
                    <xdr:col>11</xdr:col>
                    <xdr:colOff>411480</xdr:colOff>
                    <xdr:row>18</xdr:row>
                    <xdr:rowOff>22860</xdr:rowOff>
                  </from>
                  <to>
                    <xdr:col>11</xdr:col>
                    <xdr:colOff>784860</xdr:colOff>
                    <xdr:row>18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70" r:id="rId17" name="Spinner 14">
              <controlPr defaultSize="0" autoPict="0">
                <anchor moveWithCells="1" sizeWithCells="1">
                  <from>
                    <xdr:col>11</xdr:col>
                    <xdr:colOff>411480</xdr:colOff>
                    <xdr:row>19</xdr:row>
                    <xdr:rowOff>22860</xdr:rowOff>
                  </from>
                  <to>
                    <xdr:col>11</xdr:col>
                    <xdr:colOff>784860</xdr:colOff>
                    <xdr:row>19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71" r:id="rId18" name="Spinner 15">
              <controlPr defaultSize="0" autoPict="0">
                <anchor moveWithCells="1" sizeWithCells="1">
                  <from>
                    <xdr:col>11</xdr:col>
                    <xdr:colOff>411480</xdr:colOff>
                    <xdr:row>48</xdr:row>
                    <xdr:rowOff>0</xdr:rowOff>
                  </from>
                  <to>
                    <xdr:col>11</xdr:col>
                    <xdr:colOff>784860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72" r:id="rId19" name="Spinner 16">
              <controlPr defaultSize="0" autoPict="0">
                <anchor moveWithCells="1" sizeWithCells="1">
                  <from>
                    <xdr:col>10</xdr:col>
                    <xdr:colOff>922020</xdr:colOff>
                    <xdr:row>16</xdr:row>
                    <xdr:rowOff>7620</xdr:rowOff>
                  </from>
                  <to>
                    <xdr:col>10</xdr:col>
                    <xdr:colOff>1295400</xdr:colOff>
                    <xdr:row>16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73" r:id="rId20" name="Spinner 17">
              <controlPr defaultSize="0" autoPict="0">
                <anchor moveWithCells="1" sizeWithCells="1">
                  <from>
                    <xdr:col>10</xdr:col>
                    <xdr:colOff>922020</xdr:colOff>
                    <xdr:row>17</xdr:row>
                    <xdr:rowOff>7620</xdr:rowOff>
                  </from>
                  <to>
                    <xdr:col>10</xdr:col>
                    <xdr:colOff>1295400</xdr:colOff>
                    <xdr:row>17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74" r:id="rId21" name="Spinner 18">
              <controlPr defaultSize="0" autoPict="0">
                <anchor moveWithCells="1" sizeWithCells="1">
                  <from>
                    <xdr:col>10</xdr:col>
                    <xdr:colOff>922020</xdr:colOff>
                    <xdr:row>18</xdr:row>
                    <xdr:rowOff>7620</xdr:rowOff>
                  </from>
                  <to>
                    <xdr:col>10</xdr:col>
                    <xdr:colOff>1295400</xdr:colOff>
                    <xdr:row>18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75" r:id="rId22" name="Spinner 19">
              <controlPr defaultSize="0" autoPict="0">
                <anchor moveWithCells="1" sizeWithCells="1">
                  <from>
                    <xdr:col>10</xdr:col>
                    <xdr:colOff>922020</xdr:colOff>
                    <xdr:row>19</xdr:row>
                    <xdr:rowOff>7620</xdr:rowOff>
                  </from>
                  <to>
                    <xdr:col>10</xdr:col>
                    <xdr:colOff>1295400</xdr:colOff>
                    <xdr:row>19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77" r:id="rId23" name="Option Button 21">
              <controlPr defaultSize="0" autoFill="0" autoLine="0" autoPict="0">
                <anchor moveWithCells="1">
                  <from>
                    <xdr:col>0</xdr:col>
                    <xdr:colOff>137160</xdr:colOff>
                    <xdr:row>53</xdr:row>
                    <xdr:rowOff>175260</xdr:rowOff>
                  </from>
                  <to>
                    <xdr:col>2</xdr:col>
                    <xdr:colOff>350520</xdr:colOff>
                    <xdr:row>55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78" r:id="rId24" name="Option Button 22">
              <controlPr defaultSize="0" autoFill="0" autoLine="0" autoPict="0">
                <anchor moveWithCells="1">
                  <from>
                    <xdr:col>0</xdr:col>
                    <xdr:colOff>137160</xdr:colOff>
                    <xdr:row>54</xdr:row>
                    <xdr:rowOff>175260</xdr:rowOff>
                  </from>
                  <to>
                    <xdr:col>1</xdr:col>
                    <xdr:colOff>289560</xdr:colOff>
                    <xdr:row>56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79" r:id="rId25" name="Option Button 23">
              <controlPr defaultSize="0" autoFill="0" autoLine="0" autoPict="0">
                <anchor moveWithCells="1">
                  <from>
                    <xdr:col>0</xdr:col>
                    <xdr:colOff>144780</xdr:colOff>
                    <xdr:row>56</xdr:row>
                    <xdr:rowOff>0</xdr:rowOff>
                  </from>
                  <to>
                    <xdr:col>1</xdr:col>
                    <xdr:colOff>99060</xdr:colOff>
                    <xdr:row>57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80" r:id="rId26" name="Option Button 24">
              <controlPr defaultSize="0" autoFill="0" autoLine="0" autoPict="0">
                <anchor moveWithCells="1">
                  <from>
                    <xdr:col>0</xdr:col>
                    <xdr:colOff>144780</xdr:colOff>
                    <xdr:row>56</xdr:row>
                    <xdr:rowOff>198120</xdr:rowOff>
                  </from>
                  <to>
                    <xdr:col>2</xdr:col>
                    <xdr:colOff>312420</xdr:colOff>
                    <xdr:row>58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81" r:id="rId27" name="Group Box 25">
              <controlPr defaultSize="0" autoFill="0" autoPict="0">
                <anchor moveWithCells="1">
                  <from>
                    <xdr:col>0</xdr:col>
                    <xdr:colOff>22860</xdr:colOff>
                    <xdr:row>53</xdr:row>
                    <xdr:rowOff>22860</xdr:rowOff>
                  </from>
                  <to>
                    <xdr:col>2</xdr:col>
                    <xdr:colOff>769620</xdr:colOff>
                    <xdr:row>59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82" r:id="rId28" name="Option Button 26">
              <controlPr defaultSize="0" autoFill="0" autoLine="0" autoPict="0">
                <anchor moveWithCells="1">
                  <from>
                    <xdr:col>0</xdr:col>
                    <xdr:colOff>144780</xdr:colOff>
                    <xdr:row>57</xdr:row>
                    <xdr:rowOff>213360</xdr:rowOff>
                  </from>
                  <to>
                    <xdr:col>1</xdr:col>
                    <xdr:colOff>106680</xdr:colOff>
                    <xdr:row>59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83" r:id="rId29" name="Check Box 27">
              <controlPr defaultSize="0" autoFill="0" autoLine="0" autoPict="0">
                <anchor moveWithCells="1">
                  <from>
                    <xdr:col>5</xdr:col>
                    <xdr:colOff>60960</xdr:colOff>
                    <xdr:row>53</xdr:row>
                    <xdr:rowOff>160020</xdr:rowOff>
                  </from>
                  <to>
                    <xdr:col>6</xdr:col>
                    <xdr:colOff>327660</xdr:colOff>
                    <xdr:row>55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84" r:id="rId30" name="Check Box 28">
              <controlPr defaultSize="0" autoFill="0" autoLine="0" autoPict="0">
                <anchor moveWithCells="1">
                  <from>
                    <xdr:col>5</xdr:col>
                    <xdr:colOff>60960</xdr:colOff>
                    <xdr:row>54</xdr:row>
                    <xdr:rowOff>175260</xdr:rowOff>
                  </from>
                  <to>
                    <xdr:col>6</xdr:col>
                    <xdr:colOff>213360</xdr:colOff>
                    <xdr:row>56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85" r:id="rId31" name="Check Box 29">
              <controlPr defaultSize="0" autoFill="0" autoLine="0" autoPict="0">
                <anchor moveWithCells="1">
                  <from>
                    <xdr:col>5</xdr:col>
                    <xdr:colOff>60960</xdr:colOff>
                    <xdr:row>55</xdr:row>
                    <xdr:rowOff>175260</xdr:rowOff>
                  </from>
                  <to>
                    <xdr:col>6</xdr:col>
                    <xdr:colOff>213360</xdr:colOff>
                    <xdr:row>57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86" r:id="rId32" name="Check Box 30">
              <controlPr defaultSize="0" autoFill="0" autoLine="0" autoPict="0">
                <anchor moveWithCells="1">
                  <from>
                    <xdr:col>5</xdr:col>
                    <xdr:colOff>60960</xdr:colOff>
                    <xdr:row>56</xdr:row>
                    <xdr:rowOff>175260</xdr:rowOff>
                  </from>
                  <to>
                    <xdr:col>6</xdr:col>
                    <xdr:colOff>441960</xdr:colOff>
                    <xdr:row>58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87" r:id="rId33" name="Group Box 31">
              <controlPr defaultSize="0" autoFill="0" autoPict="0">
                <anchor moveWithCells="1">
                  <from>
                    <xdr:col>5</xdr:col>
                    <xdr:colOff>22860</xdr:colOff>
                    <xdr:row>53</xdr:row>
                    <xdr:rowOff>30480</xdr:rowOff>
                  </from>
                  <to>
                    <xdr:col>7</xdr:col>
                    <xdr:colOff>0</xdr:colOff>
                    <xdr:row>59</xdr:row>
                    <xdr:rowOff>160020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88" r:id="rId34" name="Group Box 32">
              <controlPr defaultSize="0" autoFill="0" autoPict="0">
                <anchor moveWithCells="1">
                  <from>
                    <xdr:col>3</xdr:col>
                    <xdr:colOff>22860</xdr:colOff>
                    <xdr:row>53</xdr:row>
                    <xdr:rowOff>30480</xdr:rowOff>
                  </from>
                  <to>
                    <xdr:col>5</xdr:col>
                    <xdr:colOff>0</xdr:colOff>
                    <xdr:row>59</xdr:row>
                    <xdr:rowOff>160020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89" r:id="rId35" name="Option Button 33">
              <controlPr defaultSize="0" autoFill="0" autoLine="0" autoPict="0">
                <anchor moveWithCells="1">
                  <from>
                    <xdr:col>3</xdr:col>
                    <xdr:colOff>99060</xdr:colOff>
                    <xdr:row>53</xdr:row>
                    <xdr:rowOff>152400</xdr:rowOff>
                  </from>
                  <to>
                    <xdr:col>4</xdr:col>
                    <xdr:colOff>76200</xdr:colOff>
                    <xdr:row>55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90" r:id="rId36" name="Option Button 34">
              <controlPr defaultSize="0" autoFill="0" autoLine="0" autoPict="0">
                <anchor moveWithCells="1">
                  <from>
                    <xdr:col>3</xdr:col>
                    <xdr:colOff>114300</xdr:colOff>
                    <xdr:row>54</xdr:row>
                    <xdr:rowOff>160020</xdr:rowOff>
                  </from>
                  <to>
                    <xdr:col>4</xdr:col>
                    <xdr:colOff>99060</xdr:colOff>
                    <xdr:row>56</xdr:row>
                    <xdr:rowOff>45720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91" r:id="rId37" name="Option Button 35">
              <controlPr defaultSize="0" autoFill="0" autoLine="0" autoPict="0">
                <anchor moveWithCells="1">
                  <from>
                    <xdr:col>3</xdr:col>
                    <xdr:colOff>106680</xdr:colOff>
                    <xdr:row>55</xdr:row>
                    <xdr:rowOff>160020</xdr:rowOff>
                  </from>
                  <to>
                    <xdr:col>4</xdr:col>
                    <xdr:colOff>83820</xdr:colOff>
                    <xdr:row>57</xdr:row>
                    <xdr:rowOff>45720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92" r:id="rId38" name="Check Box 36">
              <controlPr defaultSize="0" autoFill="0" autoLine="0" autoPict="0">
                <anchor moveWithCells="1">
                  <from>
                    <xdr:col>7</xdr:col>
                    <xdr:colOff>45720</xdr:colOff>
                    <xdr:row>53</xdr:row>
                    <xdr:rowOff>175260</xdr:rowOff>
                  </from>
                  <to>
                    <xdr:col>8</xdr:col>
                    <xdr:colOff>160020</xdr:colOff>
                    <xdr:row>55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93" r:id="rId39" name="Check Box 37">
              <controlPr defaultSize="0" autoFill="0" autoLine="0" autoPict="0">
                <anchor moveWithCells="1">
                  <from>
                    <xdr:col>7</xdr:col>
                    <xdr:colOff>45720</xdr:colOff>
                    <xdr:row>54</xdr:row>
                    <xdr:rowOff>160020</xdr:rowOff>
                  </from>
                  <to>
                    <xdr:col>8</xdr:col>
                    <xdr:colOff>594360</xdr:colOff>
                    <xdr:row>56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94" r:id="rId40" name="Check Box 38">
              <controlPr defaultSize="0" autoFill="0" autoLine="0" autoPict="0">
                <anchor moveWithCells="1">
                  <from>
                    <xdr:col>7</xdr:col>
                    <xdr:colOff>45720</xdr:colOff>
                    <xdr:row>55</xdr:row>
                    <xdr:rowOff>175260</xdr:rowOff>
                  </from>
                  <to>
                    <xdr:col>7</xdr:col>
                    <xdr:colOff>762000</xdr:colOff>
                    <xdr:row>57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95" r:id="rId41" name="Check Box 39">
              <controlPr defaultSize="0" autoFill="0" autoLine="0" autoPict="0">
                <anchor moveWithCells="1">
                  <from>
                    <xdr:col>7</xdr:col>
                    <xdr:colOff>45720</xdr:colOff>
                    <xdr:row>56</xdr:row>
                    <xdr:rowOff>175260</xdr:rowOff>
                  </from>
                  <to>
                    <xdr:col>8</xdr:col>
                    <xdr:colOff>30480</xdr:colOff>
                    <xdr:row>58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96" r:id="rId42" name="Group Box 40">
              <controlPr defaultSize="0" autoFill="0" autoPict="0">
                <anchor moveWithCells="1">
                  <from>
                    <xdr:col>7</xdr:col>
                    <xdr:colOff>22860</xdr:colOff>
                    <xdr:row>53</xdr:row>
                    <xdr:rowOff>38100</xdr:rowOff>
                  </from>
                  <to>
                    <xdr:col>9</xdr:col>
                    <xdr:colOff>0</xdr:colOff>
                    <xdr:row>59</xdr:row>
                    <xdr:rowOff>175260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97" r:id="rId43" name="Group Box 41">
              <controlPr defaultSize="0" autoFill="0" autoPict="0">
                <anchor moveWithCells="1">
                  <from>
                    <xdr:col>10</xdr:col>
                    <xdr:colOff>22860</xdr:colOff>
                    <xdr:row>53</xdr:row>
                    <xdr:rowOff>38100</xdr:rowOff>
                  </from>
                  <to>
                    <xdr:col>12</xdr:col>
                    <xdr:colOff>0</xdr:colOff>
                    <xdr:row>59</xdr:row>
                    <xdr:rowOff>175260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98" r:id="rId44" name="Check Box 42">
              <controlPr defaultSize="0" autoFill="0" autoLine="0" autoPict="0">
                <anchor moveWithCells="1">
                  <from>
                    <xdr:col>10</xdr:col>
                    <xdr:colOff>45720</xdr:colOff>
                    <xdr:row>53</xdr:row>
                    <xdr:rowOff>175260</xdr:rowOff>
                  </from>
                  <to>
                    <xdr:col>11</xdr:col>
                    <xdr:colOff>76200</xdr:colOff>
                    <xdr:row>55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99" r:id="rId45" name="Check Box 43">
              <controlPr defaultSize="0" autoFill="0" autoLine="0" autoPict="0">
                <anchor moveWithCells="1">
                  <from>
                    <xdr:col>10</xdr:col>
                    <xdr:colOff>45720</xdr:colOff>
                    <xdr:row>54</xdr:row>
                    <xdr:rowOff>160020</xdr:rowOff>
                  </from>
                  <to>
                    <xdr:col>11</xdr:col>
                    <xdr:colOff>137160</xdr:colOff>
                    <xdr:row>56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00" r:id="rId46" name="Check Box 44">
              <controlPr defaultSize="0" autoFill="0" autoLine="0" autoPict="0">
                <anchor moveWithCells="1">
                  <from>
                    <xdr:col>10</xdr:col>
                    <xdr:colOff>45720</xdr:colOff>
                    <xdr:row>55</xdr:row>
                    <xdr:rowOff>175260</xdr:rowOff>
                  </from>
                  <to>
                    <xdr:col>11</xdr:col>
                    <xdr:colOff>297180</xdr:colOff>
                    <xdr:row>57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01" r:id="rId47" name="Check Box 45">
              <controlPr defaultSize="0" autoFill="0" autoLine="0" autoPict="0">
                <anchor moveWithCells="1">
                  <from>
                    <xdr:col>10</xdr:col>
                    <xdr:colOff>45720</xdr:colOff>
                    <xdr:row>56</xdr:row>
                    <xdr:rowOff>175260</xdr:rowOff>
                  </from>
                  <to>
                    <xdr:col>10</xdr:col>
                    <xdr:colOff>1257300</xdr:colOff>
                    <xdr:row>58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02" r:id="rId48" name="Option Button 46">
              <controlPr defaultSize="0" autoFill="0" autoLine="0" autoPict="0">
                <anchor moveWithCells="1">
                  <from>
                    <xdr:col>0</xdr:col>
                    <xdr:colOff>137160</xdr:colOff>
                    <xdr:row>61</xdr:row>
                    <xdr:rowOff>175260</xdr:rowOff>
                  </from>
                  <to>
                    <xdr:col>2</xdr:col>
                    <xdr:colOff>617220</xdr:colOff>
                    <xdr:row>63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03" r:id="rId49" name="Option Button 47">
              <controlPr defaultSize="0" autoFill="0" autoLine="0" autoPict="0">
                <anchor moveWithCells="1">
                  <from>
                    <xdr:col>0</xdr:col>
                    <xdr:colOff>137160</xdr:colOff>
                    <xdr:row>62</xdr:row>
                    <xdr:rowOff>175260</xdr:rowOff>
                  </from>
                  <to>
                    <xdr:col>1</xdr:col>
                    <xdr:colOff>289560</xdr:colOff>
                    <xdr:row>64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04" r:id="rId50" name="Option Button 48">
              <controlPr defaultSize="0" autoFill="0" autoLine="0" autoPict="0">
                <anchor moveWithCells="1">
                  <from>
                    <xdr:col>0</xdr:col>
                    <xdr:colOff>144780</xdr:colOff>
                    <xdr:row>64</xdr:row>
                    <xdr:rowOff>0</xdr:rowOff>
                  </from>
                  <to>
                    <xdr:col>2</xdr:col>
                    <xdr:colOff>678180</xdr:colOff>
                    <xdr:row>65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05" r:id="rId51" name="Group Box 49">
              <controlPr defaultSize="0" autoFill="0" autoPict="0">
                <anchor moveWithCells="1">
                  <from>
                    <xdr:col>0</xdr:col>
                    <xdr:colOff>22860</xdr:colOff>
                    <xdr:row>61</xdr:row>
                    <xdr:rowOff>22860</xdr:rowOff>
                  </from>
                  <to>
                    <xdr:col>2</xdr:col>
                    <xdr:colOff>769620</xdr:colOff>
                    <xdr:row>67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06" r:id="rId52" name="Group Box 50">
              <controlPr defaultSize="0" autoFill="0" autoPict="0">
                <anchor moveWithCells="1">
                  <from>
                    <xdr:col>5</xdr:col>
                    <xdr:colOff>22860</xdr:colOff>
                    <xdr:row>61</xdr:row>
                    <xdr:rowOff>30480</xdr:rowOff>
                  </from>
                  <to>
                    <xdr:col>7</xdr:col>
                    <xdr:colOff>0</xdr:colOff>
                    <xdr:row>67</xdr:row>
                    <xdr:rowOff>91440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07" r:id="rId53" name="Group Box 51">
              <controlPr defaultSize="0" autoFill="0" autoPict="0">
                <anchor moveWithCells="1">
                  <from>
                    <xdr:col>3</xdr:col>
                    <xdr:colOff>22860</xdr:colOff>
                    <xdr:row>61</xdr:row>
                    <xdr:rowOff>30480</xdr:rowOff>
                  </from>
                  <to>
                    <xdr:col>5</xdr:col>
                    <xdr:colOff>0</xdr:colOff>
                    <xdr:row>67</xdr:row>
                    <xdr:rowOff>91440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08" r:id="rId54" name="Option Button 52">
              <controlPr defaultSize="0" autoFill="0" autoLine="0" autoPict="0">
                <anchor moveWithCells="1">
                  <from>
                    <xdr:col>3</xdr:col>
                    <xdr:colOff>99060</xdr:colOff>
                    <xdr:row>61</xdr:row>
                    <xdr:rowOff>152400</xdr:rowOff>
                  </from>
                  <to>
                    <xdr:col>4</xdr:col>
                    <xdr:colOff>746760</xdr:colOff>
                    <xdr:row>63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09" r:id="rId55" name="Option Button 53">
              <controlPr defaultSize="0" autoFill="0" autoLine="0" autoPict="0">
                <anchor moveWithCells="1">
                  <from>
                    <xdr:col>3</xdr:col>
                    <xdr:colOff>114300</xdr:colOff>
                    <xdr:row>62</xdr:row>
                    <xdr:rowOff>160020</xdr:rowOff>
                  </from>
                  <to>
                    <xdr:col>4</xdr:col>
                    <xdr:colOff>99060</xdr:colOff>
                    <xdr:row>64</xdr:row>
                    <xdr:rowOff>45720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10" r:id="rId56" name="Option Button 54">
              <controlPr defaultSize="0" autoFill="0" autoLine="0" autoPict="0">
                <anchor moveWithCells="1">
                  <from>
                    <xdr:col>3</xdr:col>
                    <xdr:colOff>106680</xdr:colOff>
                    <xdr:row>63</xdr:row>
                    <xdr:rowOff>160020</xdr:rowOff>
                  </from>
                  <to>
                    <xdr:col>4</xdr:col>
                    <xdr:colOff>83820</xdr:colOff>
                    <xdr:row>65</xdr:row>
                    <xdr:rowOff>45720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11" r:id="rId57" name="Check Box 55">
              <controlPr defaultSize="0" autoFill="0" autoLine="0" autoPict="0">
                <anchor moveWithCells="1">
                  <from>
                    <xdr:col>7</xdr:col>
                    <xdr:colOff>45720</xdr:colOff>
                    <xdr:row>61</xdr:row>
                    <xdr:rowOff>175260</xdr:rowOff>
                  </from>
                  <to>
                    <xdr:col>8</xdr:col>
                    <xdr:colOff>160020</xdr:colOff>
                    <xdr:row>63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12" r:id="rId58" name="Check Box 56">
              <controlPr defaultSize="0" autoFill="0" autoLine="0" autoPict="0">
                <anchor moveWithCells="1">
                  <from>
                    <xdr:col>7</xdr:col>
                    <xdr:colOff>45720</xdr:colOff>
                    <xdr:row>62</xdr:row>
                    <xdr:rowOff>160020</xdr:rowOff>
                  </from>
                  <to>
                    <xdr:col>8</xdr:col>
                    <xdr:colOff>594360</xdr:colOff>
                    <xdr:row>64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13" r:id="rId59" name="Check Box 57">
              <controlPr defaultSize="0" autoFill="0" autoLine="0" autoPict="0">
                <anchor moveWithCells="1">
                  <from>
                    <xdr:col>7</xdr:col>
                    <xdr:colOff>45720</xdr:colOff>
                    <xdr:row>63</xdr:row>
                    <xdr:rowOff>175260</xdr:rowOff>
                  </from>
                  <to>
                    <xdr:col>7</xdr:col>
                    <xdr:colOff>762000</xdr:colOff>
                    <xdr:row>65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14" r:id="rId60" name="Check Box 58">
              <controlPr defaultSize="0" autoFill="0" autoLine="0" autoPict="0">
                <anchor moveWithCells="1">
                  <from>
                    <xdr:col>7</xdr:col>
                    <xdr:colOff>45720</xdr:colOff>
                    <xdr:row>64</xdr:row>
                    <xdr:rowOff>175260</xdr:rowOff>
                  </from>
                  <to>
                    <xdr:col>8</xdr:col>
                    <xdr:colOff>30480</xdr:colOff>
                    <xdr:row>66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15" r:id="rId61" name="Group Box 59">
              <controlPr defaultSize="0" autoFill="0" autoPict="0">
                <anchor moveWithCells="1">
                  <from>
                    <xdr:col>7</xdr:col>
                    <xdr:colOff>22860</xdr:colOff>
                    <xdr:row>61</xdr:row>
                    <xdr:rowOff>38100</xdr:rowOff>
                  </from>
                  <to>
                    <xdr:col>9</xdr:col>
                    <xdr:colOff>0</xdr:colOff>
                    <xdr:row>67</xdr:row>
                    <xdr:rowOff>99060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16" r:id="rId62" name="Group Box 60">
              <controlPr defaultSize="0" autoFill="0" autoPict="0">
                <anchor moveWithCells="1">
                  <from>
                    <xdr:col>10</xdr:col>
                    <xdr:colOff>22860</xdr:colOff>
                    <xdr:row>61</xdr:row>
                    <xdr:rowOff>38100</xdr:rowOff>
                  </from>
                  <to>
                    <xdr:col>12</xdr:col>
                    <xdr:colOff>0</xdr:colOff>
                    <xdr:row>67</xdr:row>
                    <xdr:rowOff>91440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17" r:id="rId63" name="Check Box 61">
              <controlPr defaultSize="0" autoFill="0" autoLine="0" autoPict="0">
                <anchor moveWithCells="1">
                  <from>
                    <xdr:col>10</xdr:col>
                    <xdr:colOff>45720</xdr:colOff>
                    <xdr:row>61</xdr:row>
                    <xdr:rowOff>175260</xdr:rowOff>
                  </from>
                  <to>
                    <xdr:col>11</xdr:col>
                    <xdr:colOff>76200</xdr:colOff>
                    <xdr:row>63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18" r:id="rId64" name="Check Box 62">
              <controlPr defaultSize="0" autoFill="0" autoLine="0" autoPict="0">
                <anchor moveWithCells="1">
                  <from>
                    <xdr:col>10</xdr:col>
                    <xdr:colOff>45720</xdr:colOff>
                    <xdr:row>62</xdr:row>
                    <xdr:rowOff>160020</xdr:rowOff>
                  </from>
                  <to>
                    <xdr:col>11</xdr:col>
                    <xdr:colOff>137160</xdr:colOff>
                    <xdr:row>64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19" r:id="rId65" name="Check Box 63">
              <controlPr defaultSize="0" autoFill="0" autoLine="0" autoPict="0">
                <anchor moveWithCells="1">
                  <from>
                    <xdr:col>10</xdr:col>
                    <xdr:colOff>45720</xdr:colOff>
                    <xdr:row>63</xdr:row>
                    <xdr:rowOff>175260</xdr:rowOff>
                  </from>
                  <to>
                    <xdr:col>11</xdr:col>
                    <xdr:colOff>297180</xdr:colOff>
                    <xdr:row>65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20" r:id="rId66" name="Check Box 64">
              <controlPr defaultSize="0" autoFill="0" autoLine="0" autoPict="0">
                <anchor moveWithCells="1">
                  <from>
                    <xdr:col>10</xdr:col>
                    <xdr:colOff>45720</xdr:colOff>
                    <xdr:row>64</xdr:row>
                    <xdr:rowOff>175260</xdr:rowOff>
                  </from>
                  <to>
                    <xdr:col>10</xdr:col>
                    <xdr:colOff>1257300</xdr:colOff>
                    <xdr:row>66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21" r:id="rId67" name="Check Box 65">
              <controlPr defaultSize="0" autoFill="0" autoLine="0" autoPict="0">
                <anchor moveWithCells="1">
                  <from>
                    <xdr:col>0</xdr:col>
                    <xdr:colOff>175260</xdr:colOff>
                    <xdr:row>64</xdr:row>
                    <xdr:rowOff>160020</xdr:rowOff>
                  </from>
                  <to>
                    <xdr:col>2</xdr:col>
                    <xdr:colOff>769620</xdr:colOff>
                    <xdr:row>66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22" r:id="rId68" name="Check Box 66">
              <controlPr defaultSize="0" autoFill="0" autoLine="0" autoPict="0">
                <anchor moveWithCells="1">
                  <from>
                    <xdr:col>0</xdr:col>
                    <xdr:colOff>160020</xdr:colOff>
                    <xdr:row>65</xdr:row>
                    <xdr:rowOff>160020</xdr:rowOff>
                  </from>
                  <to>
                    <xdr:col>2</xdr:col>
                    <xdr:colOff>541020</xdr:colOff>
                    <xdr:row>67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23" r:id="rId69" name="Option Button 67">
              <controlPr defaultSize="0" autoFill="0" autoLine="0" autoPict="0">
                <anchor moveWithCells="1">
                  <from>
                    <xdr:col>5</xdr:col>
                    <xdr:colOff>99060</xdr:colOff>
                    <xdr:row>61</xdr:row>
                    <xdr:rowOff>152400</xdr:rowOff>
                  </from>
                  <to>
                    <xdr:col>6</xdr:col>
                    <xdr:colOff>632460</xdr:colOff>
                    <xdr:row>63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24" r:id="rId70" name="Option Button 68">
              <controlPr defaultSize="0" autoFill="0" autoLine="0" autoPict="0">
                <anchor moveWithCells="1">
                  <from>
                    <xdr:col>5</xdr:col>
                    <xdr:colOff>114300</xdr:colOff>
                    <xdr:row>62</xdr:row>
                    <xdr:rowOff>160020</xdr:rowOff>
                  </from>
                  <to>
                    <xdr:col>5</xdr:col>
                    <xdr:colOff>899160</xdr:colOff>
                    <xdr:row>64</xdr:row>
                    <xdr:rowOff>45720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25" r:id="rId71" name="Option Button 69">
              <controlPr defaultSize="0" autoFill="0" autoLine="0" autoPict="0">
                <anchor moveWithCells="1">
                  <from>
                    <xdr:col>5</xdr:col>
                    <xdr:colOff>106680</xdr:colOff>
                    <xdr:row>63</xdr:row>
                    <xdr:rowOff>160020</xdr:rowOff>
                  </from>
                  <to>
                    <xdr:col>5</xdr:col>
                    <xdr:colOff>899160</xdr:colOff>
                    <xdr:row>65</xdr:row>
                    <xdr:rowOff>45720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26" r:id="rId72" name="Option Button 70">
              <controlPr defaultSize="0" autoFill="0" autoLine="0" autoPict="0">
                <anchor moveWithCells="1">
                  <from>
                    <xdr:col>0</xdr:col>
                    <xdr:colOff>76200</xdr:colOff>
                    <xdr:row>12</xdr:row>
                    <xdr:rowOff>30480</xdr:rowOff>
                  </from>
                  <to>
                    <xdr:col>1</xdr:col>
                    <xdr:colOff>213360</xdr:colOff>
                    <xdr:row>12</xdr:row>
                    <xdr:rowOff>160020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28" r:id="rId73" name="Option Button 72">
              <controlPr defaultSize="0" autoFill="0" autoLine="0" autoPict="0">
                <anchor moveWithCells="1">
                  <from>
                    <xdr:col>0</xdr:col>
                    <xdr:colOff>76200</xdr:colOff>
                    <xdr:row>12</xdr:row>
                    <xdr:rowOff>182880</xdr:rowOff>
                  </from>
                  <to>
                    <xdr:col>1</xdr:col>
                    <xdr:colOff>228600</xdr:colOff>
                    <xdr:row>14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32" r:id="rId74" name="Spinner 76">
              <controlPr defaultSize="0" autoPict="0">
                <anchor moveWithCells="1" sizeWithCells="1">
                  <from>
                    <xdr:col>11</xdr:col>
                    <xdr:colOff>411480</xdr:colOff>
                    <xdr:row>48</xdr:row>
                    <xdr:rowOff>22860</xdr:rowOff>
                  </from>
                  <to>
                    <xdr:col>11</xdr:col>
                    <xdr:colOff>784860</xdr:colOff>
                    <xdr:row>48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33" r:id="rId75" name="Spinner 77">
              <controlPr defaultSize="0" autoPict="0">
                <anchor moveWithCells="1" sizeWithCells="1">
                  <from>
                    <xdr:col>11</xdr:col>
                    <xdr:colOff>411480</xdr:colOff>
                    <xdr:row>48</xdr:row>
                    <xdr:rowOff>22860</xdr:rowOff>
                  </from>
                  <to>
                    <xdr:col>11</xdr:col>
                    <xdr:colOff>784860</xdr:colOff>
                    <xdr:row>48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34" r:id="rId76" name="Spinner 78">
              <controlPr defaultSize="0" autoPict="0">
                <anchor moveWithCells="1" sizeWithCells="1">
                  <from>
                    <xdr:col>11</xdr:col>
                    <xdr:colOff>411480</xdr:colOff>
                    <xdr:row>48</xdr:row>
                    <xdr:rowOff>22860</xdr:rowOff>
                  </from>
                  <to>
                    <xdr:col>11</xdr:col>
                    <xdr:colOff>784860</xdr:colOff>
                    <xdr:row>48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35" r:id="rId77" name="Spinner 79">
              <controlPr defaultSize="0" autoPict="0">
                <anchor moveWithCells="1" sizeWithCells="1">
                  <from>
                    <xdr:col>10</xdr:col>
                    <xdr:colOff>922020</xdr:colOff>
                    <xdr:row>48</xdr:row>
                    <xdr:rowOff>7620</xdr:rowOff>
                  </from>
                  <to>
                    <xdr:col>10</xdr:col>
                    <xdr:colOff>1295400</xdr:colOff>
                    <xdr:row>48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36" r:id="rId78" name="Spinner 80">
              <controlPr defaultSize="0" autoPict="0">
                <anchor moveWithCells="1" sizeWithCells="1">
                  <from>
                    <xdr:col>11</xdr:col>
                    <xdr:colOff>411480</xdr:colOff>
                    <xdr:row>49</xdr:row>
                    <xdr:rowOff>22860</xdr:rowOff>
                  </from>
                  <to>
                    <xdr:col>11</xdr:col>
                    <xdr:colOff>784860</xdr:colOff>
                    <xdr:row>49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37" r:id="rId79" name="Spinner 81">
              <controlPr defaultSize="0" autoPict="0">
                <anchor moveWithCells="1" sizeWithCells="1">
                  <from>
                    <xdr:col>11</xdr:col>
                    <xdr:colOff>411480</xdr:colOff>
                    <xdr:row>49</xdr:row>
                    <xdr:rowOff>22860</xdr:rowOff>
                  </from>
                  <to>
                    <xdr:col>11</xdr:col>
                    <xdr:colOff>784860</xdr:colOff>
                    <xdr:row>49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38" r:id="rId80" name="Spinner 82">
              <controlPr defaultSize="0" autoPict="0">
                <anchor moveWithCells="1" sizeWithCells="1">
                  <from>
                    <xdr:col>11</xdr:col>
                    <xdr:colOff>411480</xdr:colOff>
                    <xdr:row>49</xdr:row>
                    <xdr:rowOff>22860</xdr:rowOff>
                  </from>
                  <to>
                    <xdr:col>11</xdr:col>
                    <xdr:colOff>784860</xdr:colOff>
                    <xdr:row>49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39" r:id="rId81" name="Spinner 83">
              <controlPr defaultSize="0" autoPict="0">
                <anchor moveWithCells="1" sizeWithCells="1">
                  <from>
                    <xdr:col>10</xdr:col>
                    <xdr:colOff>922020</xdr:colOff>
                    <xdr:row>49</xdr:row>
                    <xdr:rowOff>7620</xdr:rowOff>
                  </from>
                  <to>
                    <xdr:col>10</xdr:col>
                    <xdr:colOff>1295400</xdr:colOff>
                    <xdr:row>49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45" r:id="rId82" name="Spinner 89">
              <controlPr defaultSize="0" autoPict="0">
                <anchor moveWithCells="1" sizeWithCells="1">
                  <from>
                    <xdr:col>10</xdr:col>
                    <xdr:colOff>922020</xdr:colOff>
                    <xdr:row>17</xdr:row>
                    <xdr:rowOff>7620</xdr:rowOff>
                  </from>
                  <to>
                    <xdr:col>10</xdr:col>
                    <xdr:colOff>1295400</xdr:colOff>
                    <xdr:row>17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46" r:id="rId83" name="Spinner 90">
              <controlPr defaultSize="0" autoPict="0">
                <anchor moveWithCells="1" sizeWithCells="1">
                  <from>
                    <xdr:col>10</xdr:col>
                    <xdr:colOff>922020</xdr:colOff>
                    <xdr:row>18</xdr:row>
                    <xdr:rowOff>7620</xdr:rowOff>
                  </from>
                  <to>
                    <xdr:col>10</xdr:col>
                    <xdr:colOff>1295400</xdr:colOff>
                    <xdr:row>18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47" r:id="rId84" name="Spinner 91">
              <controlPr defaultSize="0" autoPict="0">
                <anchor moveWithCells="1" sizeWithCells="1">
                  <from>
                    <xdr:col>10</xdr:col>
                    <xdr:colOff>922020</xdr:colOff>
                    <xdr:row>19</xdr:row>
                    <xdr:rowOff>7620</xdr:rowOff>
                  </from>
                  <to>
                    <xdr:col>10</xdr:col>
                    <xdr:colOff>1295400</xdr:colOff>
                    <xdr:row>19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49" r:id="rId85" name="Spinner 93">
              <controlPr defaultSize="0" autoPict="0">
                <anchor moveWithCells="1" sizeWithCells="1">
                  <from>
                    <xdr:col>10</xdr:col>
                    <xdr:colOff>922020</xdr:colOff>
                    <xdr:row>48</xdr:row>
                    <xdr:rowOff>7620</xdr:rowOff>
                  </from>
                  <to>
                    <xdr:col>10</xdr:col>
                    <xdr:colOff>1295400</xdr:colOff>
                    <xdr:row>48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50" r:id="rId86" name="Spinner 94">
              <controlPr defaultSize="0" autoPict="0">
                <anchor moveWithCells="1" sizeWithCells="1">
                  <from>
                    <xdr:col>10</xdr:col>
                    <xdr:colOff>922020</xdr:colOff>
                    <xdr:row>49</xdr:row>
                    <xdr:rowOff>7620</xdr:rowOff>
                  </from>
                  <to>
                    <xdr:col>10</xdr:col>
                    <xdr:colOff>1295400</xdr:colOff>
                    <xdr:row>49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51" r:id="rId87" name="Spinner 95">
              <controlPr defaultSize="0" autoPict="0">
                <anchor moveWithCells="1" sizeWithCells="1">
                  <from>
                    <xdr:col>10</xdr:col>
                    <xdr:colOff>922020</xdr:colOff>
                    <xdr:row>17</xdr:row>
                    <xdr:rowOff>7620</xdr:rowOff>
                  </from>
                  <to>
                    <xdr:col>10</xdr:col>
                    <xdr:colOff>1295400</xdr:colOff>
                    <xdr:row>17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52" r:id="rId88" name="Spinner 96">
              <controlPr defaultSize="0" autoPict="0">
                <anchor moveWithCells="1" sizeWithCells="1">
                  <from>
                    <xdr:col>10</xdr:col>
                    <xdr:colOff>922020</xdr:colOff>
                    <xdr:row>18</xdr:row>
                    <xdr:rowOff>7620</xdr:rowOff>
                  </from>
                  <to>
                    <xdr:col>10</xdr:col>
                    <xdr:colOff>1295400</xdr:colOff>
                    <xdr:row>18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53" r:id="rId89" name="Spinner 97">
              <controlPr defaultSize="0" autoPict="0">
                <anchor moveWithCells="1" sizeWithCells="1">
                  <from>
                    <xdr:col>10</xdr:col>
                    <xdr:colOff>922020</xdr:colOff>
                    <xdr:row>19</xdr:row>
                    <xdr:rowOff>7620</xdr:rowOff>
                  </from>
                  <to>
                    <xdr:col>10</xdr:col>
                    <xdr:colOff>1295400</xdr:colOff>
                    <xdr:row>19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55" r:id="rId90" name="Spinner 99">
              <controlPr defaultSize="0" autoPict="0">
                <anchor moveWithCells="1" sizeWithCells="1">
                  <from>
                    <xdr:col>10</xdr:col>
                    <xdr:colOff>922020</xdr:colOff>
                    <xdr:row>48</xdr:row>
                    <xdr:rowOff>7620</xdr:rowOff>
                  </from>
                  <to>
                    <xdr:col>10</xdr:col>
                    <xdr:colOff>1295400</xdr:colOff>
                    <xdr:row>48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56" r:id="rId91" name="Spinner 100">
              <controlPr defaultSize="0" autoPict="0">
                <anchor moveWithCells="1" sizeWithCells="1">
                  <from>
                    <xdr:col>10</xdr:col>
                    <xdr:colOff>922020</xdr:colOff>
                    <xdr:row>49</xdr:row>
                    <xdr:rowOff>7620</xdr:rowOff>
                  </from>
                  <to>
                    <xdr:col>10</xdr:col>
                    <xdr:colOff>1295400</xdr:colOff>
                    <xdr:row>49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57" r:id="rId92" name="Spinner 101">
              <controlPr defaultSize="0" autoPict="0">
                <anchor moveWithCells="1" sizeWithCells="1">
                  <from>
                    <xdr:col>11</xdr:col>
                    <xdr:colOff>411480</xdr:colOff>
                    <xdr:row>17</xdr:row>
                    <xdr:rowOff>22860</xdr:rowOff>
                  </from>
                  <to>
                    <xdr:col>11</xdr:col>
                    <xdr:colOff>784860</xdr:colOff>
                    <xdr:row>17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58" r:id="rId93" name="Spinner 102">
              <controlPr defaultSize="0" autoPict="0">
                <anchor moveWithCells="1" sizeWithCells="1">
                  <from>
                    <xdr:col>11</xdr:col>
                    <xdr:colOff>411480</xdr:colOff>
                    <xdr:row>18</xdr:row>
                    <xdr:rowOff>22860</xdr:rowOff>
                  </from>
                  <to>
                    <xdr:col>11</xdr:col>
                    <xdr:colOff>784860</xdr:colOff>
                    <xdr:row>18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59" r:id="rId94" name="Spinner 103">
              <controlPr defaultSize="0" autoPict="0">
                <anchor moveWithCells="1" sizeWithCells="1">
                  <from>
                    <xdr:col>11</xdr:col>
                    <xdr:colOff>411480</xdr:colOff>
                    <xdr:row>19</xdr:row>
                    <xdr:rowOff>22860</xdr:rowOff>
                  </from>
                  <to>
                    <xdr:col>11</xdr:col>
                    <xdr:colOff>784860</xdr:colOff>
                    <xdr:row>19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60" r:id="rId95" name="Spinner 104">
              <controlPr defaultSize="0" autoPict="0">
                <anchor moveWithCells="1" sizeWithCells="1">
                  <from>
                    <xdr:col>11</xdr:col>
                    <xdr:colOff>411480</xdr:colOff>
                    <xdr:row>48</xdr:row>
                    <xdr:rowOff>0</xdr:rowOff>
                  </from>
                  <to>
                    <xdr:col>11</xdr:col>
                    <xdr:colOff>784860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61" r:id="rId96" name="Spinner 105">
              <controlPr defaultSize="0" autoPict="0">
                <anchor moveWithCells="1" sizeWithCells="1">
                  <from>
                    <xdr:col>11</xdr:col>
                    <xdr:colOff>411480</xdr:colOff>
                    <xdr:row>48</xdr:row>
                    <xdr:rowOff>22860</xdr:rowOff>
                  </from>
                  <to>
                    <xdr:col>11</xdr:col>
                    <xdr:colOff>784860</xdr:colOff>
                    <xdr:row>48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62" r:id="rId97" name="Spinner 106">
              <controlPr defaultSize="0" autoPict="0">
                <anchor moveWithCells="1" sizeWithCells="1">
                  <from>
                    <xdr:col>11</xdr:col>
                    <xdr:colOff>411480</xdr:colOff>
                    <xdr:row>49</xdr:row>
                    <xdr:rowOff>22860</xdr:rowOff>
                  </from>
                  <to>
                    <xdr:col>11</xdr:col>
                    <xdr:colOff>784860</xdr:colOff>
                    <xdr:row>49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63" r:id="rId98" name="Spinner 107">
              <controlPr defaultSize="0" autoPict="0">
                <anchor moveWithCells="1" sizeWithCells="1">
                  <from>
                    <xdr:col>10</xdr:col>
                    <xdr:colOff>922020</xdr:colOff>
                    <xdr:row>17</xdr:row>
                    <xdr:rowOff>7620</xdr:rowOff>
                  </from>
                  <to>
                    <xdr:col>10</xdr:col>
                    <xdr:colOff>1295400</xdr:colOff>
                    <xdr:row>17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64" r:id="rId99" name="Spinner 108">
              <controlPr defaultSize="0" autoPict="0">
                <anchor moveWithCells="1" sizeWithCells="1">
                  <from>
                    <xdr:col>10</xdr:col>
                    <xdr:colOff>922020</xdr:colOff>
                    <xdr:row>18</xdr:row>
                    <xdr:rowOff>7620</xdr:rowOff>
                  </from>
                  <to>
                    <xdr:col>10</xdr:col>
                    <xdr:colOff>1295400</xdr:colOff>
                    <xdr:row>18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65" r:id="rId100" name="Spinner 109">
              <controlPr defaultSize="0" autoPict="0">
                <anchor moveWithCells="1" sizeWithCells="1">
                  <from>
                    <xdr:col>10</xdr:col>
                    <xdr:colOff>922020</xdr:colOff>
                    <xdr:row>19</xdr:row>
                    <xdr:rowOff>7620</xdr:rowOff>
                  </from>
                  <to>
                    <xdr:col>10</xdr:col>
                    <xdr:colOff>1295400</xdr:colOff>
                    <xdr:row>19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67" r:id="rId101" name="Spinner 111">
              <controlPr defaultSize="0" autoPict="0">
                <anchor moveWithCells="1" sizeWithCells="1">
                  <from>
                    <xdr:col>10</xdr:col>
                    <xdr:colOff>922020</xdr:colOff>
                    <xdr:row>48</xdr:row>
                    <xdr:rowOff>7620</xdr:rowOff>
                  </from>
                  <to>
                    <xdr:col>10</xdr:col>
                    <xdr:colOff>1295400</xdr:colOff>
                    <xdr:row>48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68" r:id="rId102" name="Spinner 112">
              <controlPr defaultSize="0" autoPict="0">
                <anchor moveWithCells="1" sizeWithCells="1">
                  <from>
                    <xdr:col>10</xdr:col>
                    <xdr:colOff>922020</xdr:colOff>
                    <xdr:row>49</xdr:row>
                    <xdr:rowOff>7620</xdr:rowOff>
                  </from>
                  <to>
                    <xdr:col>10</xdr:col>
                    <xdr:colOff>1295400</xdr:colOff>
                    <xdr:row>49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69" r:id="rId103" name="Spinner 113">
              <controlPr defaultSize="0" autoPict="0">
                <anchor moveWithCells="1" sizeWithCells="1">
                  <from>
                    <xdr:col>10</xdr:col>
                    <xdr:colOff>922020</xdr:colOff>
                    <xdr:row>17</xdr:row>
                    <xdr:rowOff>7620</xdr:rowOff>
                  </from>
                  <to>
                    <xdr:col>10</xdr:col>
                    <xdr:colOff>1295400</xdr:colOff>
                    <xdr:row>17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70" r:id="rId104" name="Spinner 114">
              <controlPr defaultSize="0" autoPict="0">
                <anchor moveWithCells="1" sizeWithCells="1">
                  <from>
                    <xdr:col>10</xdr:col>
                    <xdr:colOff>922020</xdr:colOff>
                    <xdr:row>18</xdr:row>
                    <xdr:rowOff>7620</xdr:rowOff>
                  </from>
                  <to>
                    <xdr:col>10</xdr:col>
                    <xdr:colOff>1295400</xdr:colOff>
                    <xdr:row>18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71" r:id="rId105" name="Spinner 115">
              <controlPr defaultSize="0" autoPict="0">
                <anchor moveWithCells="1" sizeWithCells="1">
                  <from>
                    <xdr:col>10</xdr:col>
                    <xdr:colOff>922020</xdr:colOff>
                    <xdr:row>19</xdr:row>
                    <xdr:rowOff>7620</xdr:rowOff>
                  </from>
                  <to>
                    <xdr:col>10</xdr:col>
                    <xdr:colOff>1295400</xdr:colOff>
                    <xdr:row>19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73" r:id="rId106" name="Spinner 117">
              <controlPr defaultSize="0" autoPict="0">
                <anchor moveWithCells="1" sizeWithCells="1">
                  <from>
                    <xdr:col>10</xdr:col>
                    <xdr:colOff>922020</xdr:colOff>
                    <xdr:row>48</xdr:row>
                    <xdr:rowOff>7620</xdr:rowOff>
                  </from>
                  <to>
                    <xdr:col>10</xdr:col>
                    <xdr:colOff>1295400</xdr:colOff>
                    <xdr:row>48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74" r:id="rId107" name="Spinner 118">
              <controlPr defaultSize="0" autoPict="0">
                <anchor moveWithCells="1" sizeWithCells="1">
                  <from>
                    <xdr:col>10</xdr:col>
                    <xdr:colOff>922020</xdr:colOff>
                    <xdr:row>49</xdr:row>
                    <xdr:rowOff>7620</xdr:rowOff>
                  </from>
                  <to>
                    <xdr:col>10</xdr:col>
                    <xdr:colOff>1295400</xdr:colOff>
                    <xdr:row>49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77" r:id="rId108" name="Spinner 121">
              <controlPr defaultSize="0" autoPict="0">
                <anchor moveWithCells="1" sizeWithCells="1">
                  <from>
                    <xdr:col>11</xdr:col>
                    <xdr:colOff>411480</xdr:colOff>
                    <xdr:row>20</xdr:row>
                    <xdr:rowOff>22860</xdr:rowOff>
                  </from>
                  <to>
                    <xdr:col>11</xdr:col>
                    <xdr:colOff>784860</xdr:colOff>
                    <xdr:row>20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78" r:id="rId109" name="Spinner 122">
              <controlPr defaultSize="0" autoPict="0">
                <anchor moveWithCells="1" sizeWithCells="1">
                  <from>
                    <xdr:col>11</xdr:col>
                    <xdr:colOff>411480</xdr:colOff>
                    <xdr:row>20</xdr:row>
                    <xdr:rowOff>22860</xdr:rowOff>
                  </from>
                  <to>
                    <xdr:col>11</xdr:col>
                    <xdr:colOff>784860</xdr:colOff>
                    <xdr:row>20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79" r:id="rId110" name="Spinner 123">
              <controlPr defaultSize="0" autoPict="0">
                <anchor moveWithCells="1" sizeWithCells="1">
                  <from>
                    <xdr:col>11</xdr:col>
                    <xdr:colOff>411480</xdr:colOff>
                    <xdr:row>20</xdr:row>
                    <xdr:rowOff>22860</xdr:rowOff>
                  </from>
                  <to>
                    <xdr:col>11</xdr:col>
                    <xdr:colOff>784860</xdr:colOff>
                    <xdr:row>20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80" r:id="rId111" name="Spinner 124">
              <controlPr defaultSize="0" autoPict="0">
                <anchor moveWithCells="1" sizeWithCells="1">
                  <from>
                    <xdr:col>10</xdr:col>
                    <xdr:colOff>922020</xdr:colOff>
                    <xdr:row>20</xdr:row>
                    <xdr:rowOff>7620</xdr:rowOff>
                  </from>
                  <to>
                    <xdr:col>10</xdr:col>
                    <xdr:colOff>1295400</xdr:colOff>
                    <xdr:row>20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81" r:id="rId112" name="Spinner 125">
              <controlPr defaultSize="0" autoPict="0">
                <anchor moveWithCells="1" sizeWithCells="1">
                  <from>
                    <xdr:col>10</xdr:col>
                    <xdr:colOff>922020</xdr:colOff>
                    <xdr:row>20</xdr:row>
                    <xdr:rowOff>7620</xdr:rowOff>
                  </from>
                  <to>
                    <xdr:col>10</xdr:col>
                    <xdr:colOff>1295400</xdr:colOff>
                    <xdr:row>20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82" r:id="rId113" name="Spinner 126">
              <controlPr defaultSize="0" autoPict="0">
                <anchor moveWithCells="1" sizeWithCells="1">
                  <from>
                    <xdr:col>10</xdr:col>
                    <xdr:colOff>922020</xdr:colOff>
                    <xdr:row>20</xdr:row>
                    <xdr:rowOff>7620</xdr:rowOff>
                  </from>
                  <to>
                    <xdr:col>10</xdr:col>
                    <xdr:colOff>1295400</xdr:colOff>
                    <xdr:row>20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83" r:id="rId114" name="Spinner 127">
              <controlPr defaultSize="0" autoPict="0">
                <anchor moveWithCells="1" sizeWithCells="1">
                  <from>
                    <xdr:col>11</xdr:col>
                    <xdr:colOff>411480</xdr:colOff>
                    <xdr:row>20</xdr:row>
                    <xdr:rowOff>22860</xdr:rowOff>
                  </from>
                  <to>
                    <xdr:col>11</xdr:col>
                    <xdr:colOff>784860</xdr:colOff>
                    <xdr:row>20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84" r:id="rId115" name="Spinner 128">
              <controlPr defaultSize="0" autoPict="0">
                <anchor moveWithCells="1" sizeWithCells="1">
                  <from>
                    <xdr:col>10</xdr:col>
                    <xdr:colOff>922020</xdr:colOff>
                    <xdr:row>20</xdr:row>
                    <xdr:rowOff>7620</xdr:rowOff>
                  </from>
                  <to>
                    <xdr:col>10</xdr:col>
                    <xdr:colOff>1295400</xdr:colOff>
                    <xdr:row>20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85" r:id="rId116" name="Spinner 129">
              <controlPr defaultSize="0" autoPict="0">
                <anchor moveWithCells="1" sizeWithCells="1">
                  <from>
                    <xdr:col>10</xdr:col>
                    <xdr:colOff>922020</xdr:colOff>
                    <xdr:row>20</xdr:row>
                    <xdr:rowOff>7620</xdr:rowOff>
                  </from>
                  <to>
                    <xdr:col>10</xdr:col>
                    <xdr:colOff>1295400</xdr:colOff>
                    <xdr:row>20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86" r:id="rId117" name="Spinner 130">
              <controlPr defaultSize="0" autoPict="0">
                <anchor moveWithCells="1" sizeWithCells="1">
                  <from>
                    <xdr:col>11</xdr:col>
                    <xdr:colOff>411480</xdr:colOff>
                    <xdr:row>21</xdr:row>
                    <xdr:rowOff>22860</xdr:rowOff>
                  </from>
                  <to>
                    <xdr:col>11</xdr:col>
                    <xdr:colOff>784860</xdr:colOff>
                    <xdr:row>21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87" r:id="rId118" name="Spinner 131">
              <controlPr defaultSize="0" autoPict="0">
                <anchor moveWithCells="1" sizeWithCells="1">
                  <from>
                    <xdr:col>11</xdr:col>
                    <xdr:colOff>411480</xdr:colOff>
                    <xdr:row>21</xdr:row>
                    <xdr:rowOff>22860</xdr:rowOff>
                  </from>
                  <to>
                    <xdr:col>11</xdr:col>
                    <xdr:colOff>784860</xdr:colOff>
                    <xdr:row>21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88" r:id="rId119" name="Spinner 132">
              <controlPr defaultSize="0" autoPict="0">
                <anchor moveWithCells="1" sizeWithCells="1">
                  <from>
                    <xdr:col>11</xdr:col>
                    <xdr:colOff>411480</xdr:colOff>
                    <xdr:row>21</xdr:row>
                    <xdr:rowOff>22860</xdr:rowOff>
                  </from>
                  <to>
                    <xdr:col>11</xdr:col>
                    <xdr:colOff>784860</xdr:colOff>
                    <xdr:row>21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89" r:id="rId120" name="Spinner 133">
              <controlPr defaultSize="0" autoPict="0">
                <anchor moveWithCells="1" sizeWithCells="1">
                  <from>
                    <xdr:col>10</xdr:col>
                    <xdr:colOff>922020</xdr:colOff>
                    <xdr:row>21</xdr:row>
                    <xdr:rowOff>7620</xdr:rowOff>
                  </from>
                  <to>
                    <xdr:col>10</xdr:col>
                    <xdr:colOff>1295400</xdr:colOff>
                    <xdr:row>21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90" r:id="rId121" name="Spinner 134">
              <controlPr defaultSize="0" autoPict="0">
                <anchor moveWithCells="1" sizeWithCells="1">
                  <from>
                    <xdr:col>10</xdr:col>
                    <xdr:colOff>922020</xdr:colOff>
                    <xdr:row>21</xdr:row>
                    <xdr:rowOff>7620</xdr:rowOff>
                  </from>
                  <to>
                    <xdr:col>10</xdr:col>
                    <xdr:colOff>1295400</xdr:colOff>
                    <xdr:row>21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91" r:id="rId122" name="Spinner 135">
              <controlPr defaultSize="0" autoPict="0">
                <anchor moveWithCells="1" sizeWithCells="1">
                  <from>
                    <xdr:col>10</xdr:col>
                    <xdr:colOff>922020</xdr:colOff>
                    <xdr:row>21</xdr:row>
                    <xdr:rowOff>7620</xdr:rowOff>
                  </from>
                  <to>
                    <xdr:col>10</xdr:col>
                    <xdr:colOff>1295400</xdr:colOff>
                    <xdr:row>21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92" r:id="rId123" name="Spinner 136">
              <controlPr defaultSize="0" autoPict="0">
                <anchor moveWithCells="1" sizeWithCells="1">
                  <from>
                    <xdr:col>11</xdr:col>
                    <xdr:colOff>411480</xdr:colOff>
                    <xdr:row>21</xdr:row>
                    <xdr:rowOff>22860</xdr:rowOff>
                  </from>
                  <to>
                    <xdr:col>11</xdr:col>
                    <xdr:colOff>784860</xdr:colOff>
                    <xdr:row>21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93" r:id="rId124" name="Spinner 137">
              <controlPr defaultSize="0" autoPict="0">
                <anchor moveWithCells="1" sizeWithCells="1">
                  <from>
                    <xdr:col>10</xdr:col>
                    <xdr:colOff>922020</xdr:colOff>
                    <xdr:row>21</xdr:row>
                    <xdr:rowOff>7620</xdr:rowOff>
                  </from>
                  <to>
                    <xdr:col>10</xdr:col>
                    <xdr:colOff>1295400</xdr:colOff>
                    <xdr:row>21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94" r:id="rId125" name="Spinner 138">
              <controlPr defaultSize="0" autoPict="0">
                <anchor moveWithCells="1" sizeWithCells="1">
                  <from>
                    <xdr:col>10</xdr:col>
                    <xdr:colOff>922020</xdr:colOff>
                    <xdr:row>21</xdr:row>
                    <xdr:rowOff>7620</xdr:rowOff>
                  </from>
                  <to>
                    <xdr:col>10</xdr:col>
                    <xdr:colOff>1295400</xdr:colOff>
                    <xdr:row>21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95" r:id="rId126" name="Spinner 139">
              <controlPr defaultSize="0" autoPict="0">
                <anchor moveWithCells="1" sizeWithCells="1">
                  <from>
                    <xdr:col>11</xdr:col>
                    <xdr:colOff>411480</xdr:colOff>
                    <xdr:row>22</xdr:row>
                    <xdr:rowOff>22860</xdr:rowOff>
                  </from>
                  <to>
                    <xdr:col>11</xdr:col>
                    <xdr:colOff>784860</xdr:colOff>
                    <xdr:row>22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96" r:id="rId127" name="Spinner 140">
              <controlPr defaultSize="0" autoPict="0">
                <anchor moveWithCells="1" sizeWithCells="1">
                  <from>
                    <xdr:col>11</xdr:col>
                    <xdr:colOff>411480</xdr:colOff>
                    <xdr:row>22</xdr:row>
                    <xdr:rowOff>22860</xdr:rowOff>
                  </from>
                  <to>
                    <xdr:col>11</xdr:col>
                    <xdr:colOff>784860</xdr:colOff>
                    <xdr:row>22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97" r:id="rId128" name="Spinner 141">
              <controlPr defaultSize="0" autoPict="0">
                <anchor moveWithCells="1" sizeWithCells="1">
                  <from>
                    <xdr:col>11</xdr:col>
                    <xdr:colOff>411480</xdr:colOff>
                    <xdr:row>22</xdr:row>
                    <xdr:rowOff>22860</xdr:rowOff>
                  </from>
                  <to>
                    <xdr:col>11</xdr:col>
                    <xdr:colOff>784860</xdr:colOff>
                    <xdr:row>22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98" r:id="rId129" name="Spinner 142">
              <controlPr defaultSize="0" autoPict="0">
                <anchor moveWithCells="1" sizeWithCells="1">
                  <from>
                    <xdr:col>10</xdr:col>
                    <xdr:colOff>922020</xdr:colOff>
                    <xdr:row>22</xdr:row>
                    <xdr:rowOff>7620</xdr:rowOff>
                  </from>
                  <to>
                    <xdr:col>10</xdr:col>
                    <xdr:colOff>1295400</xdr:colOff>
                    <xdr:row>22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99" r:id="rId130" name="Spinner 143">
              <controlPr defaultSize="0" autoPict="0">
                <anchor moveWithCells="1" sizeWithCells="1">
                  <from>
                    <xdr:col>10</xdr:col>
                    <xdr:colOff>922020</xdr:colOff>
                    <xdr:row>22</xdr:row>
                    <xdr:rowOff>7620</xdr:rowOff>
                  </from>
                  <to>
                    <xdr:col>10</xdr:col>
                    <xdr:colOff>1295400</xdr:colOff>
                    <xdr:row>22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800" r:id="rId131" name="Spinner 144">
              <controlPr defaultSize="0" autoPict="0">
                <anchor moveWithCells="1" sizeWithCells="1">
                  <from>
                    <xdr:col>10</xdr:col>
                    <xdr:colOff>922020</xdr:colOff>
                    <xdr:row>22</xdr:row>
                    <xdr:rowOff>7620</xdr:rowOff>
                  </from>
                  <to>
                    <xdr:col>10</xdr:col>
                    <xdr:colOff>1295400</xdr:colOff>
                    <xdr:row>22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801" r:id="rId132" name="Spinner 145">
              <controlPr defaultSize="0" autoPict="0">
                <anchor moveWithCells="1" sizeWithCells="1">
                  <from>
                    <xdr:col>11</xdr:col>
                    <xdr:colOff>411480</xdr:colOff>
                    <xdr:row>22</xdr:row>
                    <xdr:rowOff>22860</xdr:rowOff>
                  </from>
                  <to>
                    <xdr:col>11</xdr:col>
                    <xdr:colOff>784860</xdr:colOff>
                    <xdr:row>22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802" r:id="rId133" name="Spinner 146">
              <controlPr defaultSize="0" autoPict="0">
                <anchor moveWithCells="1" sizeWithCells="1">
                  <from>
                    <xdr:col>10</xdr:col>
                    <xdr:colOff>922020</xdr:colOff>
                    <xdr:row>22</xdr:row>
                    <xdr:rowOff>7620</xdr:rowOff>
                  </from>
                  <to>
                    <xdr:col>10</xdr:col>
                    <xdr:colOff>1295400</xdr:colOff>
                    <xdr:row>22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803" r:id="rId134" name="Spinner 147">
              <controlPr defaultSize="0" autoPict="0">
                <anchor moveWithCells="1" sizeWithCells="1">
                  <from>
                    <xdr:col>10</xdr:col>
                    <xdr:colOff>922020</xdr:colOff>
                    <xdr:row>22</xdr:row>
                    <xdr:rowOff>7620</xdr:rowOff>
                  </from>
                  <to>
                    <xdr:col>10</xdr:col>
                    <xdr:colOff>1295400</xdr:colOff>
                    <xdr:row>22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804" r:id="rId135" name="Spinner 148">
              <controlPr defaultSize="0" autoPict="0">
                <anchor moveWithCells="1" sizeWithCells="1">
                  <from>
                    <xdr:col>11</xdr:col>
                    <xdr:colOff>411480</xdr:colOff>
                    <xdr:row>48</xdr:row>
                    <xdr:rowOff>0</xdr:rowOff>
                  </from>
                  <to>
                    <xdr:col>11</xdr:col>
                    <xdr:colOff>784860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805" r:id="rId136" name="Spinner 149">
              <controlPr defaultSize="0" autoPict="0">
                <anchor moveWithCells="1" sizeWithCells="1">
                  <from>
                    <xdr:col>11</xdr:col>
                    <xdr:colOff>411480</xdr:colOff>
                    <xdr:row>48</xdr:row>
                    <xdr:rowOff>0</xdr:rowOff>
                  </from>
                  <to>
                    <xdr:col>11</xdr:col>
                    <xdr:colOff>784860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806" r:id="rId137" name="Spinner 150">
              <controlPr defaultSize="0" autoPict="0">
                <anchor moveWithCells="1" sizeWithCells="1">
                  <from>
                    <xdr:col>11</xdr:col>
                    <xdr:colOff>411480</xdr:colOff>
                    <xdr:row>48</xdr:row>
                    <xdr:rowOff>0</xdr:rowOff>
                  </from>
                  <to>
                    <xdr:col>11</xdr:col>
                    <xdr:colOff>784860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810" r:id="rId138" name="Spinner 154">
              <controlPr defaultSize="0" autoPict="0">
                <anchor moveWithCells="1" sizeWithCells="1">
                  <from>
                    <xdr:col>11</xdr:col>
                    <xdr:colOff>411480</xdr:colOff>
                    <xdr:row>48</xdr:row>
                    <xdr:rowOff>0</xdr:rowOff>
                  </from>
                  <to>
                    <xdr:col>11</xdr:col>
                    <xdr:colOff>784860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814" r:id="rId139" name="Spinner 158">
              <controlPr defaultSize="0" autoPict="0">
                <anchor moveWithCells="1" sizeWithCells="1">
                  <from>
                    <xdr:col>11</xdr:col>
                    <xdr:colOff>411480</xdr:colOff>
                    <xdr:row>50</xdr:row>
                    <xdr:rowOff>22860</xdr:rowOff>
                  </from>
                  <to>
                    <xdr:col>11</xdr:col>
                    <xdr:colOff>784860</xdr:colOff>
                    <xdr:row>50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815" r:id="rId140" name="Spinner 159">
              <controlPr defaultSize="0" autoPict="0">
                <anchor moveWithCells="1" sizeWithCells="1">
                  <from>
                    <xdr:col>11</xdr:col>
                    <xdr:colOff>411480</xdr:colOff>
                    <xdr:row>50</xdr:row>
                    <xdr:rowOff>22860</xdr:rowOff>
                  </from>
                  <to>
                    <xdr:col>11</xdr:col>
                    <xdr:colOff>784860</xdr:colOff>
                    <xdr:row>50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816" r:id="rId141" name="Spinner 160">
              <controlPr defaultSize="0" autoPict="0">
                <anchor moveWithCells="1" sizeWithCells="1">
                  <from>
                    <xdr:col>11</xdr:col>
                    <xdr:colOff>411480</xdr:colOff>
                    <xdr:row>50</xdr:row>
                    <xdr:rowOff>22860</xdr:rowOff>
                  </from>
                  <to>
                    <xdr:col>11</xdr:col>
                    <xdr:colOff>784860</xdr:colOff>
                    <xdr:row>50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817" r:id="rId142" name="Spinner 161">
              <controlPr defaultSize="0" autoPict="0">
                <anchor moveWithCells="1" sizeWithCells="1">
                  <from>
                    <xdr:col>10</xdr:col>
                    <xdr:colOff>922020</xdr:colOff>
                    <xdr:row>50</xdr:row>
                    <xdr:rowOff>7620</xdr:rowOff>
                  </from>
                  <to>
                    <xdr:col>10</xdr:col>
                    <xdr:colOff>1295400</xdr:colOff>
                    <xdr:row>50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818" r:id="rId143" name="Spinner 162">
              <controlPr defaultSize="0" autoPict="0">
                <anchor moveWithCells="1" sizeWithCells="1">
                  <from>
                    <xdr:col>10</xdr:col>
                    <xdr:colOff>922020</xdr:colOff>
                    <xdr:row>50</xdr:row>
                    <xdr:rowOff>7620</xdr:rowOff>
                  </from>
                  <to>
                    <xdr:col>10</xdr:col>
                    <xdr:colOff>1295400</xdr:colOff>
                    <xdr:row>50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819" r:id="rId144" name="Spinner 163">
              <controlPr defaultSize="0" autoPict="0">
                <anchor moveWithCells="1" sizeWithCells="1">
                  <from>
                    <xdr:col>10</xdr:col>
                    <xdr:colOff>922020</xdr:colOff>
                    <xdr:row>50</xdr:row>
                    <xdr:rowOff>7620</xdr:rowOff>
                  </from>
                  <to>
                    <xdr:col>10</xdr:col>
                    <xdr:colOff>1295400</xdr:colOff>
                    <xdr:row>50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820" r:id="rId145" name="Spinner 164">
              <controlPr defaultSize="0" autoPict="0">
                <anchor moveWithCells="1" sizeWithCells="1">
                  <from>
                    <xdr:col>11</xdr:col>
                    <xdr:colOff>411480</xdr:colOff>
                    <xdr:row>50</xdr:row>
                    <xdr:rowOff>22860</xdr:rowOff>
                  </from>
                  <to>
                    <xdr:col>11</xdr:col>
                    <xdr:colOff>784860</xdr:colOff>
                    <xdr:row>50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821" r:id="rId146" name="Spinner 165">
              <controlPr defaultSize="0" autoPict="0">
                <anchor moveWithCells="1" sizeWithCells="1">
                  <from>
                    <xdr:col>10</xdr:col>
                    <xdr:colOff>922020</xdr:colOff>
                    <xdr:row>50</xdr:row>
                    <xdr:rowOff>7620</xdr:rowOff>
                  </from>
                  <to>
                    <xdr:col>10</xdr:col>
                    <xdr:colOff>1295400</xdr:colOff>
                    <xdr:row>50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822" r:id="rId147" name="Spinner 166">
              <controlPr defaultSize="0" autoPict="0">
                <anchor moveWithCells="1" sizeWithCells="1">
                  <from>
                    <xdr:col>10</xdr:col>
                    <xdr:colOff>922020</xdr:colOff>
                    <xdr:row>50</xdr:row>
                    <xdr:rowOff>7620</xdr:rowOff>
                  </from>
                  <to>
                    <xdr:col>10</xdr:col>
                    <xdr:colOff>1295400</xdr:colOff>
                    <xdr:row>50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825" r:id="rId148" name="Spinner 169">
              <controlPr defaultSize="0" autoPict="0">
                <anchor moveWithCells="1" sizeWithCells="1">
                  <from>
                    <xdr:col>10</xdr:col>
                    <xdr:colOff>922020</xdr:colOff>
                    <xdr:row>16</xdr:row>
                    <xdr:rowOff>7620</xdr:rowOff>
                  </from>
                  <to>
                    <xdr:col>10</xdr:col>
                    <xdr:colOff>1295400</xdr:colOff>
                    <xdr:row>16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826" r:id="rId149" name="Spinner 170">
              <controlPr defaultSize="0" autoPict="0">
                <anchor moveWithCells="1" sizeWithCells="1">
                  <from>
                    <xdr:col>10</xdr:col>
                    <xdr:colOff>922020</xdr:colOff>
                    <xdr:row>16</xdr:row>
                    <xdr:rowOff>7620</xdr:rowOff>
                  </from>
                  <to>
                    <xdr:col>10</xdr:col>
                    <xdr:colOff>1295400</xdr:colOff>
                    <xdr:row>16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827" r:id="rId150" name="Spinner 171">
              <controlPr defaultSize="0" autoPict="0">
                <anchor moveWithCells="1" sizeWithCells="1">
                  <from>
                    <xdr:col>10</xdr:col>
                    <xdr:colOff>922020</xdr:colOff>
                    <xdr:row>16</xdr:row>
                    <xdr:rowOff>7620</xdr:rowOff>
                  </from>
                  <to>
                    <xdr:col>10</xdr:col>
                    <xdr:colOff>1295400</xdr:colOff>
                    <xdr:row>16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828" r:id="rId151" name="Spinner 172">
              <controlPr defaultSize="0" autoPict="0">
                <anchor moveWithCells="1" sizeWithCells="1">
                  <from>
                    <xdr:col>10</xdr:col>
                    <xdr:colOff>922020</xdr:colOff>
                    <xdr:row>16</xdr:row>
                    <xdr:rowOff>7620</xdr:rowOff>
                  </from>
                  <to>
                    <xdr:col>10</xdr:col>
                    <xdr:colOff>1295400</xdr:colOff>
                    <xdr:row>16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829" r:id="rId152" name="Spinner 173">
              <controlPr defaultSize="0" autoPict="0">
                <anchor moveWithCells="1" sizeWithCells="1">
                  <from>
                    <xdr:col>10</xdr:col>
                    <xdr:colOff>922020</xdr:colOff>
                    <xdr:row>16</xdr:row>
                    <xdr:rowOff>7620</xdr:rowOff>
                  </from>
                  <to>
                    <xdr:col>10</xdr:col>
                    <xdr:colOff>1295400</xdr:colOff>
                    <xdr:row>16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830" r:id="rId153" name="Spinner 174">
              <controlPr defaultSize="0" autoPict="0">
                <anchor moveWithCells="1" sizeWithCells="1">
                  <from>
                    <xdr:col>10</xdr:col>
                    <xdr:colOff>922020</xdr:colOff>
                    <xdr:row>16</xdr:row>
                    <xdr:rowOff>7620</xdr:rowOff>
                  </from>
                  <to>
                    <xdr:col>10</xdr:col>
                    <xdr:colOff>1295400</xdr:colOff>
                    <xdr:row>16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831" r:id="rId154" name="Spinner 175">
              <controlPr defaultSize="0" autoPict="0">
                <anchor moveWithCells="1" sizeWithCells="1">
                  <from>
                    <xdr:col>10</xdr:col>
                    <xdr:colOff>922020</xdr:colOff>
                    <xdr:row>16</xdr:row>
                    <xdr:rowOff>7620</xdr:rowOff>
                  </from>
                  <to>
                    <xdr:col>10</xdr:col>
                    <xdr:colOff>1295400</xdr:colOff>
                    <xdr:row>16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832" r:id="rId155" name="Spinner 176">
              <controlPr defaultSize="0" autoPict="0">
                <anchor moveWithCells="1" sizeWithCells="1">
                  <from>
                    <xdr:col>10</xdr:col>
                    <xdr:colOff>922020</xdr:colOff>
                    <xdr:row>16</xdr:row>
                    <xdr:rowOff>7620</xdr:rowOff>
                  </from>
                  <to>
                    <xdr:col>10</xdr:col>
                    <xdr:colOff>1295400</xdr:colOff>
                    <xdr:row>16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833" r:id="rId156" name="Spinner 177">
              <controlPr defaultSize="0" autoPict="0">
                <anchor moveWithCells="1" sizeWithCells="1">
                  <from>
                    <xdr:col>10</xdr:col>
                    <xdr:colOff>922020</xdr:colOff>
                    <xdr:row>16</xdr:row>
                    <xdr:rowOff>7620</xdr:rowOff>
                  </from>
                  <to>
                    <xdr:col>10</xdr:col>
                    <xdr:colOff>1295400</xdr:colOff>
                    <xdr:row>16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834" r:id="rId157" name="Spinner 178">
              <controlPr defaultSize="0" autoPict="0">
                <anchor moveWithCells="1" sizeWithCells="1">
                  <from>
                    <xdr:col>10</xdr:col>
                    <xdr:colOff>922020</xdr:colOff>
                    <xdr:row>16</xdr:row>
                    <xdr:rowOff>7620</xdr:rowOff>
                  </from>
                  <to>
                    <xdr:col>10</xdr:col>
                    <xdr:colOff>1295400</xdr:colOff>
                    <xdr:row>16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69" r:id="rId158" name="Spinner 413">
              <controlPr defaultSize="0" autoPict="0">
                <anchor moveWithCells="1" sizeWithCells="1">
                  <from>
                    <xdr:col>11</xdr:col>
                    <xdr:colOff>411480</xdr:colOff>
                    <xdr:row>22</xdr:row>
                    <xdr:rowOff>22860</xdr:rowOff>
                  </from>
                  <to>
                    <xdr:col>11</xdr:col>
                    <xdr:colOff>784860</xdr:colOff>
                    <xdr:row>22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70" r:id="rId159" name="Spinner 414">
              <controlPr defaultSize="0" autoPict="0">
                <anchor moveWithCells="1" sizeWithCells="1">
                  <from>
                    <xdr:col>11</xdr:col>
                    <xdr:colOff>411480</xdr:colOff>
                    <xdr:row>22</xdr:row>
                    <xdr:rowOff>22860</xdr:rowOff>
                  </from>
                  <to>
                    <xdr:col>11</xdr:col>
                    <xdr:colOff>784860</xdr:colOff>
                    <xdr:row>22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71" r:id="rId160" name="Spinner 415">
              <controlPr defaultSize="0" autoPict="0">
                <anchor moveWithCells="1" sizeWithCells="1">
                  <from>
                    <xdr:col>11</xdr:col>
                    <xdr:colOff>411480</xdr:colOff>
                    <xdr:row>22</xdr:row>
                    <xdr:rowOff>22860</xdr:rowOff>
                  </from>
                  <to>
                    <xdr:col>11</xdr:col>
                    <xdr:colOff>784860</xdr:colOff>
                    <xdr:row>22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72" r:id="rId161" name="Spinner 416">
              <controlPr defaultSize="0" autoPict="0">
                <anchor moveWithCells="1" sizeWithCells="1">
                  <from>
                    <xdr:col>11</xdr:col>
                    <xdr:colOff>411480</xdr:colOff>
                    <xdr:row>22</xdr:row>
                    <xdr:rowOff>22860</xdr:rowOff>
                  </from>
                  <to>
                    <xdr:col>11</xdr:col>
                    <xdr:colOff>784860</xdr:colOff>
                    <xdr:row>22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73" r:id="rId162" name="Spinner 417">
              <controlPr defaultSize="0" autoPict="0">
                <anchor moveWithCells="1" sizeWithCells="1">
                  <from>
                    <xdr:col>11</xdr:col>
                    <xdr:colOff>411480</xdr:colOff>
                    <xdr:row>23</xdr:row>
                    <xdr:rowOff>22860</xdr:rowOff>
                  </from>
                  <to>
                    <xdr:col>11</xdr:col>
                    <xdr:colOff>784860</xdr:colOff>
                    <xdr:row>23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74" r:id="rId163" name="Spinner 418">
              <controlPr defaultSize="0" autoPict="0">
                <anchor moveWithCells="1" sizeWithCells="1">
                  <from>
                    <xdr:col>11</xdr:col>
                    <xdr:colOff>411480</xdr:colOff>
                    <xdr:row>23</xdr:row>
                    <xdr:rowOff>22860</xdr:rowOff>
                  </from>
                  <to>
                    <xdr:col>11</xdr:col>
                    <xdr:colOff>784860</xdr:colOff>
                    <xdr:row>23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75" r:id="rId164" name="Spinner 419">
              <controlPr defaultSize="0" autoPict="0">
                <anchor moveWithCells="1" sizeWithCells="1">
                  <from>
                    <xdr:col>11</xdr:col>
                    <xdr:colOff>411480</xdr:colOff>
                    <xdr:row>23</xdr:row>
                    <xdr:rowOff>22860</xdr:rowOff>
                  </from>
                  <to>
                    <xdr:col>11</xdr:col>
                    <xdr:colOff>784860</xdr:colOff>
                    <xdr:row>23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76" r:id="rId165" name="Spinner 420">
              <controlPr defaultSize="0" autoPict="0">
                <anchor moveWithCells="1" sizeWithCells="1">
                  <from>
                    <xdr:col>10</xdr:col>
                    <xdr:colOff>922020</xdr:colOff>
                    <xdr:row>23</xdr:row>
                    <xdr:rowOff>7620</xdr:rowOff>
                  </from>
                  <to>
                    <xdr:col>10</xdr:col>
                    <xdr:colOff>1295400</xdr:colOff>
                    <xdr:row>23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77" r:id="rId166" name="Spinner 421">
              <controlPr defaultSize="0" autoPict="0">
                <anchor moveWithCells="1" sizeWithCells="1">
                  <from>
                    <xdr:col>10</xdr:col>
                    <xdr:colOff>922020</xdr:colOff>
                    <xdr:row>23</xdr:row>
                    <xdr:rowOff>7620</xdr:rowOff>
                  </from>
                  <to>
                    <xdr:col>10</xdr:col>
                    <xdr:colOff>1295400</xdr:colOff>
                    <xdr:row>23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78" r:id="rId167" name="Spinner 422">
              <controlPr defaultSize="0" autoPict="0">
                <anchor moveWithCells="1" sizeWithCells="1">
                  <from>
                    <xdr:col>10</xdr:col>
                    <xdr:colOff>922020</xdr:colOff>
                    <xdr:row>23</xdr:row>
                    <xdr:rowOff>7620</xdr:rowOff>
                  </from>
                  <to>
                    <xdr:col>10</xdr:col>
                    <xdr:colOff>1295400</xdr:colOff>
                    <xdr:row>23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79" r:id="rId168" name="Spinner 423">
              <controlPr defaultSize="0" autoPict="0">
                <anchor moveWithCells="1" sizeWithCells="1">
                  <from>
                    <xdr:col>11</xdr:col>
                    <xdr:colOff>411480</xdr:colOff>
                    <xdr:row>23</xdr:row>
                    <xdr:rowOff>22860</xdr:rowOff>
                  </from>
                  <to>
                    <xdr:col>11</xdr:col>
                    <xdr:colOff>784860</xdr:colOff>
                    <xdr:row>23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80" r:id="rId169" name="Spinner 424">
              <controlPr defaultSize="0" autoPict="0">
                <anchor moveWithCells="1" sizeWithCells="1">
                  <from>
                    <xdr:col>10</xdr:col>
                    <xdr:colOff>922020</xdr:colOff>
                    <xdr:row>23</xdr:row>
                    <xdr:rowOff>7620</xdr:rowOff>
                  </from>
                  <to>
                    <xdr:col>10</xdr:col>
                    <xdr:colOff>1295400</xdr:colOff>
                    <xdr:row>23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81" r:id="rId170" name="Spinner 425">
              <controlPr defaultSize="0" autoPict="0">
                <anchor moveWithCells="1" sizeWithCells="1">
                  <from>
                    <xdr:col>10</xdr:col>
                    <xdr:colOff>922020</xdr:colOff>
                    <xdr:row>23</xdr:row>
                    <xdr:rowOff>7620</xdr:rowOff>
                  </from>
                  <to>
                    <xdr:col>10</xdr:col>
                    <xdr:colOff>1295400</xdr:colOff>
                    <xdr:row>23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82" r:id="rId171" name="Spinner 426">
              <controlPr defaultSize="0" autoPict="0">
                <anchor moveWithCells="1" sizeWithCells="1">
                  <from>
                    <xdr:col>11</xdr:col>
                    <xdr:colOff>411480</xdr:colOff>
                    <xdr:row>23</xdr:row>
                    <xdr:rowOff>22860</xdr:rowOff>
                  </from>
                  <to>
                    <xdr:col>11</xdr:col>
                    <xdr:colOff>784860</xdr:colOff>
                    <xdr:row>23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83" r:id="rId172" name="Spinner 427">
              <controlPr defaultSize="0" autoPict="0">
                <anchor moveWithCells="1" sizeWithCells="1">
                  <from>
                    <xdr:col>11</xdr:col>
                    <xdr:colOff>411480</xdr:colOff>
                    <xdr:row>23</xdr:row>
                    <xdr:rowOff>22860</xdr:rowOff>
                  </from>
                  <to>
                    <xdr:col>11</xdr:col>
                    <xdr:colOff>784860</xdr:colOff>
                    <xdr:row>23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84" r:id="rId173" name="Spinner 428">
              <controlPr defaultSize="0" autoPict="0">
                <anchor moveWithCells="1" sizeWithCells="1">
                  <from>
                    <xdr:col>11</xdr:col>
                    <xdr:colOff>411480</xdr:colOff>
                    <xdr:row>23</xdr:row>
                    <xdr:rowOff>22860</xdr:rowOff>
                  </from>
                  <to>
                    <xdr:col>11</xdr:col>
                    <xdr:colOff>784860</xdr:colOff>
                    <xdr:row>23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85" r:id="rId174" name="Spinner 429">
              <controlPr defaultSize="0" autoPict="0">
                <anchor moveWithCells="1" sizeWithCells="1">
                  <from>
                    <xdr:col>11</xdr:col>
                    <xdr:colOff>411480</xdr:colOff>
                    <xdr:row>23</xdr:row>
                    <xdr:rowOff>22860</xdr:rowOff>
                  </from>
                  <to>
                    <xdr:col>11</xdr:col>
                    <xdr:colOff>784860</xdr:colOff>
                    <xdr:row>23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86" r:id="rId175" name="Spinner 430">
              <controlPr defaultSize="0" autoPict="0">
                <anchor moveWithCells="1" sizeWithCells="1">
                  <from>
                    <xdr:col>11</xdr:col>
                    <xdr:colOff>411480</xdr:colOff>
                    <xdr:row>24</xdr:row>
                    <xdr:rowOff>22860</xdr:rowOff>
                  </from>
                  <to>
                    <xdr:col>11</xdr:col>
                    <xdr:colOff>784860</xdr:colOff>
                    <xdr:row>24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87" r:id="rId176" name="Spinner 431">
              <controlPr defaultSize="0" autoPict="0">
                <anchor moveWithCells="1" sizeWithCells="1">
                  <from>
                    <xdr:col>11</xdr:col>
                    <xdr:colOff>411480</xdr:colOff>
                    <xdr:row>24</xdr:row>
                    <xdr:rowOff>22860</xdr:rowOff>
                  </from>
                  <to>
                    <xdr:col>11</xdr:col>
                    <xdr:colOff>784860</xdr:colOff>
                    <xdr:row>24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88" r:id="rId177" name="Spinner 432">
              <controlPr defaultSize="0" autoPict="0">
                <anchor moveWithCells="1" sizeWithCells="1">
                  <from>
                    <xdr:col>11</xdr:col>
                    <xdr:colOff>411480</xdr:colOff>
                    <xdr:row>24</xdr:row>
                    <xdr:rowOff>22860</xdr:rowOff>
                  </from>
                  <to>
                    <xdr:col>11</xdr:col>
                    <xdr:colOff>784860</xdr:colOff>
                    <xdr:row>24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89" r:id="rId178" name="Spinner 433">
              <controlPr defaultSize="0" autoPict="0">
                <anchor moveWithCells="1" sizeWithCells="1">
                  <from>
                    <xdr:col>10</xdr:col>
                    <xdr:colOff>922020</xdr:colOff>
                    <xdr:row>24</xdr:row>
                    <xdr:rowOff>7620</xdr:rowOff>
                  </from>
                  <to>
                    <xdr:col>10</xdr:col>
                    <xdr:colOff>1295400</xdr:colOff>
                    <xdr:row>24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90" r:id="rId179" name="Spinner 434">
              <controlPr defaultSize="0" autoPict="0">
                <anchor moveWithCells="1" sizeWithCells="1">
                  <from>
                    <xdr:col>10</xdr:col>
                    <xdr:colOff>922020</xdr:colOff>
                    <xdr:row>24</xdr:row>
                    <xdr:rowOff>7620</xdr:rowOff>
                  </from>
                  <to>
                    <xdr:col>10</xdr:col>
                    <xdr:colOff>1295400</xdr:colOff>
                    <xdr:row>24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91" r:id="rId180" name="Spinner 435">
              <controlPr defaultSize="0" autoPict="0">
                <anchor moveWithCells="1" sizeWithCells="1">
                  <from>
                    <xdr:col>10</xdr:col>
                    <xdr:colOff>922020</xdr:colOff>
                    <xdr:row>24</xdr:row>
                    <xdr:rowOff>7620</xdr:rowOff>
                  </from>
                  <to>
                    <xdr:col>10</xdr:col>
                    <xdr:colOff>1295400</xdr:colOff>
                    <xdr:row>24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92" r:id="rId181" name="Spinner 436">
              <controlPr defaultSize="0" autoPict="0">
                <anchor moveWithCells="1" sizeWithCells="1">
                  <from>
                    <xdr:col>11</xdr:col>
                    <xdr:colOff>411480</xdr:colOff>
                    <xdr:row>24</xdr:row>
                    <xdr:rowOff>22860</xdr:rowOff>
                  </from>
                  <to>
                    <xdr:col>11</xdr:col>
                    <xdr:colOff>784860</xdr:colOff>
                    <xdr:row>24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93" r:id="rId182" name="Spinner 437">
              <controlPr defaultSize="0" autoPict="0">
                <anchor moveWithCells="1" sizeWithCells="1">
                  <from>
                    <xdr:col>10</xdr:col>
                    <xdr:colOff>922020</xdr:colOff>
                    <xdr:row>24</xdr:row>
                    <xdr:rowOff>7620</xdr:rowOff>
                  </from>
                  <to>
                    <xdr:col>10</xdr:col>
                    <xdr:colOff>1295400</xdr:colOff>
                    <xdr:row>24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94" r:id="rId183" name="Spinner 438">
              <controlPr defaultSize="0" autoPict="0">
                <anchor moveWithCells="1" sizeWithCells="1">
                  <from>
                    <xdr:col>10</xdr:col>
                    <xdr:colOff>922020</xdr:colOff>
                    <xdr:row>24</xdr:row>
                    <xdr:rowOff>7620</xdr:rowOff>
                  </from>
                  <to>
                    <xdr:col>10</xdr:col>
                    <xdr:colOff>1295400</xdr:colOff>
                    <xdr:row>24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95" r:id="rId184" name="Spinner 439">
              <controlPr defaultSize="0" autoPict="0">
                <anchor moveWithCells="1" sizeWithCells="1">
                  <from>
                    <xdr:col>11</xdr:col>
                    <xdr:colOff>411480</xdr:colOff>
                    <xdr:row>24</xdr:row>
                    <xdr:rowOff>22860</xdr:rowOff>
                  </from>
                  <to>
                    <xdr:col>11</xdr:col>
                    <xdr:colOff>784860</xdr:colOff>
                    <xdr:row>24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96" r:id="rId185" name="Spinner 440">
              <controlPr defaultSize="0" autoPict="0">
                <anchor moveWithCells="1" sizeWithCells="1">
                  <from>
                    <xdr:col>11</xdr:col>
                    <xdr:colOff>411480</xdr:colOff>
                    <xdr:row>24</xdr:row>
                    <xdr:rowOff>22860</xdr:rowOff>
                  </from>
                  <to>
                    <xdr:col>11</xdr:col>
                    <xdr:colOff>784860</xdr:colOff>
                    <xdr:row>24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97" r:id="rId186" name="Spinner 441">
              <controlPr defaultSize="0" autoPict="0">
                <anchor moveWithCells="1" sizeWithCells="1">
                  <from>
                    <xdr:col>11</xdr:col>
                    <xdr:colOff>411480</xdr:colOff>
                    <xdr:row>24</xdr:row>
                    <xdr:rowOff>22860</xdr:rowOff>
                  </from>
                  <to>
                    <xdr:col>11</xdr:col>
                    <xdr:colOff>784860</xdr:colOff>
                    <xdr:row>24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98" r:id="rId187" name="Spinner 442">
              <controlPr defaultSize="0" autoPict="0">
                <anchor moveWithCells="1" sizeWithCells="1">
                  <from>
                    <xdr:col>11</xdr:col>
                    <xdr:colOff>411480</xdr:colOff>
                    <xdr:row>24</xdr:row>
                    <xdr:rowOff>22860</xdr:rowOff>
                  </from>
                  <to>
                    <xdr:col>11</xdr:col>
                    <xdr:colOff>784860</xdr:colOff>
                    <xdr:row>24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99" r:id="rId188" name="Spinner 443">
              <controlPr defaultSize="0" autoPict="0">
                <anchor moveWithCells="1" sizeWithCells="1">
                  <from>
                    <xdr:col>11</xdr:col>
                    <xdr:colOff>411480</xdr:colOff>
                    <xdr:row>24</xdr:row>
                    <xdr:rowOff>22860</xdr:rowOff>
                  </from>
                  <to>
                    <xdr:col>11</xdr:col>
                    <xdr:colOff>784860</xdr:colOff>
                    <xdr:row>24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00" r:id="rId189" name="Spinner 444">
              <controlPr defaultSize="0" autoPict="0">
                <anchor moveWithCells="1" sizeWithCells="1">
                  <from>
                    <xdr:col>11</xdr:col>
                    <xdr:colOff>411480</xdr:colOff>
                    <xdr:row>24</xdr:row>
                    <xdr:rowOff>22860</xdr:rowOff>
                  </from>
                  <to>
                    <xdr:col>11</xdr:col>
                    <xdr:colOff>784860</xdr:colOff>
                    <xdr:row>24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01" r:id="rId190" name="Spinner 445">
              <controlPr defaultSize="0" autoPict="0">
                <anchor moveWithCells="1" sizeWithCells="1">
                  <from>
                    <xdr:col>11</xdr:col>
                    <xdr:colOff>411480</xdr:colOff>
                    <xdr:row>24</xdr:row>
                    <xdr:rowOff>22860</xdr:rowOff>
                  </from>
                  <to>
                    <xdr:col>11</xdr:col>
                    <xdr:colOff>784860</xdr:colOff>
                    <xdr:row>24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02" r:id="rId191" name="Spinner 446">
              <controlPr defaultSize="0" autoPict="0">
                <anchor moveWithCells="1" sizeWithCells="1">
                  <from>
                    <xdr:col>11</xdr:col>
                    <xdr:colOff>411480</xdr:colOff>
                    <xdr:row>24</xdr:row>
                    <xdr:rowOff>22860</xdr:rowOff>
                  </from>
                  <to>
                    <xdr:col>11</xdr:col>
                    <xdr:colOff>784860</xdr:colOff>
                    <xdr:row>24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03" r:id="rId192" name="Spinner 447">
              <controlPr defaultSize="0" autoPict="0">
                <anchor moveWithCells="1" sizeWithCells="1">
                  <from>
                    <xdr:col>11</xdr:col>
                    <xdr:colOff>411480</xdr:colOff>
                    <xdr:row>25</xdr:row>
                    <xdr:rowOff>22860</xdr:rowOff>
                  </from>
                  <to>
                    <xdr:col>11</xdr:col>
                    <xdr:colOff>784860</xdr:colOff>
                    <xdr:row>25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04" r:id="rId193" name="Spinner 448">
              <controlPr defaultSize="0" autoPict="0">
                <anchor moveWithCells="1" sizeWithCells="1">
                  <from>
                    <xdr:col>11</xdr:col>
                    <xdr:colOff>411480</xdr:colOff>
                    <xdr:row>25</xdr:row>
                    <xdr:rowOff>22860</xdr:rowOff>
                  </from>
                  <to>
                    <xdr:col>11</xdr:col>
                    <xdr:colOff>784860</xdr:colOff>
                    <xdr:row>25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05" r:id="rId194" name="Spinner 449">
              <controlPr defaultSize="0" autoPict="0">
                <anchor moveWithCells="1" sizeWithCells="1">
                  <from>
                    <xdr:col>11</xdr:col>
                    <xdr:colOff>411480</xdr:colOff>
                    <xdr:row>25</xdr:row>
                    <xdr:rowOff>22860</xdr:rowOff>
                  </from>
                  <to>
                    <xdr:col>11</xdr:col>
                    <xdr:colOff>784860</xdr:colOff>
                    <xdr:row>25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06" r:id="rId195" name="Spinner 450">
              <controlPr defaultSize="0" autoPict="0">
                <anchor moveWithCells="1" sizeWithCells="1">
                  <from>
                    <xdr:col>10</xdr:col>
                    <xdr:colOff>922020</xdr:colOff>
                    <xdr:row>25</xdr:row>
                    <xdr:rowOff>7620</xdr:rowOff>
                  </from>
                  <to>
                    <xdr:col>10</xdr:col>
                    <xdr:colOff>1295400</xdr:colOff>
                    <xdr:row>25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07" r:id="rId196" name="Spinner 451">
              <controlPr defaultSize="0" autoPict="0">
                <anchor moveWithCells="1" sizeWithCells="1">
                  <from>
                    <xdr:col>10</xdr:col>
                    <xdr:colOff>922020</xdr:colOff>
                    <xdr:row>25</xdr:row>
                    <xdr:rowOff>7620</xdr:rowOff>
                  </from>
                  <to>
                    <xdr:col>10</xdr:col>
                    <xdr:colOff>1295400</xdr:colOff>
                    <xdr:row>25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08" r:id="rId197" name="Spinner 452">
              <controlPr defaultSize="0" autoPict="0">
                <anchor moveWithCells="1" sizeWithCells="1">
                  <from>
                    <xdr:col>10</xdr:col>
                    <xdr:colOff>922020</xdr:colOff>
                    <xdr:row>25</xdr:row>
                    <xdr:rowOff>7620</xdr:rowOff>
                  </from>
                  <to>
                    <xdr:col>10</xdr:col>
                    <xdr:colOff>1295400</xdr:colOff>
                    <xdr:row>25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09" r:id="rId198" name="Spinner 453">
              <controlPr defaultSize="0" autoPict="0">
                <anchor moveWithCells="1" sizeWithCells="1">
                  <from>
                    <xdr:col>11</xdr:col>
                    <xdr:colOff>411480</xdr:colOff>
                    <xdr:row>25</xdr:row>
                    <xdr:rowOff>22860</xdr:rowOff>
                  </from>
                  <to>
                    <xdr:col>11</xdr:col>
                    <xdr:colOff>784860</xdr:colOff>
                    <xdr:row>25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10" r:id="rId199" name="Spinner 454">
              <controlPr defaultSize="0" autoPict="0">
                <anchor moveWithCells="1" sizeWithCells="1">
                  <from>
                    <xdr:col>10</xdr:col>
                    <xdr:colOff>922020</xdr:colOff>
                    <xdr:row>25</xdr:row>
                    <xdr:rowOff>7620</xdr:rowOff>
                  </from>
                  <to>
                    <xdr:col>10</xdr:col>
                    <xdr:colOff>1295400</xdr:colOff>
                    <xdr:row>25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11" r:id="rId200" name="Spinner 455">
              <controlPr defaultSize="0" autoPict="0">
                <anchor moveWithCells="1" sizeWithCells="1">
                  <from>
                    <xdr:col>10</xdr:col>
                    <xdr:colOff>922020</xdr:colOff>
                    <xdr:row>25</xdr:row>
                    <xdr:rowOff>7620</xdr:rowOff>
                  </from>
                  <to>
                    <xdr:col>10</xdr:col>
                    <xdr:colOff>1295400</xdr:colOff>
                    <xdr:row>25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12" r:id="rId201" name="Spinner 456">
              <controlPr defaultSize="0" autoPict="0">
                <anchor moveWithCells="1" sizeWithCells="1">
                  <from>
                    <xdr:col>11</xdr:col>
                    <xdr:colOff>411480</xdr:colOff>
                    <xdr:row>25</xdr:row>
                    <xdr:rowOff>22860</xdr:rowOff>
                  </from>
                  <to>
                    <xdr:col>11</xdr:col>
                    <xdr:colOff>784860</xdr:colOff>
                    <xdr:row>25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13" r:id="rId202" name="Spinner 457">
              <controlPr defaultSize="0" autoPict="0">
                <anchor moveWithCells="1" sizeWithCells="1">
                  <from>
                    <xdr:col>11</xdr:col>
                    <xdr:colOff>411480</xdr:colOff>
                    <xdr:row>25</xdr:row>
                    <xdr:rowOff>22860</xdr:rowOff>
                  </from>
                  <to>
                    <xdr:col>11</xdr:col>
                    <xdr:colOff>784860</xdr:colOff>
                    <xdr:row>25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14" r:id="rId203" name="Spinner 458">
              <controlPr defaultSize="0" autoPict="0">
                <anchor moveWithCells="1" sizeWithCells="1">
                  <from>
                    <xdr:col>11</xdr:col>
                    <xdr:colOff>411480</xdr:colOff>
                    <xdr:row>25</xdr:row>
                    <xdr:rowOff>22860</xdr:rowOff>
                  </from>
                  <to>
                    <xdr:col>11</xdr:col>
                    <xdr:colOff>784860</xdr:colOff>
                    <xdr:row>25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15" r:id="rId204" name="Spinner 459">
              <controlPr defaultSize="0" autoPict="0">
                <anchor moveWithCells="1" sizeWithCells="1">
                  <from>
                    <xdr:col>11</xdr:col>
                    <xdr:colOff>411480</xdr:colOff>
                    <xdr:row>25</xdr:row>
                    <xdr:rowOff>22860</xdr:rowOff>
                  </from>
                  <to>
                    <xdr:col>11</xdr:col>
                    <xdr:colOff>784860</xdr:colOff>
                    <xdr:row>25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16" r:id="rId205" name="Spinner 460">
              <controlPr defaultSize="0" autoPict="0">
                <anchor moveWithCells="1" sizeWithCells="1">
                  <from>
                    <xdr:col>11</xdr:col>
                    <xdr:colOff>411480</xdr:colOff>
                    <xdr:row>25</xdr:row>
                    <xdr:rowOff>22860</xdr:rowOff>
                  </from>
                  <to>
                    <xdr:col>11</xdr:col>
                    <xdr:colOff>784860</xdr:colOff>
                    <xdr:row>25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17" r:id="rId206" name="Spinner 461">
              <controlPr defaultSize="0" autoPict="0">
                <anchor moveWithCells="1" sizeWithCells="1">
                  <from>
                    <xdr:col>11</xdr:col>
                    <xdr:colOff>411480</xdr:colOff>
                    <xdr:row>25</xdr:row>
                    <xdr:rowOff>22860</xdr:rowOff>
                  </from>
                  <to>
                    <xdr:col>11</xdr:col>
                    <xdr:colOff>784860</xdr:colOff>
                    <xdr:row>25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18" r:id="rId207" name="Spinner 462">
              <controlPr defaultSize="0" autoPict="0">
                <anchor moveWithCells="1" sizeWithCells="1">
                  <from>
                    <xdr:col>11</xdr:col>
                    <xdr:colOff>411480</xdr:colOff>
                    <xdr:row>25</xdr:row>
                    <xdr:rowOff>22860</xdr:rowOff>
                  </from>
                  <to>
                    <xdr:col>11</xdr:col>
                    <xdr:colOff>784860</xdr:colOff>
                    <xdr:row>25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19" r:id="rId208" name="Spinner 463">
              <controlPr defaultSize="0" autoPict="0">
                <anchor moveWithCells="1" sizeWithCells="1">
                  <from>
                    <xdr:col>11</xdr:col>
                    <xdr:colOff>411480</xdr:colOff>
                    <xdr:row>25</xdr:row>
                    <xdr:rowOff>22860</xdr:rowOff>
                  </from>
                  <to>
                    <xdr:col>11</xdr:col>
                    <xdr:colOff>784860</xdr:colOff>
                    <xdr:row>25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20" r:id="rId209" name="Spinner 464">
              <controlPr defaultSize="0" autoPict="0">
                <anchor moveWithCells="1" sizeWithCells="1">
                  <from>
                    <xdr:col>11</xdr:col>
                    <xdr:colOff>411480</xdr:colOff>
                    <xdr:row>26</xdr:row>
                    <xdr:rowOff>22860</xdr:rowOff>
                  </from>
                  <to>
                    <xdr:col>11</xdr:col>
                    <xdr:colOff>784860</xdr:colOff>
                    <xdr:row>26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21" r:id="rId210" name="Spinner 465">
              <controlPr defaultSize="0" autoPict="0">
                <anchor moveWithCells="1" sizeWithCells="1">
                  <from>
                    <xdr:col>11</xdr:col>
                    <xdr:colOff>411480</xdr:colOff>
                    <xdr:row>26</xdr:row>
                    <xdr:rowOff>22860</xdr:rowOff>
                  </from>
                  <to>
                    <xdr:col>11</xdr:col>
                    <xdr:colOff>784860</xdr:colOff>
                    <xdr:row>26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22" r:id="rId211" name="Spinner 466">
              <controlPr defaultSize="0" autoPict="0">
                <anchor moveWithCells="1" sizeWithCells="1">
                  <from>
                    <xdr:col>11</xdr:col>
                    <xdr:colOff>411480</xdr:colOff>
                    <xdr:row>26</xdr:row>
                    <xdr:rowOff>22860</xdr:rowOff>
                  </from>
                  <to>
                    <xdr:col>11</xdr:col>
                    <xdr:colOff>784860</xdr:colOff>
                    <xdr:row>26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23" r:id="rId212" name="Spinner 467">
              <controlPr defaultSize="0" autoPict="0">
                <anchor moveWithCells="1" sizeWithCells="1">
                  <from>
                    <xdr:col>10</xdr:col>
                    <xdr:colOff>922020</xdr:colOff>
                    <xdr:row>26</xdr:row>
                    <xdr:rowOff>7620</xdr:rowOff>
                  </from>
                  <to>
                    <xdr:col>10</xdr:col>
                    <xdr:colOff>1295400</xdr:colOff>
                    <xdr:row>26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24" r:id="rId213" name="Spinner 468">
              <controlPr defaultSize="0" autoPict="0">
                <anchor moveWithCells="1" sizeWithCells="1">
                  <from>
                    <xdr:col>10</xdr:col>
                    <xdr:colOff>922020</xdr:colOff>
                    <xdr:row>26</xdr:row>
                    <xdr:rowOff>7620</xdr:rowOff>
                  </from>
                  <to>
                    <xdr:col>10</xdr:col>
                    <xdr:colOff>1295400</xdr:colOff>
                    <xdr:row>26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25" r:id="rId214" name="Spinner 469">
              <controlPr defaultSize="0" autoPict="0">
                <anchor moveWithCells="1" sizeWithCells="1">
                  <from>
                    <xdr:col>10</xdr:col>
                    <xdr:colOff>922020</xdr:colOff>
                    <xdr:row>26</xdr:row>
                    <xdr:rowOff>7620</xdr:rowOff>
                  </from>
                  <to>
                    <xdr:col>10</xdr:col>
                    <xdr:colOff>1295400</xdr:colOff>
                    <xdr:row>26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26" r:id="rId215" name="Spinner 470">
              <controlPr defaultSize="0" autoPict="0">
                <anchor moveWithCells="1" sizeWithCells="1">
                  <from>
                    <xdr:col>11</xdr:col>
                    <xdr:colOff>411480</xdr:colOff>
                    <xdr:row>26</xdr:row>
                    <xdr:rowOff>22860</xdr:rowOff>
                  </from>
                  <to>
                    <xdr:col>11</xdr:col>
                    <xdr:colOff>784860</xdr:colOff>
                    <xdr:row>26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27" r:id="rId216" name="Spinner 471">
              <controlPr defaultSize="0" autoPict="0">
                <anchor moveWithCells="1" sizeWithCells="1">
                  <from>
                    <xdr:col>10</xdr:col>
                    <xdr:colOff>922020</xdr:colOff>
                    <xdr:row>26</xdr:row>
                    <xdr:rowOff>7620</xdr:rowOff>
                  </from>
                  <to>
                    <xdr:col>10</xdr:col>
                    <xdr:colOff>1295400</xdr:colOff>
                    <xdr:row>26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28" r:id="rId217" name="Spinner 472">
              <controlPr defaultSize="0" autoPict="0">
                <anchor moveWithCells="1" sizeWithCells="1">
                  <from>
                    <xdr:col>10</xdr:col>
                    <xdr:colOff>922020</xdr:colOff>
                    <xdr:row>26</xdr:row>
                    <xdr:rowOff>7620</xdr:rowOff>
                  </from>
                  <to>
                    <xdr:col>10</xdr:col>
                    <xdr:colOff>1295400</xdr:colOff>
                    <xdr:row>26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29" r:id="rId218" name="Spinner 473">
              <controlPr defaultSize="0" autoPict="0">
                <anchor moveWithCells="1" sizeWithCells="1">
                  <from>
                    <xdr:col>11</xdr:col>
                    <xdr:colOff>411480</xdr:colOff>
                    <xdr:row>26</xdr:row>
                    <xdr:rowOff>22860</xdr:rowOff>
                  </from>
                  <to>
                    <xdr:col>11</xdr:col>
                    <xdr:colOff>784860</xdr:colOff>
                    <xdr:row>26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30" r:id="rId219" name="Spinner 474">
              <controlPr defaultSize="0" autoPict="0">
                <anchor moveWithCells="1" sizeWithCells="1">
                  <from>
                    <xdr:col>11</xdr:col>
                    <xdr:colOff>411480</xdr:colOff>
                    <xdr:row>26</xdr:row>
                    <xdr:rowOff>22860</xdr:rowOff>
                  </from>
                  <to>
                    <xdr:col>11</xdr:col>
                    <xdr:colOff>784860</xdr:colOff>
                    <xdr:row>26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31" r:id="rId220" name="Spinner 475">
              <controlPr defaultSize="0" autoPict="0">
                <anchor moveWithCells="1" sizeWithCells="1">
                  <from>
                    <xdr:col>11</xdr:col>
                    <xdr:colOff>411480</xdr:colOff>
                    <xdr:row>26</xdr:row>
                    <xdr:rowOff>22860</xdr:rowOff>
                  </from>
                  <to>
                    <xdr:col>11</xdr:col>
                    <xdr:colOff>784860</xdr:colOff>
                    <xdr:row>26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32" r:id="rId221" name="Spinner 476">
              <controlPr defaultSize="0" autoPict="0">
                <anchor moveWithCells="1" sizeWithCells="1">
                  <from>
                    <xdr:col>11</xdr:col>
                    <xdr:colOff>411480</xdr:colOff>
                    <xdr:row>26</xdr:row>
                    <xdr:rowOff>22860</xdr:rowOff>
                  </from>
                  <to>
                    <xdr:col>11</xdr:col>
                    <xdr:colOff>784860</xdr:colOff>
                    <xdr:row>26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33" r:id="rId222" name="Spinner 477">
              <controlPr defaultSize="0" autoPict="0">
                <anchor moveWithCells="1" sizeWithCells="1">
                  <from>
                    <xdr:col>11</xdr:col>
                    <xdr:colOff>411480</xdr:colOff>
                    <xdr:row>26</xdr:row>
                    <xdr:rowOff>22860</xdr:rowOff>
                  </from>
                  <to>
                    <xdr:col>11</xdr:col>
                    <xdr:colOff>784860</xdr:colOff>
                    <xdr:row>26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34" r:id="rId223" name="Spinner 478">
              <controlPr defaultSize="0" autoPict="0">
                <anchor moveWithCells="1" sizeWithCells="1">
                  <from>
                    <xdr:col>11</xdr:col>
                    <xdr:colOff>411480</xdr:colOff>
                    <xdr:row>26</xdr:row>
                    <xdr:rowOff>22860</xdr:rowOff>
                  </from>
                  <to>
                    <xdr:col>11</xdr:col>
                    <xdr:colOff>784860</xdr:colOff>
                    <xdr:row>26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35" r:id="rId224" name="Spinner 479">
              <controlPr defaultSize="0" autoPict="0">
                <anchor moveWithCells="1" sizeWithCells="1">
                  <from>
                    <xdr:col>11</xdr:col>
                    <xdr:colOff>411480</xdr:colOff>
                    <xdr:row>26</xdr:row>
                    <xdr:rowOff>22860</xdr:rowOff>
                  </from>
                  <to>
                    <xdr:col>11</xdr:col>
                    <xdr:colOff>784860</xdr:colOff>
                    <xdr:row>26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36" r:id="rId225" name="Spinner 480">
              <controlPr defaultSize="0" autoPict="0">
                <anchor moveWithCells="1" sizeWithCells="1">
                  <from>
                    <xdr:col>11</xdr:col>
                    <xdr:colOff>411480</xdr:colOff>
                    <xdr:row>26</xdr:row>
                    <xdr:rowOff>22860</xdr:rowOff>
                  </from>
                  <to>
                    <xdr:col>11</xdr:col>
                    <xdr:colOff>784860</xdr:colOff>
                    <xdr:row>26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37" r:id="rId226" name="Spinner 481">
              <controlPr defaultSize="0" autoPict="0">
                <anchor moveWithCells="1" sizeWithCells="1">
                  <from>
                    <xdr:col>11</xdr:col>
                    <xdr:colOff>411480</xdr:colOff>
                    <xdr:row>27</xdr:row>
                    <xdr:rowOff>22860</xdr:rowOff>
                  </from>
                  <to>
                    <xdr:col>11</xdr:col>
                    <xdr:colOff>784860</xdr:colOff>
                    <xdr:row>27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38" r:id="rId227" name="Spinner 482">
              <controlPr defaultSize="0" autoPict="0">
                <anchor moveWithCells="1" sizeWithCells="1">
                  <from>
                    <xdr:col>11</xdr:col>
                    <xdr:colOff>411480</xdr:colOff>
                    <xdr:row>27</xdr:row>
                    <xdr:rowOff>22860</xdr:rowOff>
                  </from>
                  <to>
                    <xdr:col>11</xdr:col>
                    <xdr:colOff>784860</xdr:colOff>
                    <xdr:row>27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39" r:id="rId228" name="Spinner 483">
              <controlPr defaultSize="0" autoPict="0">
                <anchor moveWithCells="1" sizeWithCells="1">
                  <from>
                    <xdr:col>11</xdr:col>
                    <xdr:colOff>411480</xdr:colOff>
                    <xdr:row>27</xdr:row>
                    <xdr:rowOff>22860</xdr:rowOff>
                  </from>
                  <to>
                    <xdr:col>11</xdr:col>
                    <xdr:colOff>784860</xdr:colOff>
                    <xdr:row>27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40" r:id="rId229" name="Spinner 484">
              <controlPr defaultSize="0" autoPict="0">
                <anchor moveWithCells="1" sizeWithCells="1">
                  <from>
                    <xdr:col>10</xdr:col>
                    <xdr:colOff>922020</xdr:colOff>
                    <xdr:row>27</xdr:row>
                    <xdr:rowOff>7620</xdr:rowOff>
                  </from>
                  <to>
                    <xdr:col>10</xdr:col>
                    <xdr:colOff>1295400</xdr:colOff>
                    <xdr:row>27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41" r:id="rId230" name="Spinner 485">
              <controlPr defaultSize="0" autoPict="0">
                <anchor moveWithCells="1" sizeWithCells="1">
                  <from>
                    <xdr:col>10</xdr:col>
                    <xdr:colOff>922020</xdr:colOff>
                    <xdr:row>27</xdr:row>
                    <xdr:rowOff>7620</xdr:rowOff>
                  </from>
                  <to>
                    <xdr:col>10</xdr:col>
                    <xdr:colOff>1295400</xdr:colOff>
                    <xdr:row>27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42" r:id="rId231" name="Spinner 486">
              <controlPr defaultSize="0" autoPict="0">
                <anchor moveWithCells="1" sizeWithCells="1">
                  <from>
                    <xdr:col>10</xdr:col>
                    <xdr:colOff>922020</xdr:colOff>
                    <xdr:row>27</xdr:row>
                    <xdr:rowOff>7620</xdr:rowOff>
                  </from>
                  <to>
                    <xdr:col>10</xdr:col>
                    <xdr:colOff>1295400</xdr:colOff>
                    <xdr:row>27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43" r:id="rId232" name="Spinner 487">
              <controlPr defaultSize="0" autoPict="0">
                <anchor moveWithCells="1" sizeWithCells="1">
                  <from>
                    <xdr:col>11</xdr:col>
                    <xdr:colOff>411480</xdr:colOff>
                    <xdr:row>27</xdr:row>
                    <xdr:rowOff>22860</xdr:rowOff>
                  </from>
                  <to>
                    <xdr:col>11</xdr:col>
                    <xdr:colOff>784860</xdr:colOff>
                    <xdr:row>27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44" r:id="rId233" name="Spinner 488">
              <controlPr defaultSize="0" autoPict="0">
                <anchor moveWithCells="1" sizeWithCells="1">
                  <from>
                    <xdr:col>10</xdr:col>
                    <xdr:colOff>922020</xdr:colOff>
                    <xdr:row>27</xdr:row>
                    <xdr:rowOff>7620</xdr:rowOff>
                  </from>
                  <to>
                    <xdr:col>10</xdr:col>
                    <xdr:colOff>1295400</xdr:colOff>
                    <xdr:row>27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45" r:id="rId234" name="Spinner 489">
              <controlPr defaultSize="0" autoPict="0">
                <anchor moveWithCells="1" sizeWithCells="1">
                  <from>
                    <xdr:col>10</xdr:col>
                    <xdr:colOff>922020</xdr:colOff>
                    <xdr:row>27</xdr:row>
                    <xdr:rowOff>7620</xdr:rowOff>
                  </from>
                  <to>
                    <xdr:col>10</xdr:col>
                    <xdr:colOff>1295400</xdr:colOff>
                    <xdr:row>27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46" r:id="rId235" name="Spinner 490">
              <controlPr defaultSize="0" autoPict="0">
                <anchor moveWithCells="1" sizeWithCells="1">
                  <from>
                    <xdr:col>11</xdr:col>
                    <xdr:colOff>411480</xdr:colOff>
                    <xdr:row>27</xdr:row>
                    <xdr:rowOff>22860</xdr:rowOff>
                  </from>
                  <to>
                    <xdr:col>11</xdr:col>
                    <xdr:colOff>784860</xdr:colOff>
                    <xdr:row>27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47" r:id="rId236" name="Spinner 491">
              <controlPr defaultSize="0" autoPict="0">
                <anchor moveWithCells="1" sizeWithCells="1">
                  <from>
                    <xdr:col>11</xdr:col>
                    <xdr:colOff>411480</xdr:colOff>
                    <xdr:row>27</xdr:row>
                    <xdr:rowOff>22860</xdr:rowOff>
                  </from>
                  <to>
                    <xdr:col>11</xdr:col>
                    <xdr:colOff>784860</xdr:colOff>
                    <xdr:row>27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48" r:id="rId237" name="Spinner 492">
              <controlPr defaultSize="0" autoPict="0">
                <anchor moveWithCells="1" sizeWithCells="1">
                  <from>
                    <xdr:col>11</xdr:col>
                    <xdr:colOff>411480</xdr:colOff>
                    <xdr:row>27</xdr:row>
                    <xdr:rowOff>22860</xdr:rowOff>
                  </from>
                  <to>
                    <xdr:col>11</xdr:col>
                    <xdr:colOff>784860</xdr:colOff>
                    <xdr:row>27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49" r:id="rId238" name="Spinner 493">
              <controlPr defaultSize="0" autoPict="0">
                <anchor moveWithCells="1" sizeWithCells="1">
                  <from>
                    <xdr:col>11</xdr:col>
                    <xdr:colOff>411480</xdr:colOff>
                    <xdr:row>27</xdr:row>
                    <xdr:rowOff>22860</xdr:rowOff>
                  </from>
                  <to>
                    <xdr:col>11</xdr:col>
                    <xdr:colOff>784860</xdr:colOff>
                    <xdr:row>27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50" r:id="rId239" name="Spinner 494">
              <controlPr defaultSize="0" autoPict="0">
                <anchor moveWithCells="1" sizeWithCells="1">
                  <from>
                    <xdr:col>11</xdr:col>
                    <xdr:colOff>411480</xdr:colOff>
                    <xdr:row>27</xdr:row>
                    <xdr:rowOff>22860</xdr:rowOff>
                  </from>
                  <to>
                    <xdr:col>11</xdr:col>
                    <xdr:colOff>784860</xdr:colOff>
                    <xdr:row>27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51" r:id="rId240" name="Spinner 495">
              <controlPr defaultSize="0" autoPict="0">
                <anchor moveWithCells="1" sizeWithCells="1">
                  <from>
                    <xdr:col>11</xdr:col>
                    <xdr:colOff>411480</xdr:colOff>
                    <xdr:row>27</xdr:row>
                    <xdr:rowOff>22860</xdr:rowOff>
                  </from>
                  <to>
                    <xdr:col>11</xdr:col>
                    <xdr:colOff>784860</xdr:colOff>
                    <xdr:row>27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52" r:id="rId241" name="Spinner 496">
              <controlPr defaultSize="0" autoPict="0">
                <anchor moveWithCells="1" sizeWithCells="1">
                  <from>
                    <xdr:col>11</xdr:col>
                    <xdr:colOff>411480</xdr:colOff>
                    <xdr:row>27</xdr:row>
                    <xdr:rowOff>22860</xdr:rowOff>
                  </from>
                  <to>
                    <xdr:col>11</xdr:col>
                    <xdr:colOff>784860</xdr:colOff>
                    <xdr:row>27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53" r:id="rId242" name="Spinner 497">
              <controlPr defaultSize="0" autoPict="0">
                <anchor moveWithCells="1" sizeWithCells="1">
                  <from>
                    <xdr:col>11</xdr:col>
                    <xdr:colOff>411480</xdr:colOff>
                    <xdr:row>27</xdr:row>
                    <xdr:rowOff>22860</xdr:rowOff>
                  </from>
                  <to>
                    <xdr:col>11</xdr:col>
                    <xdr:colOff>784860</xdr:colOff>
                    <xdr:row>27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54" r:id="rId243" name="Spinner 498">
              <controlPr defaultSize="0" autoPict="0">
                <anchor moveWithCells="1" sizeWithCells="1">
                  <from>
                    <xdr:col>11</xdr:col>
                    <xdr:colOff>411480</xdr:colOff>
                    <xdr:row>28</xdr:row>
                    <xdr:rowOff>22860</xdr:rowOff>
                  </from>
                  <to>
                    <xdr:col>11</xdr:col>
                    <xdr:colOff>784860</xdr:colOff>
                    <xdr:row>28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55" r:id="rId244" name="Spinner 499">
              <controlPr defaultSize="0" autoPict="0">
                <anchor moveWithCells="1" sizeWithCells="1">
                  <from>
                    <xdr:col>11</xdr:col>
                    <xdr:colOff>411480</xdr:colOff>
                    <xdr:row>28</xdr:row>
                    <xdr:rowOff>22860</xdr:rowOff>
                  </from>
                  <to>
                    <xdr:col>11</xdr:col>
                    <xdr:colOff>784860</xdr:colOff>
                    <xdr:row>28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56" r:id="rId245" name="Spinner 500">
              <controlPr defaultSize="0" autoPict="0">
                <anchor moveWithCells="1" sizeWithCells="1">
                  <from>
                    <xdr:col>11</xdr:col>
                    <xdr:colOff>411480</xdr:colOff>
                    <xdr:row>28</xdr:row>
                    <xdr:rowOff>22860</xdr:rowOff>
                  </from>
                  <to>
                    <xdr:col>11</xdr:col>
                    <xdr:colOff>784860</xdr:colOff>
                    <xdr:row>28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57" r:id="rId246" name="Spinner 501">
              <controlPr defaultSize="0" autoPict="0">
                <anchor moveWithCells="1" sizeWithCells="1">
                  <from>
                    <xdr:col>10</xdr:col>
                    <xdr:colOff>922020</xdr:colOff>
                    <xdr:row>28</xdr:row>
                    <xdr:rowOff>7620</xdr:rowOff>
                  </from>
                  <to>
                    <xdr:col>10</xdr:col>
                    <xdr:colOff>1295400</xdr:colOff>
                    <xdr:row>28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58" r:id="rId247" name="Spinner 502">
              <controlPr defaultSize="0" autoPict="0">
                <anchor moveWithCells="1" sizeWithCells="1">
                  <from>
                    <xdr:col>10</xdr:col>
                    <xdr:colOff>922020</xdr:colOff>
                    <xdr:row>28</xdr:row>
                    <xdr:rowOff>7620</xdr:rowOff>
                  </from>
                  <to>
                    <xdr:col>10</xdr:col>
                    <xdr:colOff>1295400</xdr:colOff>
                    <xdr:row>28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59" r:id="rId248" name="Spinner 503">
              <controlPr defaultSize="0" autoPict="0">
                <anchor moveWithCells="1" sizeWithCells="1">
                  <from>
                    <xdr:col>10</xdr:col>
                    <xdr:colOff>922020</xdr:colOff>
                    <xdr:row>28</xdr:row>
                    <xdr:rowOff>7620</xdr:rowOff>
                  </from>
                  <to>
                    <xdr:col>10</xdr:col>
                    <xdr:colOff>1295400</xdr:colOff>
                    <xdr:row>28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60" r:id="rId249" name="Spinner 504">
              <controlPr defaultSize="0" autoPict="0">
                <anchor moveWithCells="1" sizeWithCells="1">
                  <from>
                    <xdr:col>11</xdr:col>
                    <xdr:colOff>411480</xdr:colOff>
                    <xdr:row>28</xdr:row>
                    <xdr:rowOff>22860</xdr:rowOff>
                  </from>
                  <to>
                    <xdr:col>11</xdr:col>
                    <xdr:colOff>784860</xdr:colOff>
                    <xdr:row>28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61" r:id="rId250" name="Spinner 505">
              <controlPr defaultSize="0" autoPict="0">
                <anchor moveWithCells="1" sizeWithCells="1">
                  <from>
                    <xdr:col>10</xdr:col>
                    <xdr:colOff>922020</xdr:colOff>
                    <xdr:row>28</xdr:row>
                    <xdr:rowOff>7620</xdr:rowOff>
                  </from>
                  <to>
                    <xdr:col>10</xdr:col>
                    <xdr:colOff>1295400</xdr:colOff>
                    <xdr:row>28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62" r:id="rId251" name="Spinner 506">
              <controlPr defaultSize="0" autoPict="0">
                <anchor moveWithCells="1" sizeWithCells="1">
                  <from>
                    <xdr:col>10</xdr:col>
                    <xdr:colOff>922020</xdr:colOff>
                    <xdr:row>28</xdr:row>
                    <xdr:rowOff>7620</xdr:rowOff>
                  </from>
                  <to>
                    <xdr:col>10</xdr:col>
                    <xdr:colOff>1295400</xdr:colOff>
                    <xdr:row>28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63" r:id="rId252" name="Spinner 507">
              <controlPr defaultSize="0" autoPict="0">
                <anchor moveWithCells="1" sizeWithCells="1">
                  <from>
                    <xdr:col>11</xdr:col>
                    <xdr:colOff>411480</xdr:colOff>
                    <xdr:row>28</xdr:row>
                    <xdr:rowOff>22860</xdr:rowOff>
                  </from>
                  <to>
                    <xdr:col>11</xdr:col>
                    <xdr:colOff>784860</xdr:colOff>
                    <xdr:row>28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64" r:id="rId253" name="Spinner 508">
              <controlPr defaultSize="0" autoPict="0">
                <anchor moveWithCells="1" sizeWithCells="1">
                  <from>
                    <xdr:col>11</xdr:col>
                    <xdr:colOff>411480</xdr:colOff>
                    <xdr:row>28</xdr:row>
                    <xdr:rowOff>22860</xdr:rowOff>
                  </from>
                  <to>
                    <xdr:col>11</xdr:col>
                    <xdr:colOff>784860</xdr:colOff>
                    <xdr:row>28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65" r:id="rId254" name="Spinner 509">
              <controlPr defaultSize="0" autoPict="0">
                <anchor moveWithCells="1" sizeWithCells="1">
                  <from>
                    <xdr:col>11</xdr:col>
                    <xdr:colOff>411480</xdr:colOff>
                    <xdr:row>28</xdr:row>
                    <xdr:rowOff>22860</xdr:rowOff>
                  </from>
                  <to>
                    <xdr:col>11</xdr:col>
                    <xdr:colOff>784860</xdr:colOff>
                    <xdr:row>28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66" r:id="rId255" name="Spinner 510">
              <controlPr defaultSize="0" autoPict="0">
                <anchor moveWithCells="1" sizeWithCells="1">
                  <from>
                    <xdr:col>11</xdr:col>
                    <xdr:colOff>411480</xdr:colOff>
                    <xdr:row>28</xdr:row>
                    <xdr:rowOff>22860</xdr:rowOff>
                  </from>
                  <to>
                    <xdr:col>11</xdr:col>
                    <xdr:colOff>784860</xdr:colOff>
                    <xdr:row>28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67" r:id="rId256" name="Spinner 511">
              <controlPr defaultSize="0" autoPict="0">
                <anchor moveWithCells="1" sizeWithCells="1">
                  <from>
                    <xdr:col>11</xdr:col>
                    <xdr:colOff>411480</xdr:colOff>
                    <xdr:row>28</xdr:row>
                    <xdr:rowOff>22860</xdr:rowOff>
                  </from>
                  <to>
                    <xdr:col>11</xdr:col>
                    <xdr:colOff>784860</xdr:colOff>
                    <xdr:row>28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68" r:id="rId257" name="Spinner 512">
              <controlPr defaultSize="0" autoPict="0">
                <anchor moveWithCells="1" sizeWithCells="1">
                  <from>
                    <xdr:col>11</xdr:col>
                    <xdr:colOff>411480</xdr:colOff>
                    <xdr:row>28</xdr:row>
                    <xdr:rowOff>22860</xdr:rowOff>
                  </from>
                  <to>
                    <xdr:col>11</xdr:col>
                    <xdr:colOff>784860</xdr:colOff>
                    <xdr:row>28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69" r:id="rId258" name="Spinner 513">
              <controlPr defaultSize="0" autoPict="0">
                <anchor moveWithCells="1" sizeWithCells="1">
                  <from>
                    <xdr:col>11</xdr:col>
                    <xdr:colOff>411480</xdr:colOff>
                    <xdr:row>28</xdr:row>
                    <xdr:rowOff>22860</xdr:rowOff>
                  </from>
                  <to>
                    <xdr:col>11</xdr:col>
                    <xdr:colOff>784860</xdr:colOff>
                    <xdr:row>28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70" r:id="rId259" name="Spinner 514">
              <controlPr defaultSize="0" autoPict="0">
                <anchor moveWithCells="1" sizeWithCells="1">
                  <from>
                    <xdr:col>11</xdr:col>
                    <xdr:colOff>411480</xdr:colOff>
                    <xdr:row>28</xdr:row>
                    <xdr:rowOff>22860</xdr:rowOff>
                  </from>
                  <to>
                    <xdr:col>11</xdr:col>
                    <xdr:colOff>784860</xdr:colOff>
                    <xdr:row>28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71" r:id="rId260" name="Spinner 515">
              <controlPr defaultSize="0" autoPict="0">
                <anchor moveWithCells="1" sizeWithCells="1">
                  <from>
                    <xdr:col>11</xdr:col>
                    <xdr:colOff>411480</xdr:colOff>
                    <xdr:row>29</xdr:row>
                    <xdr:rowOff>22860</xdr:rowOff>
                  </from>
                  <to>
                    <xdr:col>11</xdr:col>
                    <xdr:colOff>784860</xdr:colOff>
                    <xdr:row>29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72" r:id="rId261" name="Spinner 516">
              <controlPr defaultSize="0" autoPict="0">
                <anchor moveWithCells="1" sizeWithCells="1">
                  <from>
                    <xdr:col>11</xdr:col>
                    <xdr:colOff>411480</xdr:colOff>
                    <xdr:row>29</xdr:row>
                    <xdr:rowOff>22860</xdr:rowOff>
                  </from>
                  <to>
                    <xdr:col>11</xdr:col>
                    <xdr:colOff>784860</xdr:colOff>
                    <xdr:row>29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73" r:id="rId262" name="Spinner 517">
              <controlPr defaultSize="0" autoPict="0">
                <anchor moveWithCells="1" sizeWithCells="1">
                  <from>
                    <xdr:col>11</xdr:col>
                    <xdr:colOff>411480</xdr:colOff>
                    <xdr:row>29</xdr:row>
                    <xdr:rowOff>22860</xdr:rowOff>
                  </from>
                  <to>
                    <xdr:col>11</xdr:col>
                    <xdr:colOff>784860</xdr:colOff>
                    <xdr:row>29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74" r:id="rId263" name="Spinner 518">
              <controlPr defaultSize="0" autoPict="0">
                <anchor moveWithCells="1" sizeWithCells="1">
                  <from>
                    <xdr:col>10</xdr:col>
                    <xdr:colOff>922020</xdr:colOff>
                    <xdr:row>29</xdr:row>
                    <xdr:rowOff>7620</xdr:rowOff>
                  </from>
                  <to>
                    <xdr:col>10</xdr:col>
                    <xdr:colOff>1295400</xdr:colOff>
                    <xdr:row>29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75" r:id="rId264" name="Spinner 519">
              <controlPr defaultSize="0" autoPict="0">
                <anchor moveWithCells="1" sizeWithCells="1">
                  <from>
                    <xdr:col>10</xdr:col>
                    <xdr:colOff>922020</xdr:colOff>
                    <xdr:row>29</xdr:row>
                    <xdr:rowOff>7620</xdr:rowOff>
                  </from>
                  <to>
                    <xdr:col>10</xdr:col>
                    <xdr:colOff>1295400</xdr:colOff>
                    <xdr:row>29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76" r:id="rId265" name="Spinner 520">
              <controlPr defaultSize="0" autoPict="0">
                <anchor moveWithCells="1" sizeWithCells="1">
                  <from>
                    <xdr:col>10</xdr:col>
                    <xdr:colOff>922020</xdr:colOff>
                    <xdr:row>29</xdr:row>
                    <xdr:rowOff>7620</xdr:rowOff>
                  </from>
                  <to>
                    <xdr:col>10</xdr:col>
                    <xdr:colOff>1295400</xdr:colOff>
                    <xdr:row>29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77" r:id="rId266" name="Spinner 521">
              <controlPr defaultSize="0" autoPict="0">
                <anchor moveWithCells="1" sizeWithCells="1">
                  <from>
                    <xdr:col>11</xdr:col>
                    <xdr:colOff>411480</xdr:colOff>
                    <xdr:row>29</xdr:row>
                    <xdr:rowOff>22860</xdr:rowOff>
                  </from>
                  <to>
                    <xdr:col>11</xdr:col>
                    <xdr:colOff>784860</xdr:colOff>
                    <xdr:row>29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78" r:id="rId267" name="Spinner 522">
              <controlPr defaultSize="0" autoPict="0">
                <anchor moveWithCells="1" sizeWithCells="1">
                  <from>
                    <xdr:col>10</xdr:col>
                    <xdr:colOff>922020</xdr:colOff>
                    <xdr:row>29</xdr:row>
                    <xdr:rowOff>7620</xdr:rowOff>
                  </from>
                  <to>
                    <xdr:col>10</xdr:col>
                    <xdr:colOff>1295400</xdr:colOff>
                    <xdr:row>29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79" r:id="rId268" name="Spinner 523">
              <controlPr defaultSize="0" autoPict="0">
                <anchor moveWithCells="1" sizeWithCells="1">
                  <from>
                    <xdr:col>10</xdr:col>
                    <xdr:colOff>922020</xdr:colOff>
                    <xdr:row>29</xdr:row>
                    <xdr:rowOff>7620</xdr:rowOff>
                  </from>
                  <to>
                    <xdr:col>10</xdr:col>
                    <xdr:colOff>1295400</xdr:colOff>
                    <xdr:row>29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80" r:id="rId269" name="Spinner 524">
              <controlPr defaultSize="0" autoPict="0">
                <anchor moveWithCells="1" sizeWithCells="1">
                  <from>
                    <xdr:col>11</xdr:col>
                    <xdr:colOff>411480</xdr:colOff>
                    <xdr:row>29</xdr:row>
                    <xdr:rowOff>22860</xdr:rowOff>
                  </from>
                  <to>
                    <xdr:col>11</xdr:col>
                    <xdr:colOff>784860</xdr:colOff>
                    <xdr:row>29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81" r:id="rId270" name="Spinner 525">
              <controlPr defaultSize="0" autoPict="0">
                <anchor moveWithCells="1" sizeWithCells="1">
                  <from>
                    <xdr:col>11</xdr:col>
                    <xdr:colOff>411480</xdr:colOff>
                    <xdr:row>29</xdr:row>
                    <xdr:rowOff>22860</xdr:rowOff>
                  </from>
                  <to>
                    <xdr:col>11</xdr:col>
                    <xdr:colOff>784860</xdr:colOff>
                    <xdr:row>29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82" r:id="rId271" name="Spinner 526">
              <controlPr defaultSize="0" autoPict="0">
                <anchor moveWithCells="1" sizeWithCells="1">
                  <from>
                    <xdr:col>11</xdr:col>
                    <xdr:colOff>411480</xdr:colOff>
                    <xdr:row>29</xdr:row>
                    <xdr:rowOff>22860</xdr:rowOff>
                  </from>
                  <to>
                    <xdr:col>11</xdr:col>
                    <xdr:colOff>784860</xdr:colOff>
                    <xdr:row>29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83" r:id="rId272" name="Spinner 527">
              <controlPr defaultSize="0" autoPict="0">
                <anchor moveWithCells="1" sizeWithCells="1">
                  <from>
                    <xdr:col>11</xdr:col>
                    <xdr:colOff>411480</xdr:colOff>
                    <xdr:row>29</xdr:row>
                    <xdr:rowOff>22860</xdr:rowOff>
                  </from>
                  <to>
                    <xdr:col>11</xdr:col>
                    <xdr:colOff>784860</xdr:colOff>
                    <xdr:row>29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84" r:id="rId273" name="Spinner 528">
              <controlPr defaultSize="0" autoPict="0">
                <anchor moveWithCells="1" sizeWithCells="1">
                  <from>
                    <xdr:col>11</xdr:col>
                    <xdr:colOff>411480</xdr:colOff>
                    <xdr:row>29</xdr:row>
                    <xdr:rowOff>22860</xdr:rowOff>
                  </from>
                  <to>
                    <xdr:col>11</xdr:col>
                    <xdr:colOff>784860</xdr:colOff>
                    <xdr:row>29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85" r:id="rId274" name="Spinner 529">
              <controlPr defaultSize="0" autoPict="0">
                <anchor moveWithCells="1" sizeWithCells="1">
                  <from>
                    <xdr:col>11</xdr:col>
                    <xdr:colOff>411480</xdr:colOff>
                    <xdr:row>29</xdr:row>
                    <xdr:rowOff>22860</xdr:rowOff>
                  </from>
                  <to>
                    <xdr:col>11</xdr:col>
                    <xdr:colOff>784860</xdr:colOff>
                    <xdr:row>29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86" r:id="rId275" name="Spinner 530">
              <controlPr defaultSize="0" autoPict="0">
                <anchor moveWithCells="1" sizeWithCells="1">
                  <from>
                    <xdr:col>11</xdr:col>
                    <xdr:colOff>411480</xdr:colOff>
                    <xdr:row>29</xdr:row>
                    <xdr:rowOff>22860</xdr:rowOff>
                  </from>
                  <to>
                    <xdr:col>11</xdr:col>
                    <xdr:colOff>784860</xdr:colOff>
                    <xdr:row>29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87" r:id="rId276" name="Spinner 531">
              <controlPr defaultSize="0" autoPict="0">
                <anchor moveWithCells="1" sizeWithCells="1">
                  <from>
                    <xdr:col>11</xdr:col>
                    <xdr:colOff>411480</xdr:colOff>
                    <xdr:row>29</xdr:row>
                    <xdr:rowOff>22860</xdr:rowOff>
                  </from>
                  <to>
                    <xdr:col>11</xdr:col>
                    <xdr:colOff>784860</xdr:colOff>
                    <xdr:row>29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88" r:id="rId277" name="Spinner 532">
              <controlPr defaultSize="0" autoPict="0">
                <anchor moveWithCells="1" sizeWithCells="1">
                  <from>
                    <xdr:col>11</xdr:col>
                    <xdr:colOff>411480</xdr:colOff>
                    <xdr:row>30</xdr:row>
                    <xdr:rowOff>22860</xdr:rowOff>
                  </from>
                  <to>
                    <xdr:col>11</xdr:col>
                    <xdr:colOff>784860</xdr:colOff>
                    <xdr:row>30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89" r:id="rId278" name="Spinner 533">
              <controlPr defaultSize="0" autoPict="0">
                <anchor moveWithCells="1" sizeWithCells="1">
                  <from>
                    <xdr:col>11</xdr:col>
                    <xdr:colOff>411480</xdr:colOff>
                    <xdr:row>30</xdr:row>
                    <xdr:rowOff>22860</xdr:rowOff>
                  </from>
                  <to>
                    <xdr:col>11</xdr:col>
                    <xdr:colOff>784860</xdr:colOff>
                    <xdr:row>30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90" r:id="rId279" name="Spinner 534">
              <controlPr defaultSize="0" autoPict="0">
                <anchor moveWithCells="1" sizeWithCells="1">
                  <from>
                    <xdr:col>11</xdr:col>
                    <xdr:colOff>411480</xdr:colOff>
                    <xdr:row>30</xdr:row>
                    <xdr:rowOff>22860</xdr:rowOff>
                  </from>
                  <to>
                    <xdr:col>11</xdr:col>
                    <xdr:colOff>784860</xdr:colOff>
                    <xdr:row>30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91" r:id="rId280" name="Spinner 535">
              <controlPr defaultSize="0" autoPict="0">
                <anchor moveWithCells="1" sizeWithCells="1">
                  <from>
                    <xdr:col>10</xdr:col>
                    <xdr:colOff>922020</xdr:colOff>
                    <xdr:row>30</xdr:row>
                    <xdr:rowOff>7620</xdr:rowOff>
                  </from>
                  <to>
                    <xdr:col>10</xdr:col>
                    <xdr:colOff>1295400</xdr:colOff>
                    <xdr:row>30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92" r:id="rId281" name="Spinner 536">
              <controlPr defaultSize="0" autoPict="0">
                <anchor moveWithCells="1" sizeWithCells="1">
                  <from>
                    <xdr:col>10</xdr:col>
                    <xdr:colOff>922020</xdr:colOff>
                    <xdr:row>30</xdr:row>
                    <xdr:rowOff>7620</xdr:rowOff>
                  </from>
                  <to>
                    <xdr:col>10</xdr:col>
                    <xdr:colOff>1295400</xdr:colOff>
                    <xdr:row>30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93" r:id="rId282" name="Spinner 537">
              <controlPr defaultSize="0" autoPict="0">
                <anchor moveWithCells="1" sizeWithCells="1">
                  <from>
                    <xdr:col>10</xdr:col>
                    <xdr:colOff>922020</xdr:colOff>
                    <xdr:row>30</xdr:row>
                    <xdr:rowOff>7620</xdr:rowOff>
                  </from>
                  <to>
                    <xdr:col>10</xdr:col>
                    <xdr:colOff>1295400</xdr:colOff>
                    <xdr:row>30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94" r:id="rId283" name="Spinner 538">
              <controlPr defaultSize="0" autoPict="0">
                <anchor moveWithCells="1" sizeWithCells="1">
                  <from>
                    <xdr:col>11</xdr:col>
                    <xdr:colOff>411480</xdr:colOff>
                    <xdr:row>30</xdr:row>
                    <xdr:rowOff>22860</xdr:rowOff>
                  </from>
                  <to>
                    <xdr:col>11</xdr:col>
                    <xdr:colOff>784860</xdr:colOff>
                    <xdr:row>30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95" r:id="rId284" name="Spinner 539">
              <controlPr defaultSize="0" autoPict="0">
                <anchor moveWithCells="1" sizeWithCells="1">
                  <from>
                    <xdr:col>10</xdr:col>
                    <xdr:colOff>922020</xdr:colOff>
                    <xdr:row>30</xdr:row>
                    <xdr:rowOff>7620</xdr:rowOff>
                  </from>
                  <to>
                    <xdr:col>10</xdr:col>
                    <xdr:colOff>1295400</xdr:colOff>
                    <xdr:row>30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96" r:id="rId285" name="Spinner 540">
              <controlPr defaultSize="0" autoPict="0">
                <anchor moveWithCells="1" sizeWithCells="1">
                  <from>
                    <xdr:col>10</xdr:col>
                    <xdr:colOff>922020</xdr:colOff>
                    <xdr:row>30</xdr:row>
                    <xdr:rowOff>7620</xdr:rowOff>
                  </from>
                  <to>
                    <xdr:col>10</xdr:col>
                    <xdr:colOff>1295400</xdr:colOff>
                    <xdr:row>30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97" r:id="rId286" name="Spinner 541">
              <controlPr defaultSize="0" autoPict="0">
                <anchor moveWithCells="1" sizeWithCells="1">
                  <from>
                    <xdr:col>11</xdr:col>
                    <xdr:colOff>411480</xdr:colOff>
                    <xdr:row>30</xdr:row>
                    <xdr:rowOff>22860</xdr:rowOff>
                  </from>
                  <to>
                    <xdr:col>11</xdr:col>
                    <xdr:colOff>784860</xdr:colOff>
                    <xdr:row>30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98" r:id="rId287" name="Spinner 542">
              <controlPr defaultSize="0" autoPict="0">
                <anchor moveWithCells="1" sizeWithCells="1">
                  <from>
                    <xdr:col>11</xdr:col>
                    <xdr:colOff>411480</xdr:colOff>
                    <xdr:row>30</xdr:row>
                    <xdr:rowOff>22860</xdr:rowOff>
                  </from>
                  <to>
                    <xdr:col>11</xdr:col>
                    <xdr:colOff>784860</xdr:colOff>
                    <xdr:row>30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99" r:id="rId288" name="Spinner 543">
              <controlPr defaultSize="0" autoPict="0">
                <anchor moveWithCells="1" sizeWithCells="1">
                  <from>
                    <xdr:col>11</xdr:col>
                    <xdr:colOff>411480</xdr:colOff>
                    <xdr:row>30</xdr:row>
                    <xdr:rowOff>22860</xdr:rowOff>
                  </from>
                  <to>
                    <xdr:col>11</xdr:col>
                    <xdr:colOff>784860</xdr:colOff>
                    <xdr:row>30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00" r:id="rId289" name="Spinner 544">
              <controlPr defaultSize="0" autoPict="0">
                <anchor moveWithCells="1" sizeWithCells="1">
                  <from>
                    <xdr:col>11</xdr:col>
                    <xdr:colOff>411480</xdr:colOff>
                    <xdr:row>30</xdr:row>
                    <xdr:rowOff>22860</xdr:rowOff>
                  </from>
                  <to>
                    <xdr:col>11</xdr:col>
                    <xdr:colOff>784860</xdr:colOff>
                    <xdr:row>30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01" r:id="rId290" name="Spinner 545">
              <controlPr defaultSize="0" autoPict="0">
                <anchor moveWithCells="1" sizeWithCells="1">
                  <from>
                    <xdr:col>11</xdr:col>
                    <xdr:colOff>411480</xdr:colOff>
                    <xdr:row>30</xdr:row>
                    <xdr:rowOff>22860</xdr:rowOff>
                  </from>
                  <to>
                    <xdr:col>11</xdr:col>
                    <xdr:colOff>784860</xdr:colOff>
                    <xdr:row>30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02" r:id="rId291" name="Spinner 546">
              <controlPr defaultSize="0" autoPict="0">
                <anchor moveWithCells="1" sizeWithCells="1">
                  <from>
                    <xdr:col>11</xdr:col>
                    <xdr:colOff>411480</xdr:colOff>
                    <xdr:row>30</xdr:row>
                    <xdr:rowOff>22860</xdr:rowOff>
                  </from>
                  <to>
                    <xdr:col>11</xdr:col>
                    <xdr:colOff>784860</xdr:colOff>
                    <xdr:row>30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03" r:id="rId292" name="Spinner 547">
              <controlPr defaultSize="0" autoPict="0">
                <anchor moveWithCells="1" sizeWithCells="1">
                  <from>
                    <xdr:col>11</xdr:col>
                    <xdr:colOff>411480</xdr:colOff>
                    <xdr:row>30</xdr:row>
                    <xdr:rowOff>22860</xdr:rowOff>
                  </from>
                  <to>
                    <xdr:col>11</xdr:col>
                    <xdr:colOff>784860</xdr:colOff>
                    <xdr:row>30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04" r:id="rId293" name="Spinner 548">
              <controlPr defaultSize="0" autoPict="0">
                <anchor moveWithCells="1" sizeWithCells="1">
                  <from>
                    <xdr:col>11</xdr:col>
                    <xdr:colOff>411480</xdr:colOff>
                    <xdr:row>30</xdr:row>
                    <xdr:rowOff>22860</xdr:rowOff>
                  </from>
                  <to>
                    <xdr:col>11</xdr:col>
                    <xdr:colOff>784860</xdr:colOff>
                    <xdr:row>30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05" r:id="rId294" name="Spinner 549">
              <controlPr defaultSize="0" autoPict="0">
                <anchor moveWithCells="1" sizeWithCells="1">
                  <from>
                    <xdr:col>11</xdr:col>
                    <xdr:colOff>411480</xdr:colOff>
                    <xdr:row>31</xdr:row>
                    <xdr:rowOff>22860</xdr:rowOff>
                  </from>
                  <to>
                    <xdr:col>11</xdr:col>
                    <xdr:colOff>784860</xdr:colOff>
                    <xdr:row>31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06" r:id="rId295" name="Spinner 550">
              <controlPr defaultSize="0" autoPict="0">
                <anchor moveWithCells="1" sizeWithCells="1">
                  <from>
                    <xdr:col>11</xdr:col>
                    <xdr:colOff>411480</xdr:colOff>
                    <xdr:row>31</xdr:row>
                    <xdr:rowOff>22860</xdr:rowOff>
                  </from>
                  <to>
                    <xdr:col>11</xdr:col>
                    <xdr:colOff>784860</xdr:colOff>
                    <xdr:row>31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07" r:id="rId296" name="Spinner 551">
              <controlPr defaultSize="0" autoPict="0">
                <anchor moveWithCells="1" sizeWithCells="1">
                  <from>
                    <xdr:col>11</xdr:col>
                    <xdr:colOff>411480</xdr:colOff>
                    <xdr:row>31</xdr:row>
                    <xdr:rowOff>22860</xdr:rowOff>
                  </from>
                  <to>
                    <xdr:col>11</xdr:col>
                    <xdr:colOff>784860</xdr:colOff>
                    <xdr:row>31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08" r:id="rId297" name="Spinner 552">
              <controlPr defaultSize="0" autoPict="0">
                <anchor moveWithCells="1" sizeWithCells="1">
                  <from>
                    <xdr:col>10</xdr:col>
                    <xdr:colOff>922020</xdr:colOff>
                    <xdr:row>31</xdr:row>
                    <xdr:rowOff>7620</xdr:rowOff>
                  </from>
                  <to>
                    <xdr:col>10</xdr:col>
                    <xdr:colOff>1295400</xdr:colOff>
                    <xdr:row>31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09" r:id="rId298" name="Spinner 553">
              <controlPr defaultSize="0" autoPict="0">
                <anchor moveWithCells="1" sizeWithCells="1">
                  <from>
                    <xdr:col>10</xdr:col>
                    <xdr:colOff>922020</xdr:colOff>
                    <xdr:row>31</xdr:row>
                    <xdr:rowOff>7620</xdr:rowOff>
                  </from>
                  <to>
                    <xdr:col>10</xdr:col>
                    <xdr:colOff>1295400</xdr:colOff>
                    <xdr:row>31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10" r:id="rId299" name="Spinner 554">
              <controlPr defaultSize="0" autoPict="0">
                <anchor moveWithCells="1" sizeWithCells="1">
                  <from>
                    <xdr:col>10</xdr:col>
                    <xdr:colOff>922020</xdr:colOff>
                    <xdr:row>31</xdr:row>
                    <xdr:rowOff>7620</xdr:rowOff>
                  </from>
                  <to>
                    <xdr:col>10</xdr:col>
                    <xdr:colOff>1295400</xdr:colOff>
                    <xdr:row>31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11" r:id="rId300" name="Spinner 555">
              <controlPr defaultSize="0" autoPict="0">
                <anchor moveWithCells="1" sizeWithCells="1">
                  <from>
                    <xdr:col>11</xdr:col>
                    <xdr:colOff>411480</xdr:colOff>
                    <xdr:row>31</xdr:row>
                    <xdr:rowOff>22860</xdr:rowOff>
                  </from>
                  <to>
                    <xdr:col>11</xdr:col>
                    <xdr:colOff>784860</xdr:colOff>
                    <xdr:row>31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12" r:id="rId301" name="Spinner 556">
              <controlPr defaultSize="0" autoPict="0">
                <anchor moveWithCells="1" sizeWithCells="1">
                  <from>
                    <xdr:col>10</xdr:col>
                    <xdr:colOff>922020</xdr:colOff>
                    <xdr:row>31</xdr:row>
                    <xdr:rowOff>7620</xdr:rowOff>
                  </from>
                  <to>
                    <xdr:col>10</xdr:col>
                    <xdr:colOff>1295400</xdr:colOff>
                    <xdr:row>31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13" r:id="rId302" name="Spinner 557">
              <controlPr defaultSize="0" autoPict="0">
                <anchor moveWithCells="1" sizeWithCells="1">
                  <from>
                    <xdr:col>10</xdr:col>
                    <xdr:colOff>922020</xdr:colOff>
                    <xdr:row>31</xdr:row>
                    <xdr:rowOff>7620</xdr:rowOff>
                  </from>
                  <to>
                    <xdr:col>10</xdr:col>
                    <xdr:colOff>1295400</xdr:colOff>
                    <xdr:row>31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14" r:id="rId303" name="Spinner 558">
              <controlPr defaultSize="0" autoPict="0">
                <anchor moveWithCells="1" sizeWithCells="1">
                  <from>
                    <xdr:col>11</xdr:col>
                    <xdr:colOff>411480</xdr:colOff>
                    <xdr:row>31</xdr:row>
                    <xdr:rowOff>22860</xdr:rowOff>
                  </from>
                  <to>
                    <xdr:col>11</xdr:col>
                    <xdr:colOff>784860</xdr:colOff>
                    <xdr:row>31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15" r:id="rId304" name="Spinner 559">
              <controlPr defaultSize="0" autoPict="0">
                <anchor moveWithCells="1" sizeWithCells="1">
                  <from>
                    <xdr:col>11</xdr:col>
                    <xdr:colOff>411480</xdr:colOff>
                    <xdr:row>31</xdr:row>
                    <xdr:rowOff>22860</xdr:rowOff>
                  </from>
                  <to>
                    <xdr:col>11</xdr:col>
                    <xdr:colOff>784860</xdr:colOff>
                    <xdr:row>31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16" r:id="rId305" name="Spinner 560">
              <controlPr defaultSize="0" autoPict="0">
                <anchor moveWithCells="1" sizeWithCells="1">
                  <from>
                    <xdr:col>11</xdr:col>
                    <xdr:colOff>411480</xdr:colOff>
                    <xdr:row>31</xdr:row>
                    <xdr:rowOff>22860</xdr:rowOff>
                  </from>
                  <to>
                    <xdr:col>11</xdr:col>
                    <xdr:colOff>784860</xdr:colOff>
                    <xdr:row>31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17" r:id="rId306" name="Spinner 561">
              <controlPr defaultSize="0" autoPict="0">
                <anchor moveWithCells="1" sizeWithCells="1">
                  <from>
                    <xdr:col>11</xdr:col>
                    <xdr:colOff>411480</xdr:colOff>
                    <xdr:row>31</xdr:row>
                    <xdr:rowOff>22860</xdr:rowOff>
                  </from>
                  <to>
                    <xdr:col>11</xdr:col>
                    <xdr:colOff>784860</xdr:colOff>
                    <xdr:row>31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18" r:id="rId307" name="Spinner 562">
              <controlPr defaultSize="0" autoPict="0">
                <anchor moveWithCells="1" sizeWithCells="1">
                  <from>
                    <xdr:col>11</xdr:col>
                    <xdr:colOff>411480</xdr:colOff>
                    <xdr:row>31</xdr:row>
                    <xdr:rowOff>22860</xdr:rowOff>
                  </from>
                  <to>
                    <xdr:col>11</xdr:col>
                    <xdr:colOff>784860</xdr:colOff>
                    <xdr:row>31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19" r:id="rId308" name="Spinner 563">
              <controlPr defaultSize="0" autoPict="0">
                <anchor moveWithCells="1" sizeWithCells="1">
                  <from>
                    <xdr:col>11</xdr:col>
                    <xdr:colOff>411480</xdr:colOff>
                    <xdr:row>31</xdr:row>
                    <xdr:rowOff>22860</xdr:rowOff>
                  </from>
                  <to>
                    <xdr:col>11</xdr:col>
                    <xdr:colOff>784860</xdr:colOff>
                    <xdr:row>31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20" r:id="rId309" name="Spinner 564">
              <controlPr defaultSize="0" autoPict="0">
                <anchor moveWithCells="1" sizeWithCells="1">
                  <from>
                    <xdr:col>11</xdr:col>
                    <xdr:colOff>411480</xdr:colOff>
                    <xdr:row>31</xdr:row>
                    <xdr:rowOff>22860</xdr:rowOff>
                  </from>
                  <to>
                    <xdr:col>11</xdr:col>
                    <xdr:colOff>784860</xdr:colOff>
                    <xdr:row>31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21" r:id="rId310" name="Spinner 565">
              <controlPr defaultSize="0" autoPict="0">
                <anchor moveWithCells="1" sizeWithCells="1">
                  <from>
                    <xdr:col>11</xdr:col>
                    <xdr:colOff>411480</xdr:colOff>
                    <xdr:row>31</xdr:row>
                    <xdr:rowOff>22860</xdr:rowOff>
                  </from>
                  <to>
                    <xdr:col>11</xdr:col>
                    <xdr:colOff>784860</xdr:colOff>
                    <xdr:row>31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22" r:id="rId311" name="Spinner 566">
              <controlPr defaultSize="0" autoPict="0">
                <anchor moveWithCells="1" sizeWithCells="1">
                  <from>
                    <xdr:col>11</xdr:col>
                    <xdr:colOff>411480</xdr:colOff>
                    <xdr:row>32</xdr:row>
                    <xdr:rowOff>22860</xdr:rowOff>
                  </from>
                  <to>
                    <xdr:col>11</xdr:col>
                    <xdr:colOff>784860</xdr:colOff>
                    <xdr:row>32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23" r:id="rId312" name="Spinner 567">
              <controlPr defaultSize="0" autoPict="0">
                <anchor moveWithCells="1" sizeWithCells="1">
                  <from>
                    <xdr:col>11</xdr:col>
                    <xdr:colOff>411480</xdr:colOff>
                    <xdr:row>32</xdr:row>
                    <xdr:rowOff>22860</xdr:rowOff>
                  </from>
                  <to>
                    <xdr:col>11</xdr:col>
                    <xdr:colOff>784860</xdr:colOff>
                    <xdr:row>32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24" r:id="rId313" name="Spinner 568">
              <controlPr defaultSize="0" autoPict="0">
                <anchor moveWithCells="1" sizeWithCells="1">
                  <from>
                    <xdr:col>11</xdr:col>
                    <xdr:colOff>411480</xdr:colOff>
                    <xdr:row>32</xdr:row>
                    <xdr:rowOff>22860</xdr:rowOff>
                  </from>
                  <to>
                    <xdr:col>11</xdr:col>
                    <xdr:colOff>784860</xdr:colOff>
                    <xdr:row>32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25" r:id="rId314" name="Spinner 569">
              <controlPr defaultSize="0" autoPict="0">
                <anchor moveWithCells="1" sizeWithCells="1">
                  <from>
                    <xdr:col>10</xdr:col>
                    <xdr:colOff>922020</xdr:colOff>
                    <xdr:row>32</xdr:row>
                    <xdr:rowOff>7620</xdr:rowOff>
                  </from>
                  <to>
                    <xdr:col>10</xdr:col>
                    <xdr:colOff>1295400</xdr:colOff>
                    <xdr:row>32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26" r:id="rId315" name="Spinner 570">
              <controlPr defaultSize="0" autoPict="0">
                <anchor moveWithCells="1" sizeWithCells="1">
                  <from>
                    <xdr:col>10</xdr:col>
                    <xdr:colOff>922020</xdr:colOff>
                    <xdr:row>32</xdr:row>
                    <xdr:rowOff>7620</xdr:rowOff>
                  </from>
                  <to>
                    <xdr:col>10</xdr:col>
                    <xdr:colOff>1295400</xdr:colOff>
                    <xdr:row>32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27" r:id="rId316" name="Spinner 571">
              <controlPr defaultSize="0" autoPict="0">
                <anchor moveWithCells="1" sizeWithCells="1">
                  <from>
                    <xdr:col>10</xdr:col>
                    <xdr:colOff>922020</xdr:colOff>
                    <xdr:row>32</xdr:row>
                    <xdr:rowOff>7620</xdr:rowOff>
                  </from>
                  <to>
                    <xdr:col>10</xdr:col>
                    <xdr:colOff>1295400</xdr:colOff>
                    <xdr:row>32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28" r:id="rId317" name="Spinner 572">
              <controlPr defaultSize="0" autoPict="0">
                <anchor moveWithCells="1" sizeWithCells="1">
                  <from>
                    <xdr:col>11</xdr:col>
                    <xdr:colOff>411480</xdr:colOff>
                    <xdr:row>32</xdr:row>
                    <xdr:rowOff>22860</xdr:rowOff>
                  </from>
                  <to>
                    <xdr:col>11</xdr:col>
                    <xdr:colOff>784860</xdr:colOff>
                    <xdr:row>32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29" r:id="rId318" name="Spinner 573">
              <controlPr defaultSize="0" autoPict="0">
                <anchor moveWithCells="1" sizeWithCells="1">
                  <from>
                    <xdr:col>10</xdr:col>
                    <xdr:colOff>922020</xdr:colOff>
                    <xdr:row>32</xdr:row>
                    <xdr:rowOff>7620</xdr:rowOff>
                  </from>
                  <to>
                    <xdr:col>10</xdr:col>
                    <xdr:colOff>1295400</xdr:colOff>
                    <xdr:row>32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30" r:id="rId319" name="Spinner 574">
              <controlPr defaultSize="0" autoPict="0">
                <anchor moveWithCells="1" sizeWithCells="1">
                  <from>
                    <xdr:col>10</xdr:col>
                    <xdr:colOff>922020</xdr:colOff>
                    <xdr:row>32</xdr:row>
                    <xdr:rowOff>7620</xdr:rowOff>
                  </from>
                  <to>
                    <xdr:col>10</xdr:col>
                    <xdr:colOff>1295400</xdr:colOff>
                    <xdr:row>32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31" r:id="rId320" name="Spinner 575">
              <controlPr defaultSize="0" autoPict="0">
                <anchor moveWithCells="1" sizeWithCells="1">
                  <from>
                    <xdr:col>11</xdr:col>
                    <xdr:colOff>411480</xdr:colOff>
                    <xdr:row>32</xdr:row>
                    <xdr:rowOff>22860</xdr:rowOff>
                  </from>
                  <to>
                    <xdr:col>11</xdr:col>
                    <xdr:colOff>784860</xdr:colOff>
                    <xdr:row>32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32" r:id="rId321" name="Spinner 576">
              <controlPr defaultSize="0" autoPict="0">
                <anchor moveWithCells="1" sizeWithCells="1">
                  <from>
                    <xdr:col>11</xdr:col>
                    <xdr:colOff>411480</xdr:colOff>
                    <xdr:row>32</xdr:row>
                    <xdr:rowOff>22860</xdr:rowOff>
                  </from>
                  <to>
                    <xdr:col>11</xdr:col>
                    <xdr:colOff>784860</xdr:colOff>
                    <xdr:row>32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33" r:id="rId322" name="Spinner 577">
              <controlPr defaultSize="0" autoPict="0">
                <anchor moveWithCells="1" sizeWithCells="1">
                  <from>
                    <xdr:col>11</xdr:col>
                    <xdr:colOff>411480</xdr:colOff>
                    <xdr:row>32</xdr:row>
                    <xdr:rowOff>22860</xdr:rowOff>
                  </from>
                  <to>
                    <xdr:col>11</xdr:col>
                    <xdr:colOff>784860</xdr:colOff>
                    <xdr:row>32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34" r:id="rId323" name="Spinner 578">
              <controlPr defaultSize="0" autoPict="0">
                <anchor moveWithCells="1" sizeWithCells="1">
                  <from>
                    <xdr:col>11</xdr:col>
                    <xdr:colOff>411480</xdr:colOff>
                    <xdr:row>32</xdr:row>
                    <xdr:rowOff>22860</xdr:rowOff>
                  </from>
                  <to>
                    <xdr:col>11</xdr:col>
                    <xdr:colOff>784860</xdr:colOff>
                    <xdr:row>32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35" r:id="rId324" name="Spinner 579">
              <controlPr defaultSize="0" autoPict="0">
                <anchor moveWithCells="1" sizeWithCells="1">
                  <from>
                    <xdr:col>11</xdr:col>
                    <xdr:colOff>411480</xdr:colOff>
                    <xdr:row>32</xdr:row>
                    <xdr:rowOff>22860</xdr:rowOff>
                  </from>
                  <to>
                    <xdr:col>11</xdr:col>
                    <xdr:colOff>784860</xdr:colOff>
                    <xdr:row>32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36" r:id="rId325" name="Spinner 580">
              <controlPr defaultSize="0" autoPict="0">
                <anchor moveWithCells="1" sizeWithCells="1">
                  <from>
                    <xdr:col>11</xdr:col>
                    <xdr:colOff>411480</xdr:colOff>
                    <xdr:row>32</xdr:row>
                    <xdr:rowOff>22860</xdr:rowOff>
                  </from>
                  <to>
                    <xdr:col>11</xdr:col>
                    <xdr:colOff>784860</xdr:colOff>
                    <xdr:row>32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37" r:id="rId326" name="Spinner 581">
              <controlPr defaultSize="0" autoPict="0">
                <anchor moveWithCells="1" sizeWithCells="1">
                  <from>
                    <xdr:col>11</xdr:col>
                    <xdr:colOff>411480</xdr:colOff>
                    <xdr:row>32</xdr:row>
                    <xdr:rowOff>22860</xdr:rowOff>
                  </from>
                  <to>
                    <xdr:col>11</xdr:col>
                    <xdr:colOff>784860</xdr:colOff>
                    <xdr:row>32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38" r:id="rId327" name="Spinner 582">
              <controlPr defaultSize="0" autoPict="0">
                <anchor moveWithCells="1" sizeWithCells="1">
                  <from>
                    <xdr:col>11</xdr:col>
                    <xdr:colOff>411480</xdr:colOff>
                    <xdr:row>32</xdr:row>
                    <xdr:rowOff>22860</xdr:rowOff>
                  </from>
                  <to>
                    <xdr:col>11</xdr:col>
                    <xdr:colOff>784860</xdr:colOff>
                    <xdr:row>32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39" r:id="rId328" name="Spinner 583">
              <controlPr defaultSize="0" autoPict="0">
                <anchor moveWithCells="1" sizeWithCells="1">
                  <from>
                    <xdr:col>11</xdr:col>
                    <xdr:colOff>411480</xdr:colOff>
                    <xdr:row>33</xdr:row>
                    <xdr:rowOff>22860</xdr:rowOff>
                  </from>
                  <to>
                    <xdr:col>11</xdr:col>
                    <xdr:colOff>784860</xdr:colOff>
                    <xdr:row>33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40" r:id="rId329" name="Spinner 584">
              <controlPr defaultSize="0" autoPict="0">
                <anchor moveWithCells="1" sizeWithCells="1">
                  <from>
                    <xdr:col>11</xdr:col>
                    <xdr:colOff>411480</xdr:colOff>
                    <xdr:row>33</xdr:row>
                    <xdr:rowOff>22860</xdr:rowOff>
                  </from>
                  <to>
                    <xdr:col>11</xdr:col>
                    <xdr:colOff>784860</xdr:colOff>
                    <xdr:row>33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41" r:id="rId330" name="Spinner 585">
              <controlPr defaultSize="0" autoPict="0">
                <anchor moveWithCells="1" sizeWithCells="1">
                  <from>
                    <xdr:col>11</xdr:col>
                    <xdr:colOff>411480</xdr:colOff>
                    <xdr:row>33</xdr:row>
                    <xdr:rowOff>22860</xdr:rowOff>
                  </from>
                  <to>
                    <xdr:col>11</xdr:col>
                    <xdr:colOff>784860</xdr:colOff>
                    <xdr:row>33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42" r:id="rId331" name="Spinner 586">
              <controlPr defaultSize="0" autoPict="0">
                <anchor moveWithCells="1" sizeWithCells="1">
                  <from>
                    <xdr:col>10</xdr:col>
                    <xdr:colOff>922020</xdr:colOff>
                    <xdr:row>33</xdr:row>
                    <xdr:rowOff>7620</xdr:rowOff>
                  </from>
                  <to>
                    <xdr:col>10</xdr:col>
                    <xdr:colOff>1295400</xdr:colOff>
                    <xdr:row>33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43" r:id="rId332" name="Spinner 587">
              <controlPr defaultSize="0" autoPict="0">
                <anchor moveWithCells="1" sizeWithCells="1">
                  <from>
                    <xdr:col>10</xdr:col>
                    <xdr:colOff>922020</xdr:colOff>
                    <xdr:row>33</xdr:row>
                    <xdr:rowOff>7620</xdr:rowOff>
                  </from>
                  <to>
                    <xdr:col>10</xdr:col>
                    <xdr:colOff>1295400</xdr:colOff>
                    <xdr:row>33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44" r:id="rId333" name="Spinner 588">
              <controlPr defaultSize="0" autoPict="0">
                <anchor moveWithCells="1" sizeWithCells="1">
                  <from>
                    <xdr:col>10</xdr:col>
                    <xdr:colOff>922020</xdr:colOff>
                    <xdr:row>33</xdr:row>
                    <xdr:rowOff>7620</xdr:rowOff>
                  </from>
                  <to>
                    <xdr:col>10</xdr:col>
                    <xdr:colOff>1295400</xdr:colOff>
                    <xdr:row>33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45" r:id="rId334" name="Spinner 589">
              <controlPr defaultSize="0" autoPict="0">
                <anchor moveWithCells="1" sizeWithCells="1">
                  <from>
                    <xdr:col>11</xdr:col>
                    <xdr:colOff>411480</xdr:colOff>
                    <xdr:row>33</xdr:row>
                    <xdr:rowOff>22860</xdr:rowOff>
                  </from>
                  <to>
                    <xdr:col>11</xdr:col>
                    <xdr:colOff>784860</xdr:colOff>
                    <xdr:row>33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46" r:id="rId335" name="Spinner 590">
              <controlPr defaultSize="0" autoPict="0">
                <anchor moveWithCells="1" sizeWithCells="1">
                  <from>
                    <xdr:col>10</xdr:col>
                    <xdr:colOff>922020</xdr:colOff>
                    <xdr:row>33</xdr:row>
                    <xdr:rowOff>7620</xdr:rowOff>
                  </from>
                  <to>
                    <xdr:col>10</xdr:col>
                    <xdr:colOff>1295400</xdr:colOff>
                    <xdr:row>33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47" r:id="rId336" name="Spinner 591">
              <controlPr defaultSize="0" autoPict="0">
                <anchor moveWithCells="1" sizeWithCells="1">
                  <from>
                    <xdr:col>10</xdr:col>
                    <xdr:colOff>922020</xdr:colOff>
                    <xdr:row>33</xdr:row>
                    <xdr:rowOff>7620</xdr:rowOff>
                  </from>
                  <to>
                    <xdr:col>10</xdr:col>
                    <xdr:colOff>1295400</xdr:colOff>
                    <xdr:row>33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48" r:id="rId337" name="Spinner 592">
              <controlPr defaultSize="0" autoPict="0">
                <anchor moveWithCells="1" sizeWithCells="1">
                  <from>
                    <xdr:col>11</xdr:col>
                    <xdr:colOff>411480</xdr:colOff>
                    <xdr:row>33</xdr:row>
                    <xdr:rowOff>22860</xdr:rowOff>
                  </from>
                  <to>
                    <xdr:col>11</xdr:col>
                    <xdr:colOff>784860</xdr:colOff>
                    <xdr:row>33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49" r:id="rId338" name="Spinner 593">
              <controlPr defaultSize="0" autoPict="0">
                <anchor moveWithCells="1" sizeWithCells="1">
                  <from>
                    <xdr:col>11</xdr:col>
                    <xdr:colOff>411480</xdr:colOff>
                    <xdr:row>33</xdr:row>
                    <xdr:rowOff>22860</xdr:rowOff>
                  </from>
                  <to>
                    <xdr:col>11</xdr:col>
                    <xdr:colOff>784860</xdr:colOff>
                    <xdr:row>33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50" r:id="rId339" name="Spinner 594">
              <controlPr defaultSize="0" autoPict="0">
                <anchor moveWithCells="1" sizeWithCells="1">
                  <from>
                    <xdr:col>11</xdr:col>
                    <xdr:colOff>411480</xdr:colOff>
                    <xdr:row>33</xdr:row>
                    <xdr:rowOff>22860</xdr:rowOff>
                  </from>
                  <to>
                    <xdr:col>11</xdr:col>
                    <xdr:colOff>784860</xdr:colOff>
                    <xdr:row>33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51" r:id="rId340" name="Spinner 595">
              <controlPr defaultSize="0" autoPict="0">
                <anchor moveWithCells="1" sizeWithCells="1">
                  <from>
                    <xdr:col>11</xdr:col>
                    <xdr:colOff>411480</xdr:colOff>
                    <xdr:row>33</xdr:row>
                    <xdr:rowOff>22860</xdr:rowOff>
                  </from>
                  <to>
                    <xdr:col>11</xdr:col>
                    <xdr:colOff>784860</xdr:colOff>
                    <xdr:row>33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52" r:id="rId341" name="Spinner 596">
              <controlPr defaultSize="0" autoPict="0">
                <anchor moveWithCells="1" sizeWithCells="1">
                  <from>
                    <xdr:col>11</xdr:col>
                    <xdr:colOff>411480</xdr:colOff>
                    <xdr:row>33</xdr:row>
                    <xdr:rowOff>22860</xdr:rowOff>
                  </from>
                  <to>
                    <xdr:col>11</xdr:col>
                    <xdr:colOff>784860</xdr:colOff>
                    <xdr:row>33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53" r:id="rId342" name="Spinner 597">
              <controlPr defaultSize="0" autoPict="0">
                <anchor moveWithCells="1" sizeWithCells="1">
                  <from>
                    <xdr:col>11</xdr:col>
                    <xdr:colOff>411480</xdr:colOff>
                    <xdr:row>33</xdr:row>
                    <xdr:rowOff>22860</xdr:rowOff>
                  </from>
                  <to>
                    <xdr:col>11</xdr:col>
                    <xdr:colOff>784860</xdr:colOff>
                    <xdr:row>33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54" r:id="rId343" name="Spinner 598">
              <controlPr defaultSize="0" autoPict="0">
                <anchor moveWithCells="1" sizeWithCells="1">
                  <from>
                    <xdr:col>11</xdr:col>
                    <xdr:colOff>411480</xdr:colOff>
                    <xdr:row>33</xdr:row>
                    <xdr:rowOff>22860</xdr:rowOff>
                  </from>
                  <to>
                    <xdr:col>11</xdr:col>
                    <xdr:colOff>784860</xdr:colOff>
                    <xdr:row>33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55" r:id="rId344" name="Spinner 599">
              <controlPr defaultSize="0" autoPict="0">
                <anchor moveWithCells="1" sizeWithCells="1">
                  <from>
                    <xdr:col>11</xdr:col>
                    <xdr:colOff>411480</xdr:colOff>
                    <xdr:row>33</xdr:row>
                    <xdr:rowOff>22860</xdr:rowOff>
                  </from>
                  <to>
                    <xdr:col>11</xdr:col>
                    <xdr:colOff>784860</xdr:colOff>
                    <xdr:row>33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56" r:id="rId345" name="Spinner 600">
              <controlPr defaultSize="0" autoPict="0">
                <anchor moveWithCells="1" sizeWithCells="1">
                  <from>
                    <xdr:col>11</xdr:col>
                    <xdr:colOff>411480</xdr:colOff>
                    <xdr:row>34</xdr:row>
                    <xdr:rowOff>22860</xdr:rowOff>
                  </from>
                  <to>
                    <xdr:col>11</xdr:col>
                    <xdr:colOff>784860</xdr:colOff>
                    <xdr:row>34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57" r:id="rId346" name="Spinner 601">
              <controlPr defaultSize="0" autoPict="0">
                <anchor moveWithCells="1" sizeWithCells="1">
                  <from>
                    <xdr:col>11</xdr:col>
                    <xdr:colOff>411480</xdr:colOff>
                    <xdr:row>34</xdr:row>
                    <xdr:rowOff>22860</xdr:rowOff>
                  </from>
                  <to>
                    <xdr:col>11</xdr:col>
                    <xdr:colOff>784860</xdr:colOff>
                    <xdr:row>34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58" r:id="rId347" name="Spinner 602">
              <controlPr defaultSize="0" autoPict="0">
                <anchor moveWithCells="1" sizeWithCells="1">
                  <from>
                    <xdr:col>11</xdr:col>
                    <xdr:colOff>411480</xdr:colOff>
                    <xdr:row>34</xdr:row>
                    <xdr:rowOff>22860</xdr:rowOff>
                  </from>
                  <to>
                    <xdr:col>11</xdr:col>
                    <xdr:colOff>784860</xdr:colOff>
                    <xdr:row>34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59" r:id="rId348" name="Spinner 603">
              <controlPr defaultSize="0" autoPict="0">
                <anchor moveWithCells="1" sizeWithCells="1">
                  <from>
                    <xdr:col>10</xdr:col>
                    <xdr:colOff>922020</xdr:colOff>
                    <xdr:row>34</xdr:row>
                    <xdr:rowOff>7620</xdr:rowOff>
                  </from>
                  <to>
                    <xdr:col>10</xdr:col>
                    <xdr:colOff>1295400</xdr:colOff>
                    <xdr:row>34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60" r:id="rId349" name="Spinner 604">
              <controlPr defaultSize="0" autoPict="0">
                <anchor moveWithCells="1" sizeWithCells="1">
                  <from>
                    <xdr:col>10</xdr:col>
                    <xdr:colOff>922020</xdr:colOff>
                    <xdr:row>34</xdr:row>
                    <xdr:rowOff>7620</xdr:rowOff>
                  </from>
                  <to>
                    <xdr:col>10</xdr:col>
                    <xdr:colOff>1295400</xdr:colOff>
                    <xdr:row>34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61" r:id="rId350" name="Spinner 605">
              <controlPr defaultSize="0" autoPict="0">
                <anchor moveWithCells="1" sizeWithCells="1">
                  <from>
                    <xdr:col>10</xdr:col>
                    <xdr:colOff>922020</xdr:colOff>
                    <xdr:row>34</xdr:row>
                    <xdr:rowOff>7620</xdr:rowOff>
                  </from>
                  <to>
                    <xdr:col>10</xdr:col>
                    <xdr:colOff>1295400</xdr:colOff>
                    <xdr:row>34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62" r:id="rId351" name="Spinner 606">
              <controlPr defaultSize="0" autoPict="0">
                <anchor moveWithCells="1" sizeWithCells="1">
                  <from>
                    <xdr:col>11</xdr:col>
                    <xdr:colOff>411480</xdr:colOff>
                    <xdr:row>34</xdr:row>
                    <xdr:rowOff>22860</xdr:rowOff>
                  </from>
                  <to>
                    <xdr:col>11</xdr:col>
                    <xdr:colOff>784860</xdr:colOff>
                    <xdr:row>34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63" r:id="rId352" name="Spinner 607">
              <controlPr defaultSize="0" autoPict="0">
                <anchor moveWithCells="1" sizeWithCells="1">
                  <from>
                    <xdr:col>10</xdr:col>
                    <xdr:colOff>922020</xdr:colOff>
                    <xdr:row>34</xdr:row>
                    <xdr:rowOff>7620</xdr:rowOff>
                  </from>
                  <to>
                    <xdr:col>10</xdr:col>
                    <xdr:colOff>1295400</xdr:colOff>
                    <xdr:row>34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64" r:id="rId353" name="Spinner 608">
              <controlPr defaultSize="0" autoPict="0">
                <anchor moveWithCells="1" sizeWithCells="1">
                  <from>
                    <xdr:col>10</xdr:col>
                    <xdr:colOff>922020</xdr:colOff>
                    <xdr:row>34</xdr:row>
                    <xdr:rowOff>7620</xdr:rowOff>
                  </from>
                  <to>
                    <xdr:col>10</xdr:col>
                    <xdr:colOff>1295400</xdr:colOff>
                    <xdr:row>34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65" r:id="rId354" name="Spinner 609">
              <controlPr defaultSize="0" autoPict="0">
                <anchor moveWithCells="1" sizeWithCells="1">
                  <from>
                    <xdr:col>11</xdr:col>
                    <xdr:colOff>411480</xdr:colOff>
                    <xdr:row>34</xdr:row>
                    <xdr:rowOff>22860</xdr:rowOff>
                  </from>
                  <to>
                    <xdr:col>11</xdr:col>
                    <xdr:colOff>784860</xdr:colOff>
                    <xdr:row>34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66" r:id="rId355" name="Spinner 610">
              <controlPr defaultSize="0" autoPict="0">
                <anchor moveWithCells="1" sizeWithCells="1">
                  <from>
                    <xdr:col>11</xdr:col>
                    <xdr:colOff>411480</xdr:colOff>
                    <xdr:row>34</xdr:row>
                    <xdr:rowOff>22860</xdr:rowOff>
                  </from>
                  <to>
                    <xdr:col>11</xdr:col>
                    <xdr:colOff>784860</xdr:colOff>
                    <xdr:row>34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67" r:id="rId356" name="Spinner 611">
              <controlPr defaultSize="0" autoPict="0">
                <anchor moveWithCells="1" sizeWithCells="1">
                  <from>
                    <xdr:col>11</xdr:col>
                    <xdr:colOff>411480</xdr:colOff>
                    <xdr:row>34</xdr:row>
                    <xdr:rowOff>22860</xdr:rowOff>
                  </from>
                  <to>
                    <xdr:col>11</xdr:col>
                    <xdr:colOff>784860</xdr:colOff>
                    <xdr:row>34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68" r:id="rId357" name="Spinner 612">
              <controlPr defaultSize="0" autoPict="0">
                <anchor moveWithCells="1" sizeWithCells="1">
                  <from>
                    <xdr:col>11</xdr:col>
                    <xdr:colOff>411480</xdr:colOff>
                    <xdr:row>34</xdr:row>
                    <xdr:rowOff>22860</xdr:rowOff>
                  </from>
                  <to>
                    <xdr:col>11</xdr:col>
                    <xdr:colOff>784860</xdr:colOff>
                    <xdr:row>34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69" r:id="rId358" name="Spinner 613">
              <controlPr defaultSize="0" autoPict="0">
                <anchor moveWithCells="1" sizeWithCells="1">
                  <from>
                    <xdr:col>11</xdr:col>
                    <xdr:colOff>411480</xdr:colOff>
                    <xdr:row>34</xdr:row>
                    <xdr:rowOff>22860</xdr:rowOff>
                  </from>
                  <to>
                    <xdr:col>11</xdr:col>
                    <xdr:colOff>784860</xdr:colOff>
                    <xdr:row>34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70" r:id="rId359" name="Spinner 614">
              <controlPr defaultSize="0" autoPict="0">
                <anchor moveWithCells="1" sizeWithCells="1">
                  <from>
                    <xdr:col>11</xdr:col>
                    <xdr:colOff>411480</xdr:colOff>
                    <xdr:row>34</xdr:row>
                    <xdr:rowOff>22860</xdr:rowOff>
                  </from>
                  <to>
                    <xdr:col>11</xdr:col>
                    <xdr:colOff>784860</xdr:colOff>
                    <xdr:row>34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71" r:id="rId360" name="Spinner 615">
              <controlPr defaultSize="0" autoPict="0">
                <anchor moveWithCells="1" sizeWithCells="1">
                  <from>
                    <xdr:col>11</xdr:col>
                    <xdr:colOff>411480</xdr:colOff>
                    <xdr:row>34</xdr:row>
                    <xdr:rowOff>22860</xdr:rowOff>
                  </from>
                  <to>
                    <xdr:col>11</xdr:col>
                    <xdr:colOff>784860</xdr:colOff>
                    <xdr:row>34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72" r:id="rId361" name="Spinner 616">
              <controlPr defaultSize="0" autoPict="0">
                <anchor moveWithCells="1" sizeWithCells="1">
                  <from>
                    <xdr:col>11</xdr:col>
                    <xdr:colOff>411480</xdr:colOff>
                    <xdr:row>34</xdr:row>
                    <xdr:rowOff>22860</xdr:rowOff>
                  </from>
                  <to>
                    <xdr:col>11</xdr:col>
                    <xdr:colOff>784860</xdr:colOff>
                    <xdr:row>34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73" r:id="rId362" name="Spinner 617">
              <controlPr defaultSize="0" autoPict="0">
                <anchor moveWithCells="1" sizeWithCells="1">
                  <from>
                    <xdr:col>11</xdr:col>
                    <xdr:colOff>411480</xdr:colOff>
                    <xdr:row>35</xdr:row>
                    <xdr:rowOff>22860</xdr:rowOff>
                  </from>
                  <to>
                    <xdr:col>11</xdr:col>
                    <xdr:colOff>784860</xdr:colOff>
                    <xdr:row>35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74" r:id="rId363" name="Spinner 618">
              <controlPr defaultSize="0" autoPict="0">
                <anchor moveWithCells="1" sizeWithCells="1">
                  <from>
                    <xdr:col>11</xdr:col>
                    <xdr:colOff>411480</xdr:colOff>
                    <xdr:row>35</xdr:row>
                    <xdr:rowOff>22860</xdr:rowOff>
                  </from>
                  <to>
                    <xdr:col>11</xdr:col>
                    <xdr:colOff>784860</xdr:colOff>
                    <xdr:row>35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75" r:id="rId364" name="Spinner 619">
              <controlPr defaultSize="0" autoPict="0">
                <anchor moveWithCells="1" sizeWithCells="1">
                  <from>
                    <xdr:col>11</xdr:col>
                    <xdr:colOff>411480</xdr:colOff>
                    <xdr:row>35</xdr:row>
                    <xdr:rowOff>22860</xdr:rowOff>
                  </from>
                  <to>
                    <xdr:col>11</xdr:col>
                    <xdr:colOff>784860</xdr:colOff>
                    <xdr:row>35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76" r:id="rId365" name="Spinner 620">
              <controlPr defaultSize="0" autoPict="0">
                <anchor moveWithCells="1" sizeWithCells="1">
                  <from>
                    <xdr:col>10</xdr:col>
                    <xdr:colOff>922020</xdr:colOff>
                    <xdr:row>35</xdr:row>
                    <xdr:rowOff>7620</xdr:rowOff>
                  </from>
                  <to>
                    <xdr:col>10</xdr:col>
                    <xdr:colOff>1295400</xdr:colOff>
                    <xdr:row>35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77" r:id="rId366" name="Spinner 621">
              <controlPr defaultSize="0" autoPict="0">
                <anchor moveWithCells="1" sizeWithCells="1">
                  <from>
                    <xdr:col>10</xdr:col>
                    <xdr:colOff>922020</xdr:colOff>
                    <xdr:row>35</xdr:row>
                    <xdr:rowOff>7620</xdr:rowOff>
                  </from>
                  <to>
                    <xdr:col>10</xdr:col>
                    <xdr:colOff>1295400</xdr:colOff>
                    <xdr:row>35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78" r:id="rId367" name="Spinner 622">
              <controlPr defaultSize="0" autoPict="0">
                <anchor moveWithCells="1" sizeWithCells="1">
                  <from>
                    <xdr:col>10</xdr:col>
                    <xdr:colOff>922020</xdr:colOff>
                    <xdr:row>35</xdr:row>
                    <xdr:rowOff>7620</xdr:rowOff>
                  </from>
                  <to>
                    <xdr:col>10</xdr:col>
                    <xdr:colOff>1295400</xdr:colOff>
                    <xdr:row>35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79" r:id="rId368" name="Spinner 623">
              <controlPr defaultSize="0" autoPict="0">
                <anchor moveWithCells="1" sizeWithCells="1">
                  <from>
                    <xdr:col>11</xdr:col>
                    <xdr:colOff>411480</xdr:colOff>
                    <xdr:row>35</xdr:row>
                    <xdr:rowOff>22860</xdr:rowOff>
                  </from>
                  <to>
                    <xdr:col>11</xdr:col>
                    <xdr:colOff>784860</xdr:colOff>
                    <xdr:row>35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80" r:id="rId369" name="Spinner 624">
              <controlPr defaultSize="0" autoPict="0">
                <anchor moveWithCells="1" sizeWithCells="1">
                  <from>
                    <xdr:col>10</xdr:col>
                    <xdr:colOff>922020</xdr:colOff>
                    <xdr:row>35</xdr:row>
                    <xdr:rowOff>7620</xdr:rowOff>
                  </from>
                  <to>
                    <xdr:col>10</xdr:col>
                    <xdr:colOff>1295400</xdr:colOff>
                    <xdr:row>35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81" r:id="rId370" name="Spinner 625">
              <controlPr defaultSize="0" autoPict="0">
                <anchor moveWithCells="1" sizeWithCells="1">
                  <from>
                    <xdr:col>10</xdr:col>
                    <xdr:colOff>922020</xdr:colOff>
                    <xdr:row>35</xdr:row>
                    <xdr:rowOff>7620</xdr:rowOff>
                  </from>
                  <to>
                    <xdr:col>10</xdr:col>
                    <xdr:colOff>1295400</xdr:colOff>
                    <xdr:row>35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82" r:id="rId371" name="Spinner 626">
              <controlPr defaultSize="0" autoPict="0">
                <anchor moveWithCells="1" sizeWithCells="1">
                  <from>
                    <xdr:col>11</xdr:col>
                    <xdr:colOff>411480</xdr:colOff>
                    <xdr:row>35</xdr:row>
                    <xdr:rowOff>22860</xdr:rowOff>
                  </from>
                  <to>
                    <xdr:col>11</xdr:col>
                    <xdr:colOff>784860</xdr:colOff>
                    <xdr:row>35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83" r:id="rId372" name="Spinner 627">
              <controlPr defaultSize="0" autoPict="0">
                <anchor moveWithCells="1" sizeWithCells="1">
                  <from>
                    <xdr:col>11</xdr:col>
                    <xdr:colOff>411480</xdr:colOff>
                    <xdr:row>35</xdr:row>
                    <xdr:rowOff>22860</xdr:rowOff>
                  </from>
                  <to>
                    <xdr:col>11</xdr:col>
                    <xdr:colOff>784860</xdr:colOff>
                    <xdr:row>35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84" r:id="rId373" name="Spinner 628">
              <controlPr defaultSize="0" autoPict="0">
                <anchor moveWithCells="1" sizeWithCells="1">
                  <from>
                    <xdr:col>11</xdr:col>
                    <xdr:colOff>411480</xdr:colOff>
                    <xdr:row>35</xdr:row>
                    <xdr:rowOff>22860</xdr:rowOff>
                  </from>
                  <to>
                    <xdr:col>11</xdr:col>
                    <xdr:colOff>784860</xdr:colOff>
                    <xdr:row>35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85" r:id="rId374" name="Spinner 629">
              <controlPr defaultSize="0" autoPict="0">
                <anchor moveWithCells="1" sizeWithCells="1">
                  <from>
                    <xdr:col>11</xdr:col>
                    <xdr:colOff>411480</xdr:colOff>
                    <xdr:row>35</xdr:row>
                    <xdr:rowOff>22860</xdr:rowOff>
                  </from>
                  <to>
                    <xdr:col>11</xdr:col>
                    <xdr:colOff>784860</xdr:colOff>
                    <xdr:row>35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86" r:id="rId375" name="Spinner 630">
              <controlPr defaultSize="0" autoPict="0">
                <anchor moveWithCells="1" sizeWithCells="1">
                  <from>
                    <xdr:col>11</xdr:col>
                    <xdr:colOff>411480</xdr:colOff>
                    <xdr:row>35</xdr:row>
                    <xdr:rowOff>22860</xdr:rowOff>
                  </from>
                  <to>
                    <xdr:col>11</xdr:col>
                    <xdr:colOff>784860</xdr:colOff>
                    <xdr:row>35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87" r:id="rId376" name="Spinner 631">
              <controlPr defaultSize="0" autoPict="0">
                <anchor moveWithCells="1" sizeWithCells="1">
                  <from>
                    <xdr:col>11</xdr:col>
                    <xdr:colOff>411480</xdr:colOff>
                    <xdr:row>35</xdr:row>
                    <xdr:rowOff>22860</xdr:rowOff>
                  </from>
                  <to>
                    <xdr:col>11</xdr:col>
                    <xdr:colOff>784860</xdr:colOff>
                    <xdr:row>35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88" r:id="rId377" name="Spinner 632">
              <controlPr defaultSize="0" autoPict="0">
                <anchor moveWithCells="1" sizeWithCells="1">
                  <from>
                    <xdr:col>11</xdr:col>
                    <xdr:colOff>411480</xdr:colOff>
                    <xdr:row>35</xdr:row>
                    <xdr:rowOff>22860</xdr:rowOff>
                  </from>
                  <to>
                    <xdr:col>11</xdr:col>
                    <xdr:colOff>784860</xdr:colOff>
                    <xdr:row>35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89" r:id="rId378" name="Spinner 633">
              <controlPr defaultSize="0" autoPict="0">
                <anchor moveWithCells="1" sizeWithCells="1">
                  <from>
                    <xdr:col>11</xdr:col>
                    <xdr:colOff>411480</xdr:colOff>
                    <xdr:row>35</xdr:row>
                    <xdr:rowOff>22860</xdr:rowOff>
                  </from>
                  <to>
                    <xdr:col>11</xdr:col>
                    <xdr:colOff>784860</xdr:colOff>
                    <xdr:row>35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03" r:id="rId379" name="Spinner 647">
              <controlPr defaultSize="0" autoPict="0">
                <anchor moveWithCells="1" sizeWithCells="1">
                  <from>
                    <xdr:col>11</xdr:col>
                    <xdr:colOff>411480</xdr:colOff>
                    <xdr:row>35</xdr:row>
                    <xdr:rowOff>22860</xdr:rowOff>
                  </from>
                  <to>
                    <xdr:col>11</xdr:col>
                    <xdr:colOff>784860</xdr:colOff>
                    <xdr:row>35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04" r:id="rId380" name="Spinner 648">
              <controlPr defaultSize="0" autoPict="0">
                <anchor moveWithCells="1" sizeWithCells="1">
                  <from>
                    <xdr:col>11</xdr:col>
                    <xdr:colOff>411480</xdr:colOff>
                    <xdr:row>35</xdr:row>
                    <xdr:rowOff>22860</xdr:rowOff>
                  </from>
                  <to>
                    <xdr:col>11</xdr:col>
                    <xdr:colOff>784860</xdr:colOff>
                    <xdr:row>35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05" r:id="rId381" name="Spinner 649">
              <controlPr defaultSize="0" autoPict="0">
                <anchor moveWithCells="1" sizeWithCells="1">
                  <from>
                    <xdr:col>11</xdr:col>
                    <xdr:colOff>411480</xdr:colOff>
                    <xdr:row>35</xdr:row>
                    <xdr:rowOff>22860</xdr:rowOff>
                  </from>
                  <to>
                    <xdr:col>11</xdr:col>
                    <xdr:colOff>784860</xdr:colOff>
                    <xdr:row>35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06" r:id="rId382" name="Spinner 650">
              <controlPr defaultSize="0" autoPict="0">
                <anchor moveWithCells="1" sizeWithCells="1">
                  <from>
                    <xdr:col>11</xdr:col>
                    <xdr:colOff>411480</xdr:colOff>
                    <xdr:row>35</xdr:row>
                    <xdr:rowOff>22860</xdr:rowOff>
                  </from>
                  <to>
                    <xdr:col>11</xdr:col>
                    <xdr:colOff>784860</xdr:colOff>
                    <xdr:row>35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07" r:id="rId383" name="Spinner 651">
              <controlPr defaultSize="0" autoPict="0">
                <anchor moveWithCells="1" sizeWithCells="1">
                  <from>
                    <xdr:col>11</xdr:col>
                    <xdr:colOff>411480</xdr:colOff>
                    <xdr:row>35</xdr:row>
                    <xdr:rowOff>22860</xdr:rowOff>
                  </from>
                  <to>
                    <xdr:col>11</xdr:col>
                    <xdr:colOff>784860</xdr:colOff>
                    <xdr:row>35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08" r:id="rId384" name="Spinner 652">
              <controlPr defaultSize="0" autoPict="0">
                <anchor moveWithCells="1" sizeWithCells="1">
                  <from>
                    <xdr:col>11</xdr:col>
                    <xdr:colOff>411480</xdr:colOff>
                    <xdr:row>35</xdr:row>
                    <xdr:rowOff>22860</xdr:rowOff>
                  </from>
                  <to>
                    <xdr:col>11</xdr:col>
                    <xdr:colOff>784860</xdr:colOff>
                    <xdr:row>35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09" r:id="rId385" name="Spinner 653">
              <controlPr defaultSize="0" autoPict="0">
                <anchor moveWithCells="1" sizeWithCells="1">
                  <from>
                    <xdr:col>11</xdr:col>
                    <xdr:colOff>411480</xdr:colOff>
                    <xdr:row>35</xdr:row>
                    <xdr:rowOff>22860</xdr:rowOff>
                  </from>
                  <to>
                    <xdr:col>11</xdr:col>
                    <xdr:colOff>784860</xdr:colOff>
                    <xdr:row>35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10" r:id="rId386" name="Spinner 654">
              <controlPr defaultSize="0" autoPict="0">
                <anchor moveWithCells="1" sizeWithCells="1">
                  <from>
                    <xdr:col>11</xdr:col>
                    <xdr:colOff>411480</xdr:colOff>
                    <xdr:row>35</xdr:row>
                    <xdr:rowOff>22860</xdr:rowOff>
                  </from>
                  <to>
                    <xdr:col>11</xdr:col>
                    <xdr:colOff>784860</xdr:colOff>
                    <xdr:row>35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11" r:id="rId387" name="Spinner 655">
              <controlPr defaultSize="0" autoPict="0">
                <anchor moveWithCells="1" sizeWithCells="1">
                  <from>
                    <xdr:col>11</xdr:col>
                    <xdr:colOff>411480</xdr:colOff>
                    <xdr:row>35</xdr:row>
                    <xdr:rowOff>22860</xdr:rowOff>
                  </from>
                  <to>
                    <xdr:col>11</xdr:col>
                    <xdr:colOff>784860</xdr:colOff>
                    <xdr:row>35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12" r:id="rId388" name="Spinner 656">
              <controlPr defaultSize="0" autoPict="0">
                <anchor moveWithCells="1" sizeWithCells="1">
                  <from>
                    <xdr:col>11</xdr:col>
                    <xdr:colOff>411480</xdr:colOff>
                    <xdr:row>35</xdr:row>
                    <xdr:rowOff>22860</xdr:rowOff>
                  </from>
                  <to>
                    <xdr:col>11</xdr:col>
                    <xdr:colOff>784860</xdr:colOff>
                    <xdr:row>35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13" r:id="rId389" name="Spinner 657">
              <controlPr defaultSize="0" autoPict="0">
                <anchor moveWithCells="1" sizeWithCells="1">
                  <from>
                    <xdr:col>11</xdr:col>
                    <xdr:colOff>411480</xdr:colOff>
                    <xdr:row>35</xdr:row>
                    <xdr:rowOff>22860</xdr:rowOff>
                  </from>
                  <to>
                    <xdr:col>11</xdr:col>
                    <xdr:colOff>784860</xdr:colOff>
                    <xdr:row>35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14" r:id="rId390" name="Spinner 658">
              <controlPr defaultSize="0" autoPict="0">
                <anchor moveWithCells="1" sizeWithCells="1">
                  <from>
                    <xdr:col>11</xdr:col>
                    <xdr:colOff>411480</xdr:colOff>
                    <xdr:row>35</xdr:row>
                    <xdr:rowOff>22860</xdr:rowOff>
                  </from>
                  <to>
                    <xdr:col>11</xdr:col>
                    <xdr:colOff>784860</xdr:colOff>
                    <xdr:row>35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15" r:id="rId391" name="Spinner 659">
              <controlPr defaultSize="0" autoPict="0">
                <anchor moveWithCells="1" sizeWithCells="1">
                  <from>
                    <xdr:col>11</xdr:col>
                    <xdr:colOff>411480</xdr:colOff>
                    <xdr:row>36</xdr:row>
                    <xdr:rowOff>22860</xdr:rowOff>
                  </from>
                  <to>
                    <xdr:col>11</xdr:col>
                    <xdr:colOff>784860</xdr:colOff>
                    <xdr:row>36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16" r:id="rId392" name="Spinner 660">
              <controlPr defaultSize="0" autoPict="0">
                <anchor moveWithCells="1" sizeWithCells="1">
                  <from>
                    <xdr:col>11</xdr:col>
                    <xdr:colOff>411480</xdr:colOff>
                    <xdr:row>36</xdr:row>
                    <xdr:rowOff>22860</xdr:rowOff>
                  </from>
                  <to>
                    <xdr:col>11</xdr:col>
                    <xdr:colOff>784860</xdr:colOff>
                    <xdr:row>36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17" r:id="rId393" name="Spinner 661">
              <controlPr defaultSize="0" autoPict="0">
                <anchor moveWithCells="1" sizeWithCells="1">
                  <from>
                    <xdr:col>11</xdr:col>
                    <xdr:colOff>411480</xdr:colOff>
                    <xdr:row>36</xdr:row>
                    <xdr:rowOff>22860</xdr:rowOff>
                  </from>
                  <to>
                    <xdr:col>11</xdr:col>
                    <xdr:colOff>784860</xdr:colOff>
                    <xdr:row>36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18" r:id="rId394" name="Spinner 662">
              <controlPr defaultSize="0" autoPict="0">
                <anchor moveWithCells="1" sizeWithCells="1">
                  <from>
                    <xdr:col>10</xdr:col>
                    <xdr:colOff>922020</xdr:colOff>
                    <xdr:row>36</xdr:row>
                    <xdr:rowOff>7620</xdr:rowOff>
                  </from>
                  <to>
                    <xdr:col>10</xdr:col>
                    <xdr:colOff>1295400</xdr:colOff>
                    <xdr:row>36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19" r:id="rId395" name="Spinner 663">
              <controlPr defaultSize="0" autoPict="0">
                <anchor moveWithCells="1" sizeWithCells="1">
                  <from>
                    <xdr:col>10</xdr:col>
                    <xdr:colOff>922020</xdr:colOff>
                    <xdr:row>36</xdr:row>
                    <xdr:rowOff>7620</xdr:rowOff>
                  </from>
                  <to>
                    <xdr:col>10</xdr:col>
                    <xdr:colOff>1295400</xdr:colOff>
                    <xdr:row>36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20" r:id="rId396" name="Spinner 664">
              <controlPr defaultSize="0" autoPict="0">
                <anchor moveWithCells="1" sizeWithCells="1">
                  <from>
                    <xdr:col>10</xdr:col>
                    <xdr:colOff>922020</xdr:colOff>
                    <xdr:row>36</xdr:row>
                    <xdr:rowOff>7620</xdr:rowOff>
                  </from>
                  <to>
                    <xdr:col>10</xdr:col>
                    <xdr:colOff>1295400</xdr:colOff>
                    <xdr:row>36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21" r:id="rId397" name="Spinner 665">
              <controlPr defaultSize="0" autoPict="0">
                <anchor moveWithCells="1" sizeWithCells="1">
                  <from>
                    <xdr:col>11</xdr:col>
                    <xdr:colOff>411480</xdr:colOff>
                    <xdr:row>36</xdr:row>
                    <xdr:rowOff>22860</xdr:rowOff>
                  </from>
                  <to>
                    <xdr:col>11</xdr:col>
                    <xdr:colOff>784860</xdr:colOff>
                    <xdr:row>36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22" r:id="rId398" name="Spinner 666">
              <controlPr defaultSize="0" autoPict="0">
                <anchor moveWithCells="1" sizeWithCells="1">
                  <from>
                    <xdr:col>10</xdr:col>
                    <xdr:colOff>922020</xdr:colOff>
                    <xdr:row>36</xdr:row>
                    <xdr:rowOff>7620</xdr:rowOff>
                  </from>
                  <to>
                    <xdr:col>10</xdr:col>
                    <xdr:colOff>1295400</xdr:colOff>
                    <xdr:row>36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23" r:id="rId399" name="Spinner 667">
              <controlPr defaultSize="0" autoPict="0">
                <anchor moveWithCells="1" sizeWithCells="1">
                  <from>
                    <xdr:col>10</xdr:col>
                    <xdr:colOff>922020</xdr:colOff>
                    <xdr:row>36</xdr:row>
                    <xdr:rowOff>7620</xdr:rowOff>
                  </from>
                  <to>
                    <xdr:col>10</xdr:col>
                    <xdr:colOff>1295400</xdr:colOff>
                    <xdr:row>36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24" r:id="rId400" name="Spinner 668">
              <controlPr defaultSize="0" autoPict="0">
                <anchor moveWithCells="1" sizeWithCells="1">
                  <from>
                    <xdr:col>11</xdr:col>
                    <xdr:colOff>411480</xdr:colOff>
                    <xdr:row>36</xdr:row>
                    <xdr:rowOff>22860</xdr:rowOff>
                  </from>
                  <to>
                    <xdr:col>11</xdr:col>
                    <xdr:colOff>784860</xdr:colOff>
                    <xdr:row>36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25" r:id="rId401" name="Spinner 669">
              <controlPr defaultSize="0" autoPict="0">
                <anchor moveWithCells="1" sizeWithCells="1">
                  <from>
                    <xdr:col>11</xdr:col>
                    <xdr:colOff>411480</xdr:colOff>
                    <xdr:row>36</xdr:row>
                    <xdr:rowOff>22860</xdr:rowOff>
                  </from>
                  <to>
                    <xdr:col>11</xdr:col>
                    <xdr:colOff>784860</xdr:colOff>
                    <xdr:row>36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26" r:id="rId402" name="Spinner 670">
              <controlPr defaultSize="0" autoPict="0">
                <anchor moveWithCells="1" sizeWithCells="1">
                  <from>
                    <xdr:col>11</xdr:col>
                    <xdr:colOff>411480</xdr:colOff>
                    <xdr:row>36</xdr:row>
                    <xdr:rowOff>22860</xdr:rowOff>
                  </from>
                  <to>
                    <xdr:col>11</xdr:col>
                    <xdr:colOff>784860</xdr:colOff>
                    <xdr:row>36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27" r:id="rId403" name="Spinner 671">
              <controlPr defaultSize="0" autoPict="0">
                <anchor moveWithCells="1" sizeWithCells="1">
                  <from>
                    <xdr:col>11</xdr:col>
                    <xdr:colOff>411480</xdr:colOff>
                    <xdr:row>36</xdr:row>
                    <xdr:rowOff>22860</xdr:rowOff>
                  </from>
                  <to>
                    <xdr:col>11</xdr:col>
                    <xdr:colOff>784860</xdr:colOff>
                    <xdr:row>36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28" r:id="rId404" name="Spinner 672">
              <controlPr defaultSize="0" autoPict="0">
                <anchor moveWithCells="1" sizeWithCells="1">
                  <from>
                    <xdr:col>11</xdr:col>
                    <xdr:colOff>411480</xdr:colOff>
                    <xdr:row>36</xdr:row>
                    <xdr:rowOff>22860</xdr:rowOff>
                  </from>
                  <to>
                    <xdr:col>11</xdr:col>
                    <xdr:colOff>784860</xdr:colOff>
                    <xdr:row>36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29" r:id="rId405" name="Spinner 673">
              <controlPr defaultSize="0" autoPict="0">
                <anchor moveWithCells="1" sizeWithCells="1">
                  <from>
                    <xdr:col>11</xdr:col>
                    <xdr:colOff>411480</xdr:colOff>
                    <xdr:row>36</xdr:row>
                    <xdr:rowOff>22860</xdr:rowOff>
                  </from>
                  <to>
                    <xdr:col>11</xdr:col>
                    <xdr:colOff>784860</xdr:colOff>
                    <xdr:row>36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30" r:id="rId406" name="Spinner 674">
              <controlPr defaultSize="0" autoPict="0">
                <anchor moveWithCells="1" sizeWithCells="1">
                  <from>
                    <xdr:col>11</xdr:col>
                    <xdr:colOff>411480</xdr:colOff>
                    <xdr:row>36</xdr:row>
                    <xdr:rowOff>22860</xdr:rowOff>
                  </from>
                  <to>
                    <xdr:col>11</xdr:col>
                    <xdr:colOff>784860</xdr:colOff>
                    <xdr:row>36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31" r:id="rId407" name="Spinner 675">
              <controlPr defaultSize="0" autoPict="0">
                <anchor moveWithCells="1" sizeWithCells="1">
                  <from>
                    <xdr:col>11</xdr:col>
                    <xdr:colOff>411480</xdr:colOff>
                    <xdr:row>36</xdr:row>
                    <xdr:rowOff>22860</xdr:rowOff>
                  </from>
                  <to>
                    <xdr:col>11</xdr:col>
                    <xdr:colOff>784860</xdr:colOff>
                    <xdr:row>36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32" r:id="rId408" name="Spinner 676">
              <controlPr defaultSize="0" autoPict="0">
                <anchor moveWithCells="1" sizeWithCells="1">
                  <from>
                    <xdr:col>11</xdr:col>
                    <xdr:colOff>411480</xdr:colOff>
                    <xdr:row>36</xdr:row>
                    <xdr:rowOff>22860</xdr:rowOff>
                  </from>
                  <to>
                    <xdr:col>11</xdr:col>
                    <xdr:colOff>784860</xdr:colOff>
                    <xdr:row>36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33" r:id="rId409" name="Spinner 677">
              <controlPr defaultSize="0" autoPict="0">
                <anchor moveWithCells="1" sizeWithCells="1">
                  <from>
                    <xdr:col>11</xdr:col>
                    <xdr:colOff>411480</xdr:colOff>
                    <xdr:row>36</xdr:row>
                    <xdr:rowOff>22860</xdr:rowOff>
                  </from>
                  <to>
                    <xdr:col>11</xdr:col>
                    <xdr:colOff>784860</xdr:colOff>
                    <xdr:row>36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34" r:id="rId410" name="Spinner 678">
              <controlPr defaultSize="0" autoPict="0">
                <anchor moveWithCells="1" sizeWithCells="1">
                  <from>
                    <xdr:col>11</xdr:col>
                    <xdr:colOff>411480</xdr:colOff>
                    <xdr:row>36</xdr:row>
                    <xdr:rowOff>22860</xdr:rowOff>
                  </from>
                  <to>
                    <xdr:col>11</xdr:col>
                    <xdr:colOff>784860</xdr:colOff>
                    <xdr:row>36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35" r:id="rId411" name="Spinner 679">
              <controlPr defaultSize="0" autoPict="0">
                <anchor moveWithCells="1" sizeWithCells="1">
                  <from>
                    <xdr:col>11</xdr:col>
                    <xdr:colOff>411480</xdr:colOff>
                    <xdr:row>36</xdr:row>
                    <xdr:rowOff>22860</xdr:rowOff>
                  </from>
                  <to>
                    <xdr:col>11</xdr:col>
                    <xdr:colOff>784860</xdr:colOff>
                    <xdr:row>36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36" r:id="rId412" name="Spinner 680">
              <controlPr defaultSize="0" autoPict="0">
                <anchor moveWithCells="1" sizeWithCells="1">
                  <from>
                    <xdr:col>11</xdr:col>
                    <xdr:colOff>411480</xdr:colOff>
                    <xdr:row>36</xdr:row>
                    <xdr:rowOff>22860</xdr:rowOff>
                  </from>
                  <to>
                    <xdr:col>11</xdr:col>
                    <xdr:colOff>784860</xdr:colOff>
                    <xdr:row>36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37" r:id="rId413" name="Spinner 681">
              <controlPr defaultSize="0" autoPict="0">
                <anchor moveWithCells="1" sizeWithCells="1">
                  <from>
                    <xdr:col>11</xdr:col>
                    <xdr:colOff>411480</xdr:colOff>
                    <xdr:row>36</xdr:row>
                    <xdr:rowOff>22860</xdr:rowOff>
                  </from>
                  <to>
                    <xdr:col>11</xdr:col>
                    <xdr:colOff>784860</xdr:colOff>
                    <xdr:row>36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38" r:id="rId414" name="Spinner 682">
              <controlPr defaultSize="0" autoPict="0">
                <anchor moveWithCells="1" sizeWithCells="1">
                  <from>
                    <xdr:col>11</xdr:col>
                    <xdr:colOff>411480</xdr:colOff>
                    <xdr:row>36</xdr:row>
                    <xdr:rowOff>22860</xdr:rowOff>
                  </from>
                  <to>
                    <xdr:col>11</xdr:col>
                    <xdr:colOff>784860</xdr:colOff>
                    <xdr:row>36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39" r:id="rId415" name="Spinner 683">
              <controlPr defaultSize="0" autoPict="0">
                <anchor moveWithCells="1" sizeWithCells="1">
                  <from>
                    <xdr:col>11</xdr:col>
                    <xdr:colOff>411480</xdr:colOff>
                    <xdr:row>36</xdr:row>
                    <xdr:rowOff>22860</xdr:rowOff>
                  </from>
                  <to>
                    <xdr:col>11</xdr:col>
                    <xdr:colOff>784860</xdr:colOff>
                    <xdr:row>36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40" r:id="rId416" name="Spinner 684">
              <controlPr defaultSize="0" autoPict="0">
                <anchor moveWithCells="1" sizeWithCells="1">
                  <from>
                    <xdr:col>11</xdr:col>
                    <xdr:colOff>411480</xdr:colOff>
                    <xdr:row>36</xdr:row>
                    <xdr:rowOff>22860</xdr:rowOff>
                  </from>
                  <to>
                    <xdr:col>11</xdr:col>
                    <xdr:colOff>784860</xdr:colOff>
                    <xdr:row>36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41" r:id="rId417" name="Spinner 685">
              <controlPr defaultSize="0" autoPict="0">
                <anchor moveWithCells="1" sizeWithCells="1">
                  <from>
                    <xdr:col>11</xdr:col>
                    <xdr:colOff>411480</xdr:colOff>
                    <xdr:row>36</xdr:row>
                    <xdr:rowOff>22860</xdr:rowOff>
                  </from>
                  <to>
                    <xdr:col>11</xdr:col>
                    <xdr:colOff>784860</xdr:colOff>
                    <xdr:row>36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42" r:id="rId418" name="Spinner 686">
              <controlPr defaultSize="0" autoPict="0">
                <anchor moveWithCells="1" sizeWithCells="1">
                  <from>
                    <xdr:col>11</xdr:col>
                    <xdr:colOff>411480</xdr:colOff>
                    <xdr:row>36</xdr:row>
                    <xdr:rowOff>22860</xdr:rowOff>
                  </from>
                  <to>
                    <xdr:col>11</xdr:col>
                    <xdr:colOff>784860</xdr:colOff>
                    <xdr:row>36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43" r:id="rId419" name="Spinner 687">
              <controlPr defaultSize="0" autoPict="0">
                <anchor moveWithCells="1" sizeWithCells="1">
                  <from>
                    <xdr:col>11</xdr:col>
                    <xdr:colOff>411480</xdr:colOff>
                    <xdr:row>36</xdr:row>
                    <xdr:rowOff>22860</xdr:rowOff>
                  </from>
                  <to>
                    <xdr:col>11</xdr:col>
                    <xdr:colOff>784860</xdr:colOff>
                    <xdr:row>36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44" r:id="rId420" name="Spinner 688">
              <controlPr defaultSize="0" autoPict="0">
                <anchor moveWithCells="1" sizeWithCells="1">
                  <from>
                    <xdr:col>11</xdr:col>
                    <xdr:colOff>411480</xdr:colOff>
                    <xdr:row>37</xdr:row>
                    <xdr:rowOff>22860</xdr:rowOff>
                  </from>
                  <to>
                    <xdr:col>11</xdr:col>
                    <xdr:colOff>784860</xdr:colOff>
                    <xdr:row>37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45" r:id="rId421" name="Spinner 689">
              <controlPr defaultSize="0" autoPict="0">
                <anchor moveWithCells="1" sizeWithCells="1">
                  <from>
                    <xdr:col>11</xdr:col>
                    <xdr:colOff>411480</xdr:colOff>
                    <xdr:row>37</xdr:row>
                    <xdr:rowOff>22860</xdr:rowOff>
                  </from>
                  <to>
                    <xdr:col>11</xdr:col>
                    <xdr:colOff>784860</xdr:colOff>
                    <xdr:row>37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46" r:id="rId422" name="Spinner 690">
              <controlPr defaultSize="0" autoPict="0">
                <anchor moveWithCells="1" sizeWithCells="1">
                  <from>
                    <xdr:col>11</xdr:col>
                    <xdr:colOff>411480</xdr:colOff>
                    <xdr:row>37</xdr:row>
                    <xdr:rowOff>22860</xdr:rowOff>
                  </from>
                  <to>
                    <xdr:col>11</xdr:col>
                    <xdr:colOff>784860</xdr:colOff>
                    <xdr:row>37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47" r:id="rId423" name="Spinner 691">
              <controlPr defaultSize="0" autoPict="0">
                <anchor moveWithCells="1" sizeWithCells="1">
                  <from>
                    <xdr:col>10</xdr:col>
                    <xdr:colOff>922020</xdr:colOff>
                    <xdr:row>37</xdr:row>
                    <xdr:rowOff>7620</xdr:rowOff>
                  </from>
                  <to>
                    <xdr:col>10</xdr:col>
                    <xdr:colOff>1295400</xdr:colOff>
                    <xdr:row>37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48" r:id="rId424" name="Spinner 692">
              <controlPr defaultSize="0" autoPict="0">
                <anchor moveWithCells="1" sizeWithCells="1">
                  <from>
                    <xdr:col>10</xdr:col>
                    <xdr:colOff>922020</xdr:colOff>
                    <xdr:row>37</xdr:row>
                    <xdr:rowOff>7620</xdr:rowOff>
                  </from>
                  <to>
                    <xdr:col>10</xdr:col>
                    <xdr:colOff>1295400</xdr:colOff>
                    <xdr:row>37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49" r:id="rId425" name="Spinner 693">
              <controlPr defaultSize="0" autoPict="0">
                <anchor moveWithCells="1" sizeWithCells="1">
                  <from>
                    <xdr:col>10</xdr:col>
                    <xdr:colOff>922020</xdr:colOff>
                    <xdr:row>37</xdr:row>
                    <xdr:rowOff>7620</xdr:rowOff>
                  </from>
                  <to>
                    <xdr:col>10</xdr:col>
                    <xdr:colOff>1295400</xdr:colOff>
                    <xdr:row>37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50" r:id="rId426" name="Spinner 694">
              <controlPr defaultSize="0" autoPict="0">
                <anchor moveWithCells="1" sizeWithCells="1">
                  <from>
                    <xdr:col>11</xdr:col>
                    <xdr:colOff>411480</xdr:colOff>
                    <xdr:row>37</xdr:row>
                    <xdr:rowOff>22860</xdr:rowOff>
                  </from>
                  <to>
                    <xdr:col>11</xdr:col>
                    <xdr:colOff>784860</xdr:colOff>
                    <xdr:row>37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51" r:id="rId427" name="Spinner 695">
              <controlPr defaultSize="0" autoPict="0">
                <anchor moveWithCells="1" sizeWithCells="1">
                  <from>
                    <xdr:col>10</xdr:col>
                    <xdr:colOff>922020</xdr:colOff>
                    <xdr:row>37</xdr:row>
                    <xdr:rowOff>7620</xdr:rowOff>
                  </from>
                  <to>
                    <xdr:col>10</xdr:col>
                    <xdr:colOff>1295400</xdr:colOff>
                    <xdr:row>37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52" r:id="rId428" name="Spinner 696">
              <controlPr defaultSize="0" autoPict="0">
                <anchor moveWithCells="1" sizeWithCells="1">
                  <from>
                    <xdr:col>10</xdr:col>
                    <xdr:colOff>922020</xdr:colOff>
                    <xdr:row>37</xdr:row>
                    <xdr:rowOff>7620</xdr:rowOff>
                  </from>
                  <to>
                    <xdr:col>10</xdr:col>
                    <xdr:colOff>1295400</xdr:colOff>
                    <xdr:row>37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53" r:id="rId429" name="Spinner 697">
              <controlPr defaultSize="0" autoPict="0">
                <anchor moveWithCells="1" sizeWithCells="1">
                  <from>
                    <xdr:col>11</xdr:col>
                    <xdr:colOff>411480</xdr:colOff>
                    <xdr:row>37</xdr:row>
                    <xdr:rowOff>22860</xdr:rowOff>
                  </from>
                  <to>
                    <xdr:col>11</xdr:col>
                    <xdr:colOff>784860</xdr:colOff>
                    <xdr:row>37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54" r:id="rId430" name="Spinner 698">
              <controlPr defaultSize="0" autoPict="0">
                <anchor moveWithCells="1" sizeWithCells="1">
                  <from>
                    <xdr:col>11</xdr:col>
                    <xdr:colOff>411480</xdr:colOff>
                    <xdr:row>37</xdr:row>
                    <xdr:rowOff>22860</xdr:rowOff>
                  </from>
                  <to>
                    <xdr:col>11</xdr:col>
                    <xdr:colOff>784860</xdr:colOff>
                    <xdr:row>37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55" r:id="rId431" name="Spinner 699">
              <controlPr defaultSize="0" autoPict="0">
                <anchor moveWithCells="1" sizeWithCells="1">
                  <from>
                    <xdr:col>11</xdr:col>
                    <xdr:colOff>411480</xdr:colOff>
                    <xdr:row>37</xdr:row>
                    <xdr:rowOff>22860</xdr:rowOff>
                  </from>
                  <to>
                    <xdr:col>11</xdr:col>
                    <xdr:colOff>784860</xdr:colOff>
                    <xdr:row>37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56" r:id="rId432" name="Spinner 700">
              <controlPr defaultSize="0" autoPict="0">
                <anchor moveWithCells="1" sizeWithCells="1">
                  <from>
                    <xdr:col>11</xdr:col>
                    <xdr:colOff>411480</xdr:colOff>
                    <xdr:row>37</xdr:row>
                    <xdr:rowOff>22860</xdr:rowOff>
                  </from>
                  <to>
                    <xdr:col>11</xdr:col>
                    <xdr:colOff>784860</xdr:colOff>
                    <xdr:row>37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57" r:id="rId433" name="Spinner 701">
              <controlPr defaultSize="0" autoPict="0">
                <anchor moveWithCells="1" sizeWithCells="1">
                  <from>
                    <xdr:col>11</xdr:col>
                    <xdr:colOff>411480</xdr:colOff>
                    <xdr:row>37</xdr:row>
                    <xdr:rowOff>22860</xdr:rowOff>
                  </from>
                  <to>
                    <xdr:col>11</xdr:col>
                    <xdr:colOff>784860</xdr:colOff>
                    <xdr:row>37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58" r:id="rId434" name="Spinner 702">
              <controlPr defaultSize="0" autoPict="0">
                <anchor moveWithCells="1" sizeWithCells="1">
                  <from>
                    <xdr:col>11</xdr:col>
                    <xdr:colOff>411480</xdr:colOff>
                    <xdr:row>37</xdr:row>
                    <xdr:rowOff>22860</xdr:rowOff>
                  </from>
                  <to>
                    <xdr:col>11</xdr:col>
                    <xdr:colOff>784860</xdr:colOff>
                    <xdr:row>37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59" r:id="rId435" name="Spinner 703">
              <controlPr defaultSize="0" autoPict="0">
                <anchor moveWithCells="1" sizeWithCells="1">
                  <from>
                    <xdr:col>11</xdr:col>
                    <xdr:colOff>411480</xdr:colOff>
                    <xdr:row>37</xdr:row>
                    <xdr:rowOff>22860</xdr:rowOff>
                  </from>
                  <to>
                    <xdr:col>11</xdr:col>
                    <xdr:colOff>784860</xdr:colOff>
                    <xdr:row>37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60" r:id="rId436" name="Spinner 704">
              <controlPr defaultSize="0" autoPict="0">
                <anchor moveWithCells="1" sizeWithCells="1">
                  <from>
                    <xdr:col>11</xdr:col>
                    <xdr:colOff>411480</xdr:colOff>
                    <xdr:row>37</xdr:row>
                    <xdr:rowOff>22860</xdr:rowOff>
                  </from>
                  <to>
                    <xdr:col>11</xdr:col>
                    <xdr:colOff>784860</xdr:colOff>
                    <xdr:row>37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61" r:id="rId437" name="Spinner 705">
              <controlPr defaultSize="0" autoPict="0">
                <anchor moveWithCells="1" sizeWithCells="1">
                  <from>
                    <xdr:col>11</xdr:col>
                    <xdr:colOff>411480</xdr:colOff>
                    <xdr:row>37</xdr:row>
                    <xdr:rowOff>22860</xdr:rowOff>
                  </from>
                  <to>
                    <xdr:col>11</xdr:col>
                    <xdr:colOff>784860</xdr:colOff>
                    <xdr:row>37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62" r:id="rId438" name="Spinner 706">
              <controlPr defaultSize="0" autoPict="0">
                <anchor moveWithCells="1" sizeWithCells="1">
                  <from>
                    <xdr:col>11</xdr:col>
                    <xdr:colOff>411480</xdr:colOff>
                    <xdr:row>37</xdr:row>
                    <xdr:rowOff>22860</xdr:rowOff>
                  </from>
                  <to>
                    <xdr:col>11</xdr:col>
                    <xdr:colOff>784860</xdr:colOff>
                    <xdr:row>37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63" r:id="rId439" name="Spinner 707">
              <controlPr defaultSize="0" autoPict="0">
                <anchor moveWithCells="1" sizeWithCells="1">
                  <from>
                    <xdr:col>11</xdr:col>
                    <xdr:colOff>411480</xdr:colOff>
                    <xdr:row>37</xdr:row>
                    <xdr:rowOff>22860</xdr:rowOff>
                  </from>
                  <to>
                    <xdr:col>11</xdr:col>
                    <xdr:colOff>784860</xdr:colOff>
                    <xdr:row>37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64" r:id="rId440" name="Spinner 708">
              <controlPr defaultSize="0" autoPict="0">
                <anchor moveWithCells="1" sizeWithCells="1">
                  <from>
                    <xdr:col>11</xdr:col>
                    <xdr:colOff>411480</xdr:colOff>
                    <xdr:row>37</xdr:row>
                    <xdr:rowOff>22860</xdr:rowOff>
                  </from>
                  <to>
                    <xdr:col>11</xdr:col>
                    <xdr:colOff>784860</xdr:colOff>
                    <xdr:row>37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65" r:id="rId441" name="Spinner 709">
              <controlPr defaultSize="0" autoPict="0">
                <anchor moveWithCells="1" sizeWithCells="1">
                  <from>
                    <xdr:col>11</xdr:col>
                    <xdr:colOff>411480</xdr:colOff>
                    <xdr:row>37</xdr:row>
                    <xdr:rowOff>22860</xdr:rowOff>
                  </from>
                  <to>
                    <xdr:col>11</xdr:col>
                    <xdr:colOff>784860</xdr:colOff>
                    <xdr:row>37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66" r:id="rId442" name="Spinner 710">
              <controlPr defaultSize="0" autoPict="0">
                <anchor moveWithCells="1" sizeWithCells="1">
                  <from>
                    <xdr:col>11</xdr:col>
                    <xdr:colOff>411480</xdr:colOff>
                    <xdr:row>37</xdr:row>
                    <xdr:rowOff>22860</xdr:rowOff>
                  </from>
                  <to>
                    <xdr:col>11</xdr:col>
                    <xdr:colOff>784860</xdr:colOff>
                    <xdr:row>37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67" r:id="rId443" name="Spinner 711">
              <controlPr defaultSize="0" autoPict="0">
                <anchor moveWithCells="1" sizeWithCells="1">
                  <from>
                    <xdr:col>11</xdr:col>
                    <xdr:colOff>411480</xdr:colOff>
                    <xdr:row>37</xdr:row>
                    <xdr:rowOff>22860</xdr:rowOff>
                  </from>
                  <to>
                    <xdr:col>11</xdr:col>
                    <xdr:colOff>784860</xdr:colOff>
                    <xdr:row>37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68" r:id="rId444" name="Spinner 712">
              <controlPr defaultSize="0" autoPict="0">
                <anchor moveWithCells="1" sizeWithCells="1">
                  <from>
                    <xdr:col>11</xdr:col>
                    <xdr:colOff>411480</xdr:colOff>
                    <xdr:row>37</xdr:row>
                    <xdr:rowOff>22860</xdr:rowOff>
                  </from>
                  <to>
                    <xdr:col>11</xdr:col>
                    <xdr:colOff>784860</xdr:colOff>
                    <xdr:row>37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69" r:id="rId445" name="Spinner 713">
              <controlPr defaultSize="0" autoPict="0">
                <anchor moveWithCells="1" sizeWithCells="1">
                  <from>
                    <xdr:col>11</xdr:col>
                    <xdr:colOff>411480</xdr:colOff>
                    <xdr:row>37</xdr:row>
                    <xdr:rowOff>22860</xdr:rowOff>
                  </from>
                  <to>
                    <xdr:col>11</xdr:col>
                    <xdr:colOff>784860</xdr:colOff>
                    <xdr:row>37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70" r:id="rId446" name="Spinner 714">
              <controlPr defaultSize="0" autoPict="0">
                <anchor moveWithCells="1" sizeWithCells="1">
                  <from>
                    <xdr:col>11</xdr:col>
                    <xdr:colOff>411480</xdr:colOff>
                    <xdr:row>37</xdr:row>
                    <xdr:rowOff>22860</xdr:rowOff>
                  </from>
                  <to>
                    <xdr:col>11</xdr:col>
                    <xdr:colOff>784860</xdr:colOff>
                    <xdr:row>37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71" r:id="rId447" name="Spinner 715">
              <controlPr defaultSize="0" autoPict="0">
                <anchor moveWithCells="1" sizeWithCells="1">
                  <from>
                    <xdr:col>11</xdr:col>
                    <xdr:colOff>411480</xdr:colOff>
                    <xdr:row>37</xdr:row>
                    <xdr:rowOff>22860</xdr:rowOff>
                  </from>
                  <to>
                    <xdr:col>11</xdr:col>
                    <xdr:colOff>784860</xdr:colOff>
                    <xdr:row>37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72" r:id="rId448" name="Spinner 716">
              <controlPr defaultSize="0" autoPict="0">
                <anchor moveWithCells="1" sizeWithCells="1">
                  <from>
                    <xdr:col>11</xdr:col>
                    <xdr:colOff>411480</xdr:colOff>
                    <xdr:row>37</xdr:row>
                    <xdr:rowOff>22860</xdr:rowOff>
                  </from>
                  <to>
                    <xdr:col>11</xdr:col>
                    <xdr:colOff>784860</xdr:colOff>
                    <xdr:row>37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73" r:id="rId449" name="Spinner 717">
              <controlPr defaultSize="0" autoPict="0">
                <anchor moveWithCells="1" sizeWithCells="1">
                  <from>
                    <xdr:col>11</xdr:col>
                    <xdr:colOff>411480</xdr:colOff>
                    <xdr:row>37</xdr:row>
                    <xdr:rowOff>22860</xdr:rowOff>
                  </from>
                  <to>
                    <xdr:col>11</xdr:col>
                    <xdr:colOff>784860</xdr:colOff>
                    <xdr:row>37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74" r:id="rId450" name="Spinner 718">
              <controlPr defaultSize="0" autoPict="0">
                <anchor moveWithCells="1" sizeWithCells="1">
                  <from>
                    <xdr:col>11</xdr:col>
                    <xdr:colOff>411480</xdr:colOff>
                    <xdr:row>37</xdr:row>
                    <xdr:rowOff>22860</xdr:rowOff>
                  </from>
                  <to>
                    <xdr:col>11</xdr:col>
                    <xdr:colOff>784860</xdr:colOff>
                    <xdr:row>37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75" r:id="rId451" name="Spinner 719">
              <controlPr defaultSize="0" autoPict="0">
                <anchor moveWithCells="1" sizeWithCells="1">
                  <from>
                    <xdr:col>11</xdr:col>
                    <xdr:colOff>411480</xdr:colOff>
                    <xdr:row>37</xdr:row>
                    <xdr:rowOff>22860</xdr:rowOff>
                  </from>
                  <to>
                    <xdr:col>11</xdr:col>
                    <xdr:colOff>784860</xdr:colOff>
                    <xdr:row>37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76" r:id="rId452" name="Spinner 720">
              <controlPr defaultSize="0" autoPict="0">
                <anchor moveWithCells="1" sizeWithCells="1">
                  <from>
                    <xdr:col>11</xdr:col>
                    <xdr:colOff>411480</xdr:colOff>
                    <xdr:row>37</xdr:row>
                    <xdr:rowOff>22860</xdr:rowOff>
                  </from>
                  <to>
                    <xdr:col>11</xdr:col>
                    <xdr:colOff>784860</xdr:colOff>
                    <xdr:row>37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77" r:id="rId453" name="Spinner 721">
              <controlPr defaultSize="0" autoPict="0">
                <anchor moveWithCells="1" sizeWithCells="1">
                  <from>
                    <xdr:col>11</xdr:col>
                    <xdr:colOff>411480</xdr:colOff>
                    <xdr:row>37</xdr:row>
                    <xdr:rowOff>22860</xdr:rowOff>
                  </from>
                  <to>
                    <xdr:col>11</xdr:col>
                    <xdr:colOff>784860</xdr:colOff>
                    <xdr:row>37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78" r:id="rId454" name="Spinner 722">
              <controlPr defaultSize="0" autoPict="0">
                <anchor moveWithCells="1" sizeWithCells="1">
                  <from>
                    <xdr:col>11</xdr:col>
                    <xdr:colOff>411480</xdr:colOff>
                    <xdr:row>37</xdr:row>
                    <xdr:rowOff>22860</xdr:rowOff>
                  </from>
                  <to>
                    <xdr:col>11</xdr:col>
                    <xdr:colOff>784860</xdr:colOff>
                    <xdr:row>37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79" r:id="rId455" name="Spinner 723">
              <controlPr defaultSize="0" autoPict="0">
                <anchor moveWithCells="1" sizeWithCells="1">
                  <from>
                    <xdr:col>11</xdr:col>
                    <xdr:colOff>411480</xdr:colOff>
                    <xdr:row>37</xdr:row>
                    <xdr:rowOff>22860</xdr:rowOff>
                  </from>
                  <to>
                    <xdr:col>11</xdr:col>
                    <xdr:colOff>784860</xdr:colOff>
                    <xdr:row>37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80" r:id="rId456" name="Spinner 724">
              <controlPr defaultSize="0" autoPict="0">
                <anchor moveWithCells="1" sizeWithCells="1">
                  <from>
                    <xdr:col>11</xdr:col>
                    <xdr:colOff>411480</xdr:colOff>
                    <xdr:row>37</xdr:row>
                    <xdr:rowOff>22860</xdr:rowOff>
                  </from>
                  <to>
                    <xdr:col>11</xdr:col>
                    <xdr:colOff>784860</xdr:colOff>
                    <xdr:row>37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81" r:id="rId457" name="Spinner 725">
              <controlPr defaultSize="0" autoPict="0">
                <anchor moveWithCells="1" sizeWithCells="1">
                  <from>
                    <xdr:col>11</xdr:col>
                    <xdr:colOff>411480</xdr:colOff>
                    <xdr:row>37</xdr:row>
                    <xdr:rowOff>22860</xdr:rowOff>
                  </from>
                  <to>
                    <xdr:col>11</xdr:col>
                    <xdr:colOff>784860</xdr:colOff>
                    <xdr:row>37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82" r:id="rId458" name="Spinner 726">
              <controlPr defaultSize="0" autoPict="0">
                <anchor moveWithCells="1" sizeWithCells="1">
                  <from>
                    <xdr:col>11</xdr:col>
                    <xdr:colOff>411480</xdr:colOff>
                    <xdr:row>37</xdr:row>
                    <xdr:rowOff>22860</xdr:rowOff>
                  </from>
                  <to>
                    <xdr:col>11</xdr:col>
                    <xdr:colOff>784860</xdr:colOff>
                    <xdr:row>37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83" r:id="rId459" name="Spinner 727">
              <controlPr defaultSize="0" autoPict="0">
                <anchor moveWithCells="1" sizeWithCells="1">
                  <from>
                    <xdr:col>11</xdr:col>
                    <xdr:colOff>411480</xdr:colOff>
                    <xdr:row>37</xdr:row>
                    <xdr:rowOff>22860</xdr:rowOff>
                  </from>
                  <to>
                    <xdr:col>11</xdr:col>
                    <xdr:colOff>784860</xdr:colOff>
                    <xdr:row>37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84" r:id="rId460" name="Spinner 728">
              <controlPr defaultSize="0" autoPict="0">
                <anchor moveWithCells="1" sizeWithCells="1">
                  <from>
                    <xdr:col>11</xdr:col>
                    <xdr:colOff>411480</xdr:colOff>
                    <xdr:row>37</xdr:row>
                    <xdr:rowOff>22860</xdr:rowOff>
                  </from>
                  <to>
                    <xdr:col>11</xdr:col>
                    <xdr:colOff>784860</xdr:colOff>
                    <xdr:row>37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85" r:id="rId461" name="Spinner 729">
              <controlPr defaultSize="0" autoPict="0">
                <anchor moveWithCells="1" sizeWithCells="1">
                  <from>
                    <xdr:col>11</xdr:col>
                    <xdr:colOff>411480</xdr:colOff>
                    <xdr:row>38</xdr:row>
                    <xdr:rowOff>22860</xdr:rowOff>
                  </from>
                  <to>
                    <xdr:col>11</xdr:col>
                    <xdr:colOff>784860</xdr:colOff>
                    <xdr:row>38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86" r:id="rId462" name="Spinner 730">
              <controlPr defaultSize="0" autoPict="0">
                <anchor moveWithCells="1" sizeWithCells="1">
                  <from>
                    <xdr:col>11</xdr:col>
                    <xdr:colOff>411480</xdr:colOff>
                    <xdr:row>38</xdr:row>
                    <xdr:rowOff>22860</xdr:rowOff>
                  </from>
                  <to>
                    <xdr:col>11</xdr:col>
                    <xdr:colOff>784860</xdr:colOff>
                    <xdr:row>38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87" r:id="rId463" name="Spinner 731">
              <controlPr defaultSize="0" autoPict="0">
                <anchor moveWithCells="1" sizeWithCells="1">
                  <from>
                    <xdr:col>11</xdr:col>
                    <xdr:colOff>411480</xdr:colOff>
                    <xdr:row>38</xdr:row>
                    <xdr:rowOff>22860</xdr:rowOff>
                  </from>
                  <to>
                    <xdr:col>11</xdr:col>
                    <xdr:colOff>784860</xdr:colOff>
                    <xdr:row>38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88" r:id="rId464" name="Spinner 732">
              <controlPr defaultSize="0" autoPict="0">
                <anchor moveWithCells="1" sizeWithCells="1">
                  <from>
                    <xdr:col>10</xdr:col>
                    <xdr:colOff>922020</xdr:colOff>
                    <xdr:row>38</xdr:row>
                    <xdr:rowOff>7620</xdr:rowOff>
                  </from>
                  <to>
                    <xdr:col>10</xdr:col>
                    <xdr:colOff>1295400</xdr:colOff>
                    <xdr:row>38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89" r:id="rId465" name="Spinner 733">
              <controlPr defaultSize="0" autoPict="0">
                <anchor moveWithCells="1" sizeWithCells="1">
                  <from>
                    <xdr:col>10</xdr:col>
                    <xdr:colOff>922020</xdr:colOff>
                    <xdr:row>38</xdr:row>
                    <xdr:rowOff>7620</xdr:rowOff>
                  </from>
                  <to>
                    <xdr:col>10</xdr:col>
                    <xdr:colOff>1295400</xdr:colOff>
                    <xdr:row>38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90" r:id="rId466" name="Spinner 734">
              <controlPr defaultSize="0" autoPict="0">
                <anchor moveWithCells="1" sizeWithCells="1">
                  <from>
                    <xdr:col>10</xdr:col>
                    <xdr:colOff>922020</xdr:colOff>
                    <xdr:row>38</xdr:row>
                    <xdr:rowOff>7620</xdr:rowOff>
                  </from>
                  <to>
                    <xdr:col>10</xdr:col>
                    <xdr:colOff>1295400</xdr:colOff>
                    <xdr:row>38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91" r:id="rId467" name="Spinner 735">
              <controlPr defaultSize="0" autoPict="0">
                <anchor moveWithCells="1" sizeWithCells="1">
                  <from>
                    <xdr:col>11</xdr:col>
                    <xdr:colOff>411480</xdr:colOff>
                    <xdr:row>38</xdr:row>
                    <xdr:rowOff>22860</xdr:rowOff>
                  </from>
                  <to>
                    <xdr:col>11</xdr:col>
                    <xdr:colOff>784860</xdr:colOff>
                    <xdr:row>38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92" r:id="rId468" name="Spinner 736">
              <controlPr defaultSize="0" autoPict="0">
                <anchor moveWithCells="1" sizeWithCells="1">
                  <from>
                    <xdr:col>10</xdr:col>
                    <xdr:colOff>922020</xdr:colOff>
                    <xdr:row>38</xdr:row>
                    <xdr:rowOff>7620</xdr:rowOff>
                  </from>
                  <to>
                    <xdr:col>10</xdr:col>
                    <xdr:colOff>1295400</xdr:colOff>
                    <xdr:row>38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93" r:id="rId469" name="Spinner 737">
              <controlPr defaultSize="0" autoPict="0">
                <anchor moveWithCells="1" sizeWithCells="1">
                  <from>
                    <xdr:col>10</xdr:col>
                    <xdr:colOff>922020</xdr:colOff>
                    <xdr:row>38</xdr:row>
                    <xdr:rowOff>7620</xdr:rowOff>
                  </from>
                  <to>
                    <xdr:col>10</xdr:col>
                    <xdr:colOff>1295400</xdr:colOff>
                    <xdr:row>38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94" r:id="rId470" name="Spinner 738">
              <controlPr defaultSize="0" autoPict="0">
                <anchor moveWithCells="1" sizeWithCells="1">
                  <from>
                    <xdr:col>11</xdr:col>
                    <xdr:colOff>411480</xdr:colOff>
                    <xdr:row>38</xdr:row>
                    <xdr:rowOff>22860</xdr:rowOff>
                  </from>
                  <to>
                    <xdr:col>11</xdr:col>
                    <xdr:colOff>784860</xdr:colOff>
                    <xdr:row>38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95" r:id="rId471" name="Spinner 739">
              <controlPr defaultSize="0" autoPict="0">
                <anchor moveWithCells="1" sizeWithCells="1">
                  <from>
                    <xdr:col>11</xdr:col>
                    <xdr:colOff>411480</xdr:colOff>
                    <xdr:row>38</xdr:row>
                    <xdr:rowOff>22860</xdr:rowOff>
                  </from>
                  <to>
                    <xdr:col>11</xdr:col>
                    <xdr:colOff>784860</xdr:colOff>
                    <xdr:row>38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96" r:id="rId472" name="Spinner 740">
              <controlPr defaultSize="0" autoPict="0">
                <anchor moveWithCells="1" sizeWithCells="1">
                  <from>
                    <xdr:col>11</xdr:col>
                    <xdr:colOff>411480</xdr:colOff>
                    <xdr:row>38</xdr:row>
                    <xdr:rowOff>22860</xdr:rowOff>
                  </from>
                  <to>
                    <xdr:col>11</xdr:col>
                    <xdr:colOff>784860</xdr:colOff>
                    <xdr:row>38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97" r:id="rId473" name="Spinner 741">
              <controlPr defaultSize="0" autoPict="0">
                <anchor moveWithCells="1" sizeWithCells="1">
                  <from>
                    <xdr:col>11</xdr:col>
                    <xdr:colOff>411480</xdr:colOff>
                    <xdr:row>38</xdr:row>
                    <xdr:rowOff>22860</xdr:rowOff>
                  </from>
                  <to>
                    <xdr:col>11</xdr:col>
                    <xdr:colOff>784860</xdr:colOff>
                    <xdr:row>38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98" r:id="rId474" name="Spinner 742">
              <controlPr defaultSize="0" autoPict="0">
                <anchor moveWithCells="1" sizeWithCells="1">
                  <from>
                    <xdr:col>11</xdr:col>
                    <xdr:colOff>411480</xdr:colOff>
                    <xdr:row>38</xdr:row>
                    <xdr:rowOff>22860</xdr:rowOff>
                  </from>
                  <to>
                    <xdr:col>11</xdr:col>
                    <xdr:colOff>784860</xdr:colOff>
                    <xdr:row>38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99" r:id="rId475" name="Spinner 743">
              <controlPr defaultSize="0" autoPict="0">
                <anchor moveWithCells="1" sizeWithCells="1">
                  <from>
                    <xdr:col>11</xdr:col>
                    <xdr:colOff>411480</xdr:colOff>
                    <xdr:row>38</xdr:row>
                    <xdr:rowOff>22860</xdr:rowOff>
                  </from>
                  <to>
                    <xdr:col>11</xdr:col>
                    <xdr:colOff>784860</xdr:colOff>
                    <xdr:row>38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00" r:id="rId476" name="Spinner 744">
              <controlPr defaultSize="0" autoPict="0">
                <anchor moveWithCells="1" sizeWithCells="1">
                  <from>
                    <xdr:col>11</xdr:col>
                    <xdr:colOff>411480</xdr:colOff>
                    <xdr:row>38</xdr:row>
                    <xdr:rowOff>22860</xdr:rowOff>
                  </from>
                  <to>
                    <xdr:col>11</xdr:col>
                    <xdr:colOff>784860</xdr:colOff>
                    <xdr:row>38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01" r:id="rId477" name="Spinner 745">
              <controlPr defaultSize="0" autoPict="0">
                <anchor moveWithCells="1" sizeWithCells="1">
                  <from>
                    <xdr:col>11</xdr:col>
                    <xdr:colOff>411480</xdr:colOff>
                    <xdr:row>38</xdr:row>
                    <xdr:rowOff>22860</xdr:rowOff>
                  </from>
                  <to>
                    <xdr:col>11</xdr:col>
                    <xdr:colOff>784860</xdr:colOff>
                    <xdr:row>38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02" r:id="rId478" name="Spinner 746">
              <controlPr defaultSize="0" autoPict="0">
                <anchor moveWithCells="1" sizeWithCells="1">
                  <from>
                    <xdr:col>11</xdr:col>
                    <xdr:colOff>411480</xdr:colOff>
                    <xdr:row>38</xdr:row>
                    <xdr:rowOff>22860</xdr:rowOff>
                  </from>
                  <to>
                    <xdr:col>11</xdr:col>
                    <xdr:colOff>784860</xdr:colOff>
                    <xdr:row>38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03" r:id="rId479" name="Spinner 747">
              <controlPr defaultSize="0" autoPict="0">
                <anchor moveWithCells="1" sizeWithCells="1">
                  <from>
                    <xdr:col>11</xdr:col>
                    <xdr:colOff>411480</xdr:colOff>
                    <xdr:row>38</xdr:row>
                    <xdr:rowOff>22860</xdr:rowOff>
                  </from>
                  <to>
                    <xdr:col>11</xdr:col>
                    <xdr:colOff>784860</xdr:colOff>
                    <xdr:row>38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04" r:id="rId480" name="Spinner 748">
              <controlPr defaultSize="0" autoPict="0">
                <anchor moveWithCells="1" sizeWithCells="1">
                  <from>
                    <xdr:col>11</xdr:col>
                    <xdr:colOff>411480</xdr:colOff>
                    <xdr:row>38</xdr:row>
                    <xdr:rowOff>22860</xdr:rowOff>
                  </from>
                  <to>
                    <xdr:col>11</xdr:col>
                    <xdr:colOff>784860</xdr:colOff>
                    <xdr:row>38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05" r:id="rId481" name="Spinner 749">
              <controlPr defaultSize="0" autoPict="0">
                <anchor moveWithCells="1" sizeWithCells="1">
                  <from>
                    <xdr:col>11</xdr:col>
                    <xdr:colOff>411480</xdr:colOff>
                    <xdr:row>38</xdr:row>
                    <xdr:rowOff>22860</xdr:rowOff>
                  </from>
                  <to>
                    <xdr:col>11</xdr:col>
                    <xdr:colOff>784860</xdr:colOff>
                    <xdr:row>38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06" r:id="rId482" name="Spinner 750">
              <controlPr defaultSize="0" autoPict="0">
                <anchor moveWithCells="1" sizeWithCells="1">
                  <from>
                    <xdr:col>11</xdr:col>
                    <xdr:colOff>411480</xdr:colOff>
                    <xdr:row>38</xdr:row>
                    <xdr:rowOff>22860</xdr:rowOff>
                  </from>
                  <to>
                    <xdr:col>11</xdr:col>
                    <xdr:colOff>784860</xdr:colOff>
                    <xdr:row>38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07" r:id="rId483" name="Spinner 751">
              <controlPr defaultSize="0" autoPict="0">
                <anchor moveWithCells="1" sizeWithCells="1">
                  <from>
                    <xdr:col>11</xdr:col>
                    <xdr:colOff>411480</xdr:colOff>
                    <xdr:row>38</xdr:row>
                    <xdr:rowOff>22860</xdr:rowOff>
                  </from>
                  <to>
                    <xdr:col>11</xdr:col>
                    <xdr:colOff>784860</xdr:colOff>
                    <xdr:row>38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08" r:id="rId484" name="Spinner 752">
              <controlPr defaultSize="0" autoPict="0">
                <anchor moveWithCells="1" sizeWithCells="1">
                  <from>
                    <xdr:col>11</xdr:col>
                    <xdr:colOff>411480</xdr:colOff>
                    <xdr:row>38</xdr:row>
                    <xdr:rowOff>22860</xdr:rowOff>
                  </from>
                  <to>
                    <xdr:col>11</xdr:col>
                    <xdr:colOff>784860</xdr:colOff>
                    <xdr:row>38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09" r:id="rId485" name="Spinner 753">
              <controlPr defaultSize="0" autoPict="0">
                <anchor moveWithCells="1" sizeWithCells="1">
                  <from>
                    <xdr:col>11</xdr:col>
                    <xdr:colOff>411480</xdr:colOff>
                    <xdr:row>38</xdr:row>
                    <xdr:rowOff>22860</xdr:rowOff>
                  </from>
                  <to>
                    <xdr:col>11</xdr:col>
                    <xdr:colOff>784860</xdr:colOff>
                    <xdr:row>38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10" r:id="rId486" name="Spinner 754">
              <controlPr defaultSize="0" autoPict="0">
                <anchor moveWithCells="1" sizeWithCells="1">
                  <from>
                    <xdr:col>11</xdr:col>
                    <xdr:colOff>411480</xdr:colOff>
                    <xdr:row>38</xdr:row>
                    <xdr:rowOff>22860</xdr:rowOff>
                  </from>
                  <to>
                    <xdr:col>11</xdr:col>
                    <xdr:colOff>784860</xdr:colOff>
                    <xdr:row>38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11" r:id="rId487" name="Spinner 755">
              <controlPr defaultSize="0" autoPict="0">
                <anchor moveWithCells="1" sizeWithCells="1">
                  <from>
                    <xdr:col>11</xdr:col>
                    <xdr:colOff>411480</xdr:colOff>
                    <xdr:row>38</xdr:row>
                    <xdr:rowOff>22860</xdr:rowOff>
                  </from>
                  <to>
                    <xdr:col>11</xdr:col>
                    <xdr:colOff>784860</xdr:colOff>
                    <xdr:row>38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12" r:id="rId488" name="Spinner 756">
              <controlPr defaultSize="0" autoPict="0">
                <anchor moveWithCells="1" sizeWithCells="1">
                  <from>
                    <xdr:col>11</xdr:col>
                    <xdr:colOff>411480</xdr:colOff>
                    <xdr:row>38</xdr:row>
                    <xdr:rowOff>22860</xdr:rowOff>
                  </from>
                  <to>
                    <xdr:col>11</xdr:col>
                    <xdr:colOff>784860</xdr:colOff>
                    <xdr:row>38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13" r:id="rId489" name="Spinner 757">
              <controlPr defaultSize="0" autoPict="0">
                <anchor moveWithCells="1" sizeWithCells="1">
                  <from>
                    <xdr:col>11</xdr:col>
                    <xdr:colOff>411480</xdr:colOff>
                    <xdr:row>38</xdr:row>
                    <xdr:rowOff>22860</xdr:rowOff>
                  </from>
                  <to>
                    <xdr:col>11</xdr:col>
                    <xdr:colOff>784860</xdr:colOff>
                    <xdr:row>38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14" r:id="rId490" name="Spinner 758">
              <controlPr defaultSize="0" autoPict="0">
                <anchor moveWithCells="1" sizeWithCells="1">
                  <from>
                    <xdr:col>11</xdr:col>
                    <xdr:colOff>411480</xdr:colOff>
                    <xdr:row>38</xdr:row>
                    <xdr:rowOff>22860</xdr:rowOff>
                  </from>
                  <to>
                    <xdr:col>11</xdr:col>
                    <xdr:colOff>784860</xdr:colOff>
                    <xdr:row>38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15" r:id="rId491" name="Spinner 759">
              <controlPr defaultSize="0" autoPict="0">
                <anchor moveWithCells="1" sizeWithCells="1">
                  <from>
                    <xdr:col>11</xdr:col>
                    <xdr:colOff>411480</xdr:colOff>
                    <xdr:row>38</xdr:row>
                    <xdr:rowOff>22860</xdr:rowOff>
                  </from>
                  <to>
                    <xdr:col>11</xdr:col>
                    <xdr:colOff>784860</xdr:colOff>
                    <xdr:row>38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16" r:id="rId492" name="Spinner 760">
              <controlPr defaultSize="0" autoPict="0">
                <anchor moveWithCells="1" sizeWithCells="1">
                  <from>
                    <xdr:col>11</xdr:col>
                    <xdr:colOff>411480</xdr:colOff>
                    <xdr:row>38</xdr:row>
                    <xdr:rowOff>22860</xdr:rowOff>
                  </from>
                  <to>
                    <xdr:col>11</xdr:col>
                    <xdr:colOff>784860</xdr:colOff>
                    <xdr:row>38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17" r:id="rId493" name="Spinner 761">
              <controlPr defaultSize="0" autoPict="0">
                <anchor moveWithCells="1" sizeWithCells="1">
                  <from>
                    <xdr:col>11</xdr:col>
                    <xdr:colOff>411480</xdr:colOff>
                    <xdr:row>38</xdr:row>
                    <xdr:rowOff>22860</xdr:rowOff>
                  </from>
                  <to>
                    <xdr:col>11</xdr:col>
                    <xdr:colOff>784860</xdr:colOff>
                    <xdr:row>38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18" r:id="rId494" name="Spinner 762">
              <controlPr defaultSize="0" autoPict="0">
                <anchor moveWithCells="1" sizeWithCells="1">
                  <from>
                    <xdr:col>11</xdr:col>
                    <xdr:colOff>411480</xdr:colOff>
                    <xdr:row>38</xdr:row>
                    <xdr:rowOff>22860</xdr:rowOff>
                  </from>
                  <to>
                    <xdr:col>11</xdr:col>
                    <xdr:colOff>784860</xdr:colOff>
                    <xdr:row>38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19" r:id="rId495" name="Spinner 763">
              <controlPr defaultSize="0" autoPict="0">
                <anchor moveWithCells="1" sizeWithCells="1">
                  <from>
                    <xdr:col>11</xdr:col>
                    <xdr:colOff>411480</xdr:colOff>
                    <xdr:row>38</xdr:row>
                    <xdr:rowOff>22860</xdr:rowOff>
                  </from>
                  <to>
                    <xdr:col>11</xdr:col>
                    <xdr:colOff>784860</xdr:colOff>
                    <xdr:row>38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20" r:id="rId496" name="Spinner 764">
              <controlPr defaultSize="0" autoPict="0">
                <anchor moveWithCells="1" sizeWithCells="1">
                  <from>
                    <xdr:col>11</xdr:col>
                    <xdr:colOff>411480</xdr:colOff>
                    <xdr:row>38</xdr:row>
                    <xdr:rowOff>22860</xdr:rowOff>
                  </from>
                  <to>
                    <xdr:col>11</xdr:col>
                    <xdr:colOff>784860</xdr:colOff>
                    <xdr:row>38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21" r:id="rId497" name="Spinner 765">
              <controlPr defaultSize="0" autoPict="0">
                <anchor moveWithCells="1" sizeWithCells="1">
                  <from>
                    <xdr:col>11</xdr:col>
                    <xdr:colOff>411480</xdr:colOff>
                    <xdr:row>38</xdr:row>
                    <xdr:rowOff>22860</xdr:rowOff>
                  </from>
                  <to>
                    <xdr:col>11</xdr:col>
                    <xdr:colOff>784860</xdr:colOff>
                    <xdr:row>38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22" r:id="rId498" name="Spinner 766">
              <controlPr defaultSize="0" autoPict="0">
                <anchor moveWithCells="1" sizeWithCells="1">
                  <from>
                    <xdr:col>11</xdr:col>
                    <xdr:colOff>411480</xdr:colOff>
                    <xdr:row>38</xdr:row>
                    <xdr:rowOff>22860</xdr:rowOff>
                  </from>
                  <to>
                    <xdr:col>11</xdr:col>
                    <xdr:colOff>784860</xdr:colOff>
                    <xdr:row>38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23" r:id="rId499" name="Spinner 767">
              <controlPr defaultSize="0" autoPict="0">
                <anchor moveWithCells="1" sizeWithCells="1">
                  <from>
                    <xdr:col>11</xdr:col>
                    <xdr:colOff>411480</xdr:colOff>
                    <xdr:row>38</xdr:row>
                    <xdr:rowOff>22860</xdr:rowOff>
                  </from>
                  <to>
                    <xdr:col>11</xdr:col>
                    <xdr:colOff>784860</xdr:colOff>
                    <xdr:row>38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24" r:id="rId500" name="Spinner 768">
              <controlPr defaultSize="0" autoPict="0">
                <anchor moveWithCells="1" sizeWithCells="1">
                  <from>
                    <xdr:col>11</xdr:col>
                    <xdr:colOff>411480</xdr:colOff>
                    <xdr:row>38</xdr:row>
                    <xdr:rowOff>22860</xdr:rowOff>
                  </from>
                  <to>
                    <xdr:col>11</xdr:col>
                    <xdr:colOff>784860</xdr:colOff>
                    <xdr:row>38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25" r:id="rId501" name="Spinner 769">
              <controlPr defaultSize="0" autoPict="0">
                <anchor moveWithCells="1" sizeWithCells="1">
                  <from>
                    <xdr:col>11</xdr:col>
                    <xdr:colOff>411480</xdr:colOff>
                    <xdr:row>38</xdr:row>
                    <xdr:rowOff>22860</xdr:rowOff>
                  </from>
                  <to>
                    <xdr:col>11</xdr:col>
                    <xdr:colOff>784860</xdr:colOff>
                    <xdr:row>38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26" r:id="rId502" name="Spinner 770">
              <controlPr defaultSize="0" autoPict="0">
                <anchor moveWithCells="1" sizeWithCells="1">
                  <from>
                    <xdr:col>11</xdr:col>
                    <xdr:colOff>411480</xdr:colOff>
                    <xdr:row>39</xdr:row>
                    <xdr:rowOff>22860</xdr:rowOff>
                  </from>
                  <to>
                    <xdr:col>11</xdr:col>
                    <xdr:colOff>784860</xdr:colOff>
                    <xdr:row>39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27" r:id="rId503" name="Spinner 771">
              <controlPr defaultSize="0" autoPict="0">
                <anchor moveWithCells="1" sizeWithCells="1">
                  <from>
                    <xdr:col>11</xdr:col>
                    <xdr:colOff>411480</xdr:colOff>
                    <xdr:row>39</xdr:row>
                    <xdr:rowOff>22860</xdr:rowOff>
                  </from>
                  <to>
                    <xdr:col>11</xdr:col>
                    <xdr:colOff>784860</xdr:colOff>
                    <xdr:row>39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28" r:id="rId504" name="Spinner 772">
              <controlPr defaultSize="0" autoPict="0">
                <anchor moveWithCells="1" sizeWithCells="1">
                  <from>
                    <xdr:col>11</xdr:col>
                    <xdr:colOff>411480</xdr:colOff>
                    <xdr:row>39</xdr:row>
                    <xdr:rowOff>22860</xdr:rowOff>
                  </from>
                  <to>
                    <xdr:col>11</xdr:col>
                    <xdr:colOff>784860</xdr:colOff>
                    <xdr:row>39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29" r:id="rId505" name="Spinner 773">
              <controlPr defaultSize="0" autoPict="0">
                <anchor moveWithCells="1" sizeWithCells="1">
                  <from>
                    <xdr:col>10</xdr:col>
                    <xdr:colOff>922020</xdr:colOff>
                    <xdr:row>39</xdr:row>
                    <xdr:rowOff>7620</xdr:rowOff>
                  </from>
                  <to>
                    <xdr:col>10</xdr:col>
                    <xdr:colOff>1295400</xdr:colOff>
                    <xdr:row>39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30" r:id="rId506" name="Spinner 774">
              <controlPr defaultSize="0" autoPict="0">
                <anchor moveWithCells="1" sizeWithCells="1">
                  <from>
                    <xdr:col>10</xdr:col>
                    <xdr:colOff>922020</xdr:colOff>
                    <xdr:row>39</xdr:row>
                    <xdr:rowOff>7620</xdr:rowOff>
                  </from>
                  <to>
                    <xdr:col>10</xdr:col>
                    <xdr:colOff>1295400</xdr:colOff>
                    <xdr:row>39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31" r:id="rId507" name="Spinner 775">
              <controlPr defaultSize="0" autoPict="0">
                <anchor moveWithCells="1" sizeWithCells="1">
                  <from>
                    <xdr:col>10</xdr:col>
                    <xdr:colOff>922020</xdr:colOff>
                    <xdr:row>39</xdr:row>
                    <xdr:rowOff>7620</xdr:rowOff>
                  </from>
                  <to>
                    <xdr:col>10</xdr:col>
                    <xdr:colOff>1295400</xdr:colOff>
                    <xdr:row>39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32" r:id="rId508" name="Spinner 776">
              <controlPr defaultSize="0" autoPict="0">
                <anchor moveWithCells="1" sizeWithCells="1">
                  <from>
                    <xdr:col>11</xdr:col>
                    <xdr:colOff>411480</xdr:colOff>
                    <xdr:row>39</xdr:row>
                    <xdr:rowOff>22860</xdr:rowOff>
                  </from>
                  <to>
                    <xdr:col>11</xdr:col>
                    <xdr:colOff>784860</xdr:colOff>
                    <xdr:row>39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33" r:id="rId509" name="Spinner 777">
              <controlPr defaultSize="0" autoPict="0">
                <anchor moveWithCells="1" sizeWithCells="1">
                  <from>
                    <xdr:col>10</xdr:col>
                    <xdr:colOff>922020</xdr:colOff>
                    <xdr:row>39</xdr:row>
                    <xdr:rowOff>7620</xdr:rowOff>
                  </from>
                  <to>
                    <xdr:col>10</xdr:col>
                    <xdr:colOff>1295400</xdr:colOff>
                    <xdr:row>39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34" r:id="rId510" name="Spinner 778">
              <controlPr defaultSize="0" autoPict="0">
                <anchor moveWithCells="1" sizeWithCells="1">
                  <from>
                    <xdr:col>10</xdr:col>
                    <xdr:colOff>922020</xdr:colOff>
                    <xdr:row>39</xdr:row>
                    <xdr:rowOff>7620</xdr:rowOff>
                  </from>
                  <to>
                    <xdr:col>10</xdr:col>
                    <xdr:colOff>1295400</xdr:colOff>
                    <xdr:row>39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35" r:id="rId511" name="Spinner 779">
              <controlPr defaultSize="0" autoPict="0">
                <anchor moveWithCells="1" sizeWithCells="1">
                  <from>
                    <xdr:col>11</xdr:col>
                    <xdr:colOff>411480</xdr:colOff>
                    <xdr:row>39</xdr:row>
                    <xdr:rowOff>22860</xdr:rowOff>
                  </from>
                  <to>
                    <xdr:col>11</xdr:col>
                    <xdr:colOff>784860</xdr:colOff>
                    <xdr:row>39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36" r:id="rId512" name="Spinner 780">
              <controlPr defaultSize="0" autoPict="0">
                <anchor moveWithCells="1" sizeWithCells="1">
                  <from>
                    <xdr:col>11</xdr:col>
                    <xdr:colOff>411480</xdr:colOff>
                    <xdr:row>39</xdr:row>
                    <xdr:rowOff>22860</xdr:rowOff>
                  </from>
                  <to>
                    <xdr:col>11</xdr:col>
                    <xdr:colOff>784860</xdr:colOff>
                    <xdr:row>39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37" r:id="rId513" name="Spinner 781">
              <controlPr defaultSize="0" autoPict="0">
                <anchor moveWithCells="1" sizeWithCells="1">
                  <from>
                    <xdr:col>11</xdr:col>
                    <xdr:colOff>411480</xdr:colOff>
                    <xdr:row>39</xdr:row>
                    <xdr:rowOff>22860</xdr:rowOff>
                  </from>
                  <to>
                    <xdr:col>11</xdr:col>
                    <xdr:colOff>784860</xdr:colOff>
                    <xdr:row>39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38" r:id="rId514" name="Spinner 782">
              <controlPr defaultSize="0" autoPict="0">
                <anchor moveWithCells="1" sizeWithCells="1">
                  <from>
                    <xdr:col>11</xdr:col>
                    <xdr:colOff>411480</xdr:colOff>
                    <xdr:row>39</xdr:row>
                    <xdr:rowOff>22860</xdr:rowOff>
                  </from>
                  <to>
                    <xdr:col>11</xdr:col>
                    <xdr:colOff>784860</xdr:colOff>
                    <xdr:row>39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39" r:id="rId515" name="Spinner 783">
              <controlPr defaultSize="0" autoPict="0">
                <anchor moveWithCells="1" sizeWithCells="1">
                  <from>
                    <xdr:col>11</xdr:col>
                    <xdr:colOff>411480</xdr:colOff>
                    <xdr:row>39</xdr:row>
                    <xdr:rowOff>22860</xdr:rowOff>
                  </from>
                  <to>
                    <xdr:col>11</xdr:col>
                    <xdr:colOff>784860</xdr:colOff>
                    <xdr:row>39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40" r:id="rId516" name="Spinner 784">
              <controlPr defaultSize="0" autoPict="0">
                <anchor moveWithCells="1" sizeWithCells="1">
                  <from>
                    <xdr:col>11</xdr:col>
                    <xdr:colOff>411480</xdr:colOff>
                    <xdr:row>39</xdr:row>
                    <xdr:rowOff>22860</xdr:rowOff>
                  </from>
                  <to>
                    <xdr:col>11</xdr:col>
                    <xdr:colOff>784860</xdr:colOff>
                    <xdr:row>39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41" r:id="rId517" name="Spinner 785">
              <controlPr defaultSize="0" autoPict="0">
                <anchor moveWithCells="1" sizeWithCells="1">
                  <from>
                    <xdr:col>11</xdr:col>
                    <xdr:colOff>411480</xdr:colOff>
                    <xdr:row>39</xdr:row>
                    <xdr:rowOff>22860</xdr:rowOff>
                  </from>
                  <to>
                    <xdr:col>11</xdr:col>
                    <xdr:colOff>784860</xdr:colOff>
                    <xdr:row>39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42" r:id="rId518" name="Spinner 786">
              <controlPr defaultSize="0" autoPict="0">
                <anchor moveWithCells="1" sizeWithCells="1">
                  <from>
                    <xdr:col>11</xdr:col>
                    <xdr:colOff>411480</xdr:colOff>
                    <xdr:row>39</xdr:row>
                    <xdr:rowOff>22860</xdr:rowOff>
                  </from>
                  <to>
                    <xdr:col>11</xdr:col>
                    <xdr:colOff>784860</xdr:colOff>
                    <xdr:row>39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43" r:id="rId519" name="Spinner 787">
              <controlPr defaultSize="0" autoPict="0">
                <anchor moveWithCells="1" sizeWithCells="1">
                  <from>
                    <xdr:col>11</xdr:col>
                    <xdr:colOff>411480</xdr:colOff>
                    <xdr:row>39</xdr:row>
                    <xdr:rowOff>22860</xdr:rowOff>
                  </from>
                  <to>
                    <xdr:col>11</xdr:col>
                    <xdr:colOff>784860</xdr:colOff>
                    <xdr:row>39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44" r:id="rId520" name="Spinner 788">
              <controlPr defaultSize="0" autoPict="0">
                <anchor moveWithCells="1" sizeWithCells="1">
                  <from>
                    <xdr:col>11</xdr:col>
                    <xdr:colOff>411480</xdr:colOff>
                    <xdr:row>39</xdr:row>
                    <xdr:rowOff>22860</xdr:rowOff>
                  </from>
                  <to>
                    <xdr:col>11</xdr:col>
                    <xdr:colOff>784860</xdr:colOff>
                    <xdr:row>39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45" r:id="rId521" name="Spinner 789">
              <controlPr defaultSize="0" autoPict="0">
                <anchor moveWithCells="1" sizeWithCells="1">
                  <from>
                    <xdr:col>11</xdr:col>
                    <xdr:colOff>411480</xdr:colOff>
                    <xdr:row>39</xdr:row>
                    <xdr:rowOff>22860</xdr:rowOff>
                  </from>
                  <to>
                    <xdr:col>11</xdr:col>
                    <xdr:colOff>784860</xdr:colOff>
                    <xdr:row>39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46" r:id="rId522" name="Spinner 790">
              <controlPr defaultSize="0" autoPict="0">
                <anchor moveWithCells="1" sizeWithCells="1">
                  <from>
                    <xdr:col>11</xdr:col>
                    <xdr:colOff>411480</xdr:colOff>
                    <xdr:row>39</xdr:row>
                    <xdr:rowOff>22860</xdr:rowOff>
                  </from>
                  <to>
                    <xdr:col>11</xdr:col>
                    <xdr:colOff>784860</xdr:colOff>
                    <xdr:row>39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47" r:id="rId523" name="Spinner 791">
              <controlPr defaultSize="0" autoPict="0">
                <anchor moveWithCells="1" sizeWithCells="1">
                  <from>
                    <xdr:col>11</xdr:col>
                    <xdr:colOff>411480</xdr:colOff>
                    <xdr:row>39</xdr:row>
                    <xdr:rowOff>22860</xdr:rowOff>
                  </from>
                  <to>
                    <xdr:col>11</xdr:col>
                    <xdr:colOff>784860</xdr:colOff>
                    <xdr:row>39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48" r:id="rId524" name="Spinner 792">
              <controlPr defaultSize="0" autoPict="0">
                <anchor moveWithCells="1" sizeWithCells="1">
                  <from>
                    <xdr:col>11</xdr:col>
                    <xdr:colOff>411480</xdr:colOff>
                    <xdr:row>39</xdr:row>
                    <xdr:rowOff>22860</xdr:rowOff>
                  </from>
                  <to>
                    <xdr:col>11</xdr:col>
                    <xdr:colOff>784860</xdr:colOff>
                    <xdr:row>39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49" r:id="rId525" name="Spinner 793">
              <controlPr defaultSize="0" autoPict="0">
                <anchor moveWithCells="1" sizeWithCells="1">
                  <from>
                    <xdr:col>11</xdr:col>
                    <xdr:colOff>411480</xdr:colOff>
                    <xdr:row>39</xdr:row>
                    <xdr:rowOff>22860</xdr:rowOff>
                  </from>
                  <to>
                    <xdr:col>11</xdr:col>
                    <xdr:colOff>784860</xdr:colOff>
                    <xdr:row>39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50" r:id="rId526" name="Spinner 794">
              <controlPr defaultSize="0" autoPict="0">
                <anchor moveWithCells="1" sizeWithCells="1">
                  <from>
                    <xdr:col>11</xdr:col>
                    <xdr:colOff>411480</xdr:colOff>
                    <xdr:row>39</xdr:row>
                    <xdr:rowOff>22860</xdr:rowOff>
                  </from>
                  <to>
                    <xdr:col>11</xdr:col>
                    <xdr:colOff>784860</xdr:colOff>
                    <xdr:row>39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51" r:id="rId527" name="Spinner 795">
              <controlPr defaultSize="0" autoPict="0">
                <anchor moveWithCells="1" sizeWithCells="1">
                  <from>
                    <xdr:col>11</xdr:col>
                    <xdr:colOff>411480</xdr:colOff>
                    <xdr:row>39</xdr:row>
                    <xdr:rowOff>22860</xdr:rowOff>
                  </from>
                  <to>
                    <xdr:col>11</xdr:col>
                    <xdr:colOff>784860</xdr:colOff>
                    <xdr:row>39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52" r:id="rId528" name="Spinner 796">
              <controlPr defaultSize="0" autoPict="0">
                <anchor moveWithCells="1" sizeWithCells="1">
                  <from>
                    <xdr:col>11</xdr:col>
                    <xdr:colOff>411480</xdr:colOff>
                    <xdr:row>39</xdr:row>
                    <xdr:rowOff>22860</xdr:rowOff>
                  </from>
                  <to>
                    <xdr:col>11</xdr:col>
                    <xdr:colOff>784860</xdr:colOff>
                    <xdr:row>39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53" r:id="rId529" name="Spinner 797">
              <controlPr defaultSize="0" autoPict="0">
                <anchor moveWithCells="1" sizeWithCells="1">
                  <from>
                    <xdr:col>11</xdr:col>
                    <xdr:colOff>411480</xdr:colOff>
                    <xdr:row>39</xdr:row>
                    <xdr:rowOff>22860</xdr:rowOff>
                  </from>
                  <to>
                    <xdr:col>11</xdr:col>
                    <xdr:colOff>784860</xdr:colOff>
                    <xdr:row>39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54" r:id="rId530" name="Spinner 798">
              <controlPr defaultSize="0" autoPict="0">
                <anchor moveWithCells="1" sizeWithCells="1">
                  <from>
                    <xdr:col>11</xdr:col>
                    <xdr:colOff>411480</xdr:colOff>
                    <xdr:row>39</xdr:row>
                    <xdr:rowOff>22860</xdr:rowOff>
                  </from>
                  <to>
                    <xdr:col>11</xdr:col>
                    <xdr:colOff>784860</xdr:colOff>
                    <xdr:row>39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55" r:id="rId531" name="Spinner 799">
              <controlPr defaultSize="0" autoPict="0">
                <anchor moveWithCells="1" sizeWithCells="1">
                  <from>
                    <xdr:col>11</xdr:col>
                    <xdr:colOff>411480</xdr:colOff>
                    <xdr:row>39</xdr:row>
                    <xdr:rowOff>22860</xdr:rowOff>
                  </from>
                  <to>
                    <xdr:col>11</xdr:col>
                    <xdr:colOff>784860</xdr:colOff>
                    <xdr:row>39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56" r:id="rId532" name="Spinner 800">
              <controlPr defaultSize="0" autoPict="0">
                <anchor moveWithCells="1" sizeWithCells="1">
                  <from>
                    <xdr:col>11</xdr:col>
                    <xdr:colOff>411480</xdr:colOff>
                    <xdr:row>39</xdr:row>
                    <xdr:rowOff>22860</xdr:rowOff>
                  </from>
                  <to>
                    <xdr:col>11</xdr:col>
                    <xdr:colOff>784860</xdr:colOff>
                    <xdr:row>39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57" r:id="rId533" name="Spinner 801">
              <controlPr defaultSize="0" autoPict="0">
                <anchor moveWithCells="1" sizeWithCells="1">
                  <from>
                    <xdr:col>11</xdr:col>
                    <xdr:colOff>411480</xdr:colOff>
                    <xdr:row>39</xdr:row>
                    <xdr:rowOff>22860</xdr:rowOff>
                  </from>
                  <to>
                    <xdr:col>11</xdr:col>
                    <xdr:colOff>784860</xdr:colOff>
                    <xdr:row>39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58" r:id="rId534" name="Spinner 802">
              <controlPr defaultSize="0" autoPict="0">
                <anchor moveWithCells="1" sizeWithCells="1">
                  <from>
                    <xdr:col>11</xdr:col>
                    <xdr:colOff>411480</xdr:colOff>
                    <xdr:row>39</xdr:row>
                    <xdr:rowOff>22860</xdr:rowOff>
                  </from>
                  <to>
                    <xdr:col>11</xdr:col>
                    <xdr:colOff>784860</xdr:colOff>
                    <xdr:row>39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59" r:id="rId535" name="Spinner 803">
              <controlPr defaultSize="0" autoPict="0">
                <anchor moveWithCells="1" sizeWithCells="1">
                  <from>
                    <xdr:col>11</xdr:col>
                    <xdr:colOff>411480</xdr:colOff>
                    <xdr:row>39</xdr:row>
                    <xdr:rowOff>22860</xdr:rowOff>
                  </from>
                  <to>
                    <xdr:col>11</xdr:col>
                    <xdr:colOff>784860</xdr:colOff>
                    <xdr:row>39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60" r:id="rId536" name="Spinner 804">
              <controlPr defaultSize="0" autoPict="0">
                <anchor moveWithCells="1" sizeWithCells="1">
                  <from>
                    <xdr:col>11</xdr:col>
                    <xdr:colOff>411480</xdr:colOff>
                    <xdr:row>39</xdr:row>
                    <xdr:rowOff>22860</xdr:rowOff>
                  </from>
                  <to>
                    <xdr:col>11</xdr:col>
                    <xdr:colOff>784860</xdr:colOff>
                    <xdr:row>39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61" r:id="rId537" name="Spinner 805">
              <controlPr defaultSize="0" autoPict="0">
                <anchor moveWithCells="1" sizeWithCells="1">
                  <from>
                    <xdr:col>11</xdr:col>
                    <xdr:colOff>411480</xdr:colOff>
                    <xdr:row>39</xdr:row>
                    <xdr:rowOff>22860</xdr:rowOff>
                  </from>
                  <to>
                    <xdr:col>11</xdr:col>
                    <xdr:colOff>784860</xdr:colOff>
                    <xdr:row>39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62" r:id="rId538" name="Spinner 806">
              <controlPr defaultSize="0" autoPict="0">
                <anchor moveWithCells="1" sizeWithCells="1">
                  <from>
                    <xdr:col>11</xdr:col>
                    <xdr:colOff>411480</xdr:colOff>
                    <xdr:row>39</xdr:row>
                    <xdr:rowOff>22860</xdr:rowOff>
                  </from>
                  <to>
                    <xdr:col>11</xdr:col>
                    <xdr:colOff>784860</xdr:colOff>
                    <xdr:row>39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63" r:id="rId539" name="Spinner 807">
              <controlPr defaultSize="0" autoPict="0">
                <anchor moveWithCells="1" sizeWithCells="1">
                  <from>
                    <xdr:col>11</xdr:col>
                    <xdr:colOff>411480</xdr:colOff>
                    <xdr:row>39</xdr:row>
                    <xdr:rowOff>22860</xdr:rowOff>
                  </from>
                  <to>
                    <xdr:col>11</xdr:col>
                    <xdr:colOff>784860</xdr:colOff>
                    <xdr:row>39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64" r:id="rId540" name="Spinner 808">
              <controlPr defaultSize="0" autoPict="0">
                <anchor moveWithCells="1" sizeWithCells="1">
                  <from>
                    <xdr:col>11</xdr:col>
                    <xdr:colOff>411480</xdr:colOff>
                    <xdr:row>39</xdr:row>
                    <xdr:rowOff>22860</xdr:rowOff>
                  </from>
                  <to>
                    <xdr:col>11</xdr:col>
                    <xdr:colOff>784860</xdr:colOff>
                    <xdr:row>39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65" r:id="rId541" name="Spinner 809">
              <controlPr defaultSize="0" autoPict="0">
                <anchor moveWithCells="1" sizeWithCells="1">
                  <from>
                    <xdr:col>11</xdr:col>
                    <xdr:colOff>411480</xdr:colOff>
                    <xdr:row>39</xdr:row>
                    <xdr:rowOff>22860</xdr:rowOff>
                  </from>
                  <to>
                    <xdr:col>11</xdr:col>
                    <xdr:colOff>784860</xdr:colOff>
                    <xdr:row>39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66" r:id="rId542" name="Spinner 810">
              <controlPr defaultSize="0" autoPict="0">
                <anchor moveWithCells="1" sizeWithCells="1">
                  <from>
                    <xdr:col>11</xdr:col>
                    <xdr:colOff>411480</xdr:colOff>
                    <xdr:row>39</xdr:row>
                    <xdr:rowOff>22860</xdr:rowOff>
                  </from>
                  <to>
                    <xdr:col>11</xdr:col>
                    <xdr:colOff>784860</xdr:colOff>
                    <xdr:row>39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67" r:id="rId543" name="Spinner 811">
              <controlPr defaultSize="0" autoPict="0">
                <anchor moveWithCells="1" sizeWithCells="1">
                  <from>
                    <xdr:col>11</xdr:col>
                    <xdr:colOff>411480</xdr:colOff>
                    <xdr:row>40</xdr:row>
                    <xdr:rowOff>22860</xdr:rowOff>
                  </from>
                  <to>
                    <xdr:col>11</xdr:col>
                    <xdr:colOff>784860</xdr:colOff>
                    <xdr:row>40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68" r:id="rId544" name="Spinner 812">
              <controlPr defaultSize="0" autoPict="0">
                <anchor moveWithCells="1" sizeWithCells="1">
                  <from>
                    <xdr:col>11</xdr:col>
                    <xdr:colOff>411480</xdr:colOff>
                    <xdr:row>40</xdr:row>
                    <xdr:rowOff>22860</xdr:rowOff>
                  </from>
                  <to>
                    <xdr:col>11</xdr:col>
                    <xdr:colOff>784860</xdr:colOff>
                    <xdr:row>40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69" r:id="rId545" name="Spinner 813">
              <controlPr defaultSize="0" autoPict="0">
                <anchor moveWithCells="1" sizeWithCells="1">
                  <from>
                    <xdr:col>11</xdr:col>
                    <xdr:colOff>411480</xdr:colOff>
                    <xdr:row>40</xdr:row>
                    <xdr:rowOff>22860</xdr:rowOff>
                  </from>
                  <to>
                    <xdr:col>11</xdr:col>
                    <xdr:colOff>784860</xdr:colOff>
                    <xdr:row>40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70" r:id="rId546" name="Spinner 814">
              <controlPr defaultSize="0" autoPict="0">
                <anchor moveWithCells="1" sizeWithCells="1">
                  <from>
                    <xdr:col>10</xdr:col>
                    <xdr:colOff>922020</xdr:colOff>
                    <xdr:row>40</xdr:row>
                    <xdr:rowOff>7620</xdr:rowOff>
                  </from>
                  <to>
                    <xdr:col>10</xdr:col>
                    <xdr:colOff>1295400</xdr:colOff>
                    <xdr:row>40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71" r:id="rId547" name="Spinner 815">
              <controlPr defaultSize="0" autoPict="0">
                <anchor moveWithCells="1" sizeWithCells="1">
                  <from>
                    <xdr:col>10</xdr:col>
                    <xdr:colOff>922020</xdr:colOff>
                    <xdr:row>40</xdr:row>
                    <xdr:rowOff>7620</xdr:rowOff>
                  </from>
                  <to>
                    <xdr:col>10</xdr:col>
                    <xdr:colOff>1295400</xdr:colOff>
                    <xdr:row>40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72" r:id="rId548" name="Spinner 816">
              <controlPr defaultSize="0" autoPict="0">
                <anchor moveWithCells="1" sizeWithCells="1">
                  <from>
                    <xdr:col>10</xdr:col>
                    <xdr:colOff>922020</xdr:colOff>
                    <xdr:row>40</xdr:row>
                    <xdr:rowOff>7620</xdr:rowOff>
                  </from>
                  <to>
                    <xdr:col>10</xdr:col>
                    <xdr:colOff>1295400</xdr:colOff>
                    <xdr:row>40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73" r:id="rId549" name="Spinner 817">
              <controlPr defaultSize="0" autoPict="0">
                <anchor moveWithCells="1" sizeWithCells="1">
                  <from>
                    <xdr:col>11</xdr:col>
                    <xdr:colOff>411480</xdr:colOff>
                    <xdr:row>40</xdr:row>
                    <xdr:rowOff>22860</xdr:rowOff>
                  </from>
                  <to>
                    <xdr:col>11</xdr:col>
                    <xdr:colOff>784860</xdr:colOff>
                    <xdr:row>40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74" r:id="rId550" name="Spinner 818">
              <controlPr defaultSize="0" autoPict="0">
                <anchor moveWithCells="1" sizeWithCells="1">
                  <from>
                    <xdr:col>10</xdr:col>
                    <xdr:colOff>922020</xdr:colOff>
                    <xdr:row>40</xdr:row>
                    <xdr:rowOff>7620</xdr:rowOff>
                  </from>
                  <to>
                    <xdr:col>10</xdr:col>
                    <xdr:colOff>1295400</xdr:colOff>
                    <xdr:row>40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75" r:id="rId551" name="Spinner 819">
              <controlPr defaultSize="0" autoPict="0">
                <anchor moveWithCells="1" sizeWithCells="1">
                  <from>
                    <xdr:col>10</xdr:col>
                    <xdr:colOff>922020</xdr:colOff>
                    <xdr:row>40</xdr:row>
                    <xdr:rowOff>7620</xdr:rowOff>
                  </from>
                  <to>
                    <xdr:col>10</xdr:col>
                    <xdr:colOff>1295400</xdr:colOff>
                    <xdr:row>40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76" r:id="rId552" name="Spinner 820">
              <controlPr defaultSize="0" autoPict="0">
                <anchor moveWithCells="1" sizeWithCells="1">
                  <from>
                    <xdr:col>11</xdr:col>
                    <xdr:colOff>411480</xdr:colOff>
                    <xdr:row>40</xdr:row>
                    <xdr:rowOff>22860</xdr:rowOff>
                  </from>
                  <to>
                    <xdr:col>11</xdr:col>
                    <xdr:colOff>784860</xdr:colOff>
                    <xdr:row>40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77" r:id="rId553" name="Spinner 821">
              <controlPr defaultSize="0" autoPict="0">
                <anchor moveWithCells="1" sizeWithCells="1">
                  <from>
                    <xdr:col>11</xdr:col>
                    <xdr:colOff>411480</xdr:colOff>
                    <xdr:row>40</xdr:row>
                    <xdr:rowOff>22860</xdr:rowOff>
                  </from>
                  <to>
                    <xdr:col>11</xdr:col>
                    <xdr:colOff>784860</xdr:colOff>
                    <xdr:row>40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78" r:id="rId554" name="Spinner 822">
              <controlPr defaultSize="0" autoPict="0">
                <anchor moveWithCells="1" sizeWithCells="1">
                  <from>
                    <xdr:col>11</xdr:col>
                    <xdr:colOff>411480</xdr:colOff>
                    <xdr:row>40</xdr:row>
                    <xdr:rowOff>22860</xdr:rowOff>
                  </from>
                  <to>
                    <xdr:col>11</xdr:col>
                    <xdr:colOff>784860</xdr:colOff>
                    <xdr:row>40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79" r:id="rId555" name="Spinner 823">
              <controlPr defaultSize="0" autoPict="0">
                <anchor moveWithCells="1" sizeWithCells="1">
                  <from>
                    <xdr:col>11</xdr:col>
                    <xdr:colOff>411480</xdr:colOff>
                    <xdr:row>40</xdr:row>
                    <xdr:rowOff>22860</xdr:rowOff>
                  </from>
                  <to>
                    <xdr:col>11</xdr:col>
                    <xdr:colOff>784860</xdr:colOff>
                    <xdr:row>40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80" r:id="rId556" name="Spinner 824">
              <controlPr defaultSize="0" autoPict="0">
                <anchor moveWithCells="1" sizeWithCells="1">
                  <from>
                    <xdr:col>11</xdr:col>
                    <xdr:colOff>411480</xdr:colOff>
                    <xdr:row>40</xdr:row>
                    <xdr:rowOff>22860</xdr:rowOff>
                  </from>
                  <to>
                    <xdr:col>11</xdr:col>
                    <xdr:colOff>784860</xdr:colOff>
                    <xdr:row>40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81" r:id="rId557" name="Spinner 825">
              <controlPr defaultSize="0" autoPict="0">
                <anchor moveWithCells="1" sizeWithCells="1">
                  <from>
                    <xdr:col>11</xdr:col>
                    <xdr:colOff>411480</xdr:colOff>
                    <xdr:row>40</xdr:row>
                    <xdr:rowOff>22860</xdr:rowOff>
                  </from>
                  <to>
                    <xdr:col>11</xdr:col>
                    <xdr:colOff>784860</xdr:colOff>
                    <xdr:row>40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82" r:id="rId558" name="Spinner 826">
              <controlPr defaultSize="0" autoPict="0">
                <anchor moveWithCells="1" sizeWithCells="1">
                  <from>
                    <xdr:col>11</xdr:col>
                    <xdr:colOff>411480</xdr:colOff>
                    <xdr:row>40</xdr:row>
                    <xdr:rowOff>22860</xdr:rowOff>
                  </from>
                  <to>
                    <xdr:col>11</xdr:col>
                    <xdr:colOff>784860</xdr:colOff>
                    <xdr:row>40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83" r:id="rId559" name="Spinner 827">
              <controlPr defaultSize="0" autoPict="0">
                <anchor moveWithCells="1" sizeWithCells="1">
                  <from>
                    <xdr:col>11</xdr:col>
                    <xdr:colOff>411480</xdr:colOff>
                    <xdr:row>40</xdr:row>
                    <xdr:rowOff>22860</xdr:rowOff>
                  </from>
                  <to>
                    <xdr:col>11</xdr:col>
                    <xdr:colOff>784860</xdr:colOff>
                    <xdr:row>40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84" r:id="rId560" name="Spinner 828">
              <controlPr defaultSize="0" autoPict="0">
                <anchor moveWithCells="1" sizeWithCells="1">
                  <from>
                    <xdr:col>11</xdr:col>
                    <xdr:colOff>411480</xdr:colOff>
                    <xdr:row>40</xdr:row>
                    <xdr:rowOff>22860</xdr:rowOff>
                  </from>
                  <to>
                    <xdr:col>11</xdr:col>
                    <xdr:colOff>784860</xdr:colOff>
                    <xdr:row>40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85" r:id="rId561" name="Spinner 829">
              <controlPr defaultSize="0" autoPict="0">
                <anchor moveWithCells="1" sizeWithCells="1">
                  <from>
                    <xdr:col>11</xdr:col>
                    <xdr:colOff>411480</xdr:colOff>
                    <xdr:row>40</xdr:row>
                    <xdr:rowOff>22860</xdr:rowOff>
                  </from>
                  <to>
                    <xdr:col>11</xdr:col>
                    <xdr:colOff>784860</xdr:colOff>
                    <xdr:row>40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86" r:id="rId562" name="Spinner 830">
              <controlPr defaultSize="0" autoPict="0">
                <anchor moveWithCells="1" sizeWithCells="1">
                  <from>
                    <xdr:col>11</xdr:col>
                    <xdr:colOff>411480</xdr:colOff>
                    <xdr:row>40</xdr:row>
                    <xdr:rowOff>22860</xdr:rowOff>
                  </from>
                  <to>
                    <xdr:col>11</xdr:col>
                    <xdr:colOff>784860</xdr:colOff>
                    <xdr:row>40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87" r:id="rId563" name="Spinner 831">
              <controlPr defaultSize="0" autoPict="0">
                <anchor moveWithCells="1" sizeWithCells="1">
                  <from>
                    <xdr:col>11</xdr:col>
                    <xdr:colOff>411480</xdr:colOff>
                    <xdr:row>40</xdr:row>
                    <xdr:rowOff>22860</xdr:rowOff>
                  </from>
                  <to>
                    <xdr:col>11</xdr:col>
                    <xdr:colOff>784860</xdr:colOff>
                    <xdr:row>40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88" r:id="rId564" name="Spinner 832">
              <controlPr defaultSize="0" autoPict="0">
                <anchor moveWithCells="1" sizeWithCells="1">
                  <from>
                    <xdr:col>11</xdr:col>
                    <xdr:colOff>411480</xdr:colOff>
                    <xdr:row>40</xdr:row>
                    <xdr:rowOff>22860</xdr:rowOff>
                  </from>
                  <to>
                    <xdr:col>11</xdr:col>
                    <xdr:colOff>784860</xdr:colOff>
                    <xdr:row>40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89" r:id="rId565" name="Spinner 833">
              <controlPr defaultSize="0" autoPict="0">
                <anchor moveWithCells="1" sizeWithCells="1">
                  <from>
                    <xdr:col>11</xdr:col>
                    <xdr:colOff>411480</xdr:colOff>
                    <xdr:row>40</xdr:row>
                    <xdr:rowOff>22860</xdr:rowOff>
                  </from>
                  <to>
                    <xdr:col>11</xdr:col>
                    <xdr:colOff>784860</xdr:colOff>
                    <xdr:row>40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90" r:id="rId566" name="Spinner 834">
              <controlPr defaultSize="0" autoPict="0">
                <anchor moveWithCells="1" sizeWithCells="1">
                  <from>
                    <xdr:col>11</xdr:col>
                    <xdr:colOff>411480</xdr:colOff>
                    <xdr:row>40</xdr:row>
                    <xdr:rowOff>22860</xdr:rowOff>
                  </from>
                  <to>
                    <xdr:col>11</xdr:col>
                    <xdr:colOff>784860</xdr:colOff>
                    <xdr:row>40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91" r:id="rId567" name="Spinner 835">
              <controlPr defaultSize="0" autoPict="0">
                <anchor moveWithCells="1" sizeWithCells="1">
                  <from>
                    <xdr:col>11</xdr:col>
                    <xdr:colOff>411480</xdr:colOff>
                    <xdr:row>40</xdr:row>
                    <xdr:rowOff>22860</xdr:rowOff>
                  </from>
                  <to>
                    <xdr:col>11</xdr:col>
                    <xdr:colOff>784860</xdr:colOff>
                    <xdr:row>40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92" r:id="rId568" name="Spinner 836">
              <controlPr defaultSize="0" autoPict="0">
                <anchor moveWithCells="1" sizeWithCells="1">
                  <from>
                    <xdr:col>11</xdr:col>
                    <xdr:colOff>411480</xdr:colOff>
                    <xdr:row>40</xdr:row>
                    <xdr:rowOff>22860</xdr:rowOff>
                  </from>
                  <to>
                    <xdr:col>11</xdr:col>
                    <xdr:colOff>784860</xdr:colOff>
                    <xdr:row>40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93" r:id="rId569" name="Spinner 837">
              <controlPr defaultSize="0" autoPict="0">
                <anchor moveWithCells="1" sizeWithCells="1">
                  <from>
                    <xdr:col>11</xdr:col>
                    <xdr:colOff>411480</xdr:colOff>
                    <xdr:row>40</xdr:row>
                    <xdr:rowOff>22860</xdr:rowOff>
                  </from>
                  <to>
                    <xdr:col>11</xdr:col>
                    <xdr:colOff>784860</xdr:colOff>
                    <xdr:row>40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94" r:id="rId570" name="Spinner 838">
              <controlPr defaultSize="0" autoPict="0">
                <anchor moveWithCells="1" sizeWithCells="1">
                  <from>
                    <xdr:col>11</xdr:col>
                    <xdr:colOff>411480</xdr:colOff>
                    <xdr:row>40</xdr:row>
                    <xdr:rowOff>22860</xdr:rowOff>
                  </from>
                  <to>
                    <xdr:col>11</xdr:col>
                    <xdr:colOff>784860</xdr:colOff>
                    <xdr:row>40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95" r:id="rId571" name="Spinner 839">
              <controlPr defaultSize="0" autoPict="0">
                <anchor moveWithCells="1" sizeWithCells="1">
                  <from>
                    <xdr:col>11</xdr:col>
                    <xdr:colOff>411480</xdr:colOff>
                    <xdr:row>40</xdr:row>
                    <xdr:rowOff>22860</xdr:rowOff>
                  </from>
                  <to>
                    <xdr:col>11</xdr:col>
                    <xdr:colOff>784860</xdr:colOff>
                    <xdr:row>40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96" r:id="rId572" name="Spinner 840">
              <controlPr defaultSize="0" autoPict="0">
                <anchor moveWithCells="1" sizeWithCells="1">
                  <from>
                    <xdr:col>11</xdr:col>
                    <xdr:colOff>411480</xdr:colOff>
                    <xdr:row>40</xdr:row>
                    <xdr:rowOff>22860</xdr:rowOff>
                  </from>
                  <to>
                    <xdr:col>11</xdr:col>
                    <xdr:colOff>784860</xdr:colOff>
                    <xdr:row>40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97" r:id="rId573" name="Spinner 841">
              <controlPr defaultSize="0" autoPict="0">
                <anchor moveWithCells="1" sizeWithCells="1">
                  <from>
                    <xdr:col>11</xdr:col>
                    <xdr:colOff>411480</xdr:colOff>
                    <xdr:row>40</xdr:row>
                    <xdr:rowOff>22860</xdr:rowOff>
                  </from>
                  <to>
                    <xdr:col>11</xdr:col>
                    <xdr:colOff>784860</xdr:colOff>
                    <xdr:row>40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98" r:id="rId574" name="Spinner 842">
              <controlPr defaultSize="0" autoPict="0">
                <anchor moveWithCells="1" sizeWithCells="1">
                  <from>
                    <xdr:col>11</xdr:col>
                    <xdr:colOff>411480</xdr:colOff>
                    <xdr:row>40</xdr:row>
                    <xdr:rowOff>22860</xdr:rowOff>
                  </from>
                  <to>
                    <xdr:col>11</xdr:col>
                    <xdr:colOff>784860</xdr:colOff>
                    <xdr:row>40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99" r:id="rId575" name="Spinner 843">
              <controlPr defaultSize="0" autoPict="0">
                <anchor moveWithCells="1" sizeWithCells="1">
                  <from>
                    <xdr:col>11</xdr:col>
                    <xdr:colOff>411480</xdr:colOff>
                    <xdr:row>40</xdr:row>
                    <xdr:rowOff>22860</xdr:rowOff>
                  </from>
                  <to>
                    <xdr:col>11</xdr:col>
                    <xdr:colOff>784860</xdr:colOff>
                    <xdr:row>40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00" r:id="rId576" name="Spinner 844">
              <controlPr defaultSize="0" autoPict="0">
                <anchor moveWithCells="1" sizeWithCells="1">
                  <from>
                    <xdr:col>11</xdr:col>
                    <xdr:colOff>411480</xdr:colOff>
                    <xdr:row>40</xdr:row>
                    <xdr:rowOff>22860</xdr:rowOff>
                  </from>
                  <to>
                    <xdr:col>11</xdr:col>
                    <xdr:colOff>784860</xdr:colOff>
                    <xdr:row>40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01" r:id="rId577" name="Spinner 845">
              <controlPr defaultSize="0" autoPict="0">
                <anchor moveWithCells="1" sizeWithCells="1">
                  <from>
                    <xdr:col>11</xdr:col>
                    <xdr:colOff>411480</xdr:colOff>
                    <xdr:row>40</xdr:row>
                    <xdr:rowOff>22860</xdr:rowOff>
                  </from>
                  <to>
                    <xdr:col>11</xdr:col>
                    <xdr:colOff>784860</xdr:colOff>
                    <xdr:row>40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02" r:id="rId578" name="Spinner 846">
              <controlPr defaultSize="0" autoPict="0">
                <anchor moveWithCells="1" sizeWithCells="1">
                  <from>
                    <xdr:col>11</xdr:col>
                    <xdr:colOff>411480</xdr:colOff>
                    <xdr:row>40</xdr:row>
                    <xdr:rowOff>22860</xdr:rowOff>
                  </from>
                  <to>
                    <xdr:col>11</xdr:col>
                    <xdr:colOff>784860</xdr:colOff>
                    <xdr:row>40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03" r:id="rId579" name="Spinner 847">
              <controlPr defaultSize="0" autoPict="0">
                <anchor moveWithCells="1" sizeWithCells="1">
                  <from>
                    <xdr:col>11</xdr:col>
                    <xdr:colOff>411480</xdr:colOff>
                    <xdr:row>40</xdr:row>
                    <xdr:rowOff>22860</xdr:rowOff>
                  </from>
                  <to>
                    <xdr:col>11</xdr:col>
                    <xdr:colOff>784860</xdr:colOff>
                    <xdr:row>40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04" r:id="rId580" name="Spinner 848">
              <controlPr defaultSize="0" autoPict="0">
                <anchor moveWithCells="1" sizeWithCells="1">
                  <from>
                    <xdr:col>11</xdr:col>
                    <xdr:colOff>411480</xdr:colOff>
                    <xdr:row>40</xdr:row>
                    <xdr:rowOff>22860</xdr:rowOff>
                  </from>
                  <to>
                    <xdr:col>11</xdr:col>
                    <xdr:colOff>784860</xdr:colOff>
                    <xdr:row>40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05" r:id="rId581" name="Spinner 849">
              <controlPr defaultSize="0" autoPict="0">
                <anchor moveWithCells="1" sizeWithCells="1">
                  <from>
                    <xdr:col>11</xdr:col>
                    <xdr:colOff>411480</xdr:colOff>
                    <xdr:row>40</xdr:row>
                    <xdr:rowOff>22860</xdr:rowOff>
                  </from>
                  <to>
                    <xdr:col>11</xdr:col>
                    <xdr:colOff>784860</xdr:colOff>
                    <xdr:row>40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06" r:id="rId582" name="Spinner 850">
              <controlPr defaultSize="0" autoPict="0">
                <anchor moveWithCells="1" sizeWithCells="1">
                  <from>
                    <xdr:col>11</xdr:col>
                    <xdr:colOff>411480</xdr:colOff>
                    <xdr:row>40</xdr:row>
                    <xdr:rowOff>22860</xdr:rowOff>
                  </from>
                  <to>
                    <xdr:col>11</xdr:col>
                    <xdr:colOff>784860</xdr:colOff>
                    <xdr:row>40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07" r:id="rId583" name="Spinner 851">
              <controlPr defaultSize="0" autoPict="0">
                <anchor moveWithCells="1" sizeWithCells="1">
                  <from>
                    <xdr:col>11</xdr:col>
                    <xdr:colOff>411480</xdr:colOff>
                    <xdr:row>40</xdr:row>
                    <xdr:rowOff>22860</xdr:rowOff>
                  </from>
                  <to>
                    <xdr:col>11</xdr:col>
                    <xdr:colOff>784860</xdr:colOff>
                    <xdr:row>40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08" r:id="rId584" name="Spinner 852">
              <controlPr defaultSize="0" autoPict="0">
                <anchor moveWithCells="1" sizeWithCells="1">
                  <from>
                    <xdr:col>11</xdr:col>
                    <xdr:colOff>411480</xdr:colOff>
                    <xdr:row>41</xdr:row>
                    <xdr:rowOff>22860</xdr:rowOff>
                  </from>
                  <to>
                    <xdr:col>11</xdr:col>
                    <xdr:colOff>784860</xdr:colOff>
                    <xdr:row>41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09" r:id="rId585" name="Spinner 853">
              <controlPr defaultSize="0" autoPict="0">
                <anchor moveWithCells="1" sizeWithCells="1">
                  <from>
                    <xdr:col>11</xdr:col>
                    <xdr:colOff>411480</xdr:colOff>
                    <xdr:row>41</xdr:row>
                    <xdr:rowOff>22860</xdr:rowOff>
                  </from>
                  <to>
                    <xdr:col>11</xdr:col>
                    <xdr:colOff>784860</xdr:colOff>
                    <xdr:row>41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10" r:id="rId586" name="Spinner 854">
              <controlPr defaultSize="0" autoPict="0">
                <anchor moveWithCells="1" sizeWithCells="1">
                  <from>
                    <xdr:col>11</xdr:col>
                    <xdr:colOff>411480</xdr:colOff>
                    <xdr:row>41</xdr:row>
                    <xdr:rowOff>22860</xdr:rowOff>
                  </from>
                  <to>
                    <xdr:col>11</xdr:col>
                    <xdr:colOff>784860</xdr:colOff>
                    <xdr:row>41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11" r:id="rId587" name="Spinner 855">
              <controlPr defaultSize="0" autoPict="0">
                <anchor moveWithCells="1" sizeWithCells="1">
                  <from>
                    <xdr:col>10</xdr:col>
                    <xdr:colOff>922020</xdr:colOff>
                    <xdr:row>41</xdr:row>
                    <xdr:rowOff>7620</xdr:rowOff>
                  </from>
                  <to>
                    <xdr:col>10</xdr:col>
                    <xdr:colOff>1295400</xdr:colOff>
                    <xdr:row>41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12" r:id="rId588" name="Spinner 856">
              <controlPr defaultSize="0" autoPict="0">
                <anchor moveWithCells="1" sizeWithCells="1">
                  <from>
                    <xdr:col>10</xdr:col>
                    <xdr:colOff>922020</xdr:colOff>
                    <xdr:row>41</xdr:row>
                    <xdr:rowOff>7620</xdr:rowOff>
                  </from>
                  <to>
                    <xdr:col>10</xdr:col>
                    <xdr:colOff>1295400</xdr:colOff>
                    <xdr:row>41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13" r:id="rId589" name="Spinner 857">
              <controlPr defaultSize="0" autoPict="0">
                <anchor moveWithCells="1" sizeWithCells="1">
                  <from>
                    <xdr:col>10</xdr:col>
                    <xdr:colOff>922020</xdr:colOff>
                    <xdr:row>41</xdr:row>
                    <xdr:rowOff>7620</xdr:rowOff>
                  </from>
                  <to>
                    <xdr:col>10</xdr:col>
                    <xdr:colOff>1295400</xdr:colOff>
                    <xdr:row>41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14" r:id="rId590" name="Spinner 858">
              <controlPr defaultSize="0" autoPict="0">
                <anchor moveWithCells="1" sizeWithCells="1">
                  <from>
                    <xdr:col>11</xdr:col>
                    <xdr:colOff>411480</xdr:colOff>
                    <xdr:row>41</xdr:row>
                    <xdr:rowOff>22860</xdr:rowOff>
                  </from>
                  <to>
                    <xdr:col>11</xdr:col>
                    <xdr:colOff>784860</xdr:colOff>
                    <xdr:row>41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15" r:id="rId591" name="Spinner 859">
              <controlPr defaultSize="0" autoPict="0">
                <anchor moveWithCells="1" sizeWithCells="1">
                  <from>
                    <xdr:col>10</xdr:col>
                    <xdr:colOff>922020</xdr:colOff>
                    <xdr:row>41</xdr:row>
                    <xdr:rowOff>7620</xdr:rowOff>
                  </from>
                  <to>
                    <xdr:col>10</xdr:col>
                    <xdr:colOff>1295400</xdr:colOff>
                    <xdr:row>41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16" r:id="rId592" name="Spinner 860">
              <controlPr defaultSize="0" autoPict="0">
                <anchor moveWithCells="1" sizeWithCells="1">
                  <from>
                    <xdr:col>10</xdr:col>
                    <xdr:colOff>922020</xdr:colOff>
                    <xdr:row>41</xdr:row>
                    <xdr:rowOff>7620</xdr:rowOff>
                  </from>
                  <to>
                    <xdr:col>10</xdr:col>
                    <xdr:colOff>1295400</xdr:colOff>
                    <xdr:row>41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17" r:id="rId593" name="Spinner 861">
              <controlPr defaultSize="0" autoPict="0">
                <anchor moveWithCells="1" sizeWithCells="1">
                  <from>
                    <xdr:col>11</xdr:col>
                    <xdr:colOff>411480</xdr:colOff>
                    <xdr:row>41</xdr:row>
                    <xdr:rowOff>22860</xdr:rowOff>
                  </from>
                  <to>
                    <xdr:col>11</xdr:col>
                    <xdr:colOff>784860</xdr:colOff>
                    <xdr:row>41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18" r:id="rId594" name="Spinner 862">
              <controlPr defaultSize="0" autoPict="0">
                <anchor moveWithCells="1" sizeWithCells="1">
                  <from>
                    <xdr:col>11</xdr:col>
                    <xdr:colOff>411480</xdr:colOff>
                    <xdr:row>41</xdr:row>
                    <xdr:rowOff>22860</xdr:rowOff>
                  </from>
                  <to>
                    <xdr:col>11</xdr:col>
                    <xdr:colOff>784860</xdr:colOff>
                    <xdr:row>41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19" r:id="rId595" name="Spinner 863">
              <controlPr defaultSize="0" autoPict="0">
                <anchor moveWithCells="1" sizeWithCells="1">
                  <from>
                    <xdr:col>11</xdr:col>
                    <xdr:colOff>411480</xdr:colOff>
                    <xdr:row>41</xdr:row>
                    <xdr:rowOff>22860</xdr:rowOff>
                  </from>
                  <to>
                    <xdr:col>11</xdr:col>
                    <xdr:colOff>784860</xdr:colOff>
                    <xdr:row>41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20" r:id="rId596" name="Spinner 864">
              <controlPr defaultSize="0" autoPict="0">
                <anchor moveWithCells="1" sizeWithCells="1">
                  <from>
                    <xdr:col>11</xdr:col>
                    <xdr:colOff>411480</xdr:colOff>
                    <xdr:row>41</xdr:row>
                    <xdr:rowOff>22860</xdr:rowOff>
                  </from>
                  <to>
                    <xdr:col>11</xdr:col>
                    <xdr:colOff>784860</xdr:colOff>
                    <xdr:row>41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21" r:id="rId597" name="Spinner 865">
              <controlPr defaultSize="0" autoPict="0">
                <anchor moveWithCells="1" sizeWithCells="1">
                  <from>
                    <xdr:col>11</xdr:col>
                    <xdr:colOff>411480</xdr:colOff>
                    <xdr:row>41</xdr:row>
                    <xdr:rowOff>22860</xdr:rowOff>
                  </from>
                  <to>
                    <xdr:col>11</xdr:col>
                    <xdr:colOff>784860</xdr:colOff>
                    <xdr:row>41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22" r:id="rId598" name="Spinner 866">
              <controlPr defaultSize="0" autoPict="0">
                <anchor moveWithCells="1" sizeWithCells="1">
                  <from>
                    <xdr:col>11</xdr:col>
                    <xdr:colOff>411480</xdr:colOff>
                    <xdr:row>41</xdr:row>
                    <xdr:rowOff>22860</xdr:rowOff>
                  </from>
                  <to>
                    <xdr:col>11</xdr:col>
                    <xdr:colOff>784860</xdr:colOff>
                    <xdr:row>41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23" r:id="rId599" name="Spinner 867">
              <controlPr defaultSize="0" autoPict="0">
                <anchor moveWithCells="1" sizeWithCells="1">
                  <from>
                    <xdr:col>11</xdr:col>
                    <xdr:colOff>411480</xdr:colOff>
                    <xdr:row>41</xdr:row>
                    <xdr:rowOff>22860</xdr:rowOff>
                  </from>
                  <to>
                    <xdr:col>11</xdr:col>
                    <xdr:colOff>784860</xdr:colOff>
                    <xdr:row>41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24" r:id="rId600" name="Spinner 868">
              <controlPr defaultSize="0" autoPict="0">
                <anchor moveWithCells="1" sizeWithCells="1">
                  <from>
                    <xdr:col>11</xdr:col>
                    <xdr:colOff>411480</xdr:colOff>
                    <xdr:row>41</xdr:row>
                    <xdr:rowOff>22860</xdr:rowOff>
                  </from>
                  <to>
                    <xdr:col>11</xdr:col>
                    <xdr:colOff>784860</xdr:colOff>
                    <xdr:row>41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25" r:id="rId601" name="Spinner 869">
              <controlPr defaultSize="0" autoPict="0">
                <anchor moveWithCells="1" sizeWithCells="1">
                  <from>
                    <xdr:col>11</xdr:col>
                    <xdr:colOff>411480</xdr:colOff>
                    <xdr:row>41</xdr:row>
                    <xdr:rowOff>22860</xdr:rowOff>
                  </from>
                  <to>
                    <xdr:col>11</xdr:col>
                    <xdr:colOff>784860</xdr:colOff>
                    <xdr:row>41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26" r:id="rId602" name="Spinner 870">
              <controlPr defaultSize="0" autoPict="0">
                <anchor moveWithCells="1" sizeWithCells="1">
                  <from>
                    <xdr:col>11</xdr:col>
                    <xdr:colOff>411480</xdr:colOff>
                    <xdr:row>41</xdr:row>
                    <xdr:rowOff>22860</xdr:rowOff>
                  </from>
                  <to>
                    <xdr:col>11</xdr:col>
                    <xdr:colOff>784860</xdr:colOff>
                    <xdr:row>41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27" r:id="rId603" name="Spinner 871">
              <controlPr defaultSize="0" autoPict="0">
                <anchor moveWithCells="1" sizeWithCells="1">
                  <from>
                    <xdr:col>11</xdr:col>
                    <xdr:colOff>411480</xdr:colOff>
                    <xdr:row>41</xdr:row>
                    <xdr:rowOff>22860</xdr:rowOff>
                  </from>
                  <to>
                    <xdr:col>11</xdr:col>
                    <xdr:colOff>784860</xdr:colOff>
                    <xdr:row>41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28" r:id="rId604" name="Spinner 872">
              <controlPr defaultSize="0" autoPict="0">
                <anchor moveWithCells="1" sizeWithCells="1">
                  <from>
                    <xdr:col>11</xdr:col>
                    <xdr:colOff>411480</xdr:colOff>
                    <xdr:row>41</xdr:row>
                    <xdr:rowOff>22860</xdr:rowOff>
                  </from>
                  <to>
                    <xdr:col>11</xdr:col>
                    <xdr:colOff>784860</xdr:colOff>
                    <xdr:row>41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29" r:id="rId605" name="Spinner 873">
              <controlPr defaultSize="0" autoPict="0">
                <anchor moveWithCells="1" sizeWithCells="1">
                  <from>
                    <xdr:col>11</xdr:col>
                    <xdr:colOff>411480</xdr:colOff>
                    <xdr:row>41</xdr:row>
                    <xdr:rowOff>22860</xdr:rowOff>
                  </from>
                  <to>
                    <xdr:col>11</xdr:col>
                    <xdr:colOff>784860</xdr:colOff>
                    <xdr:row>41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30" r:id="rId606" name="Spinner 874">
              <controlPr defaultSize="0" autoPict="0">
                <anchor moveWithCells="1" sizeWithCells="1">
                  <from>
                    <xdr:col>11</xdr:col>
                    <xdr:colOff>411480</xdr:colOff>
                    <xdr:row>41</xdr:row>
                    <xdr:rowOff>22860</xdr:rowOff>
                  </from>
                  <to>
                    <xdr:col>11</xdr:col>
                    <xdr:colOff>784860</xdr:colOff>
                    <xdr:row>41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31" r:id="rId607" name="Spinner 875">
              <controlPr defaultSize="0" autoPict="0">
                <anchor moveWithCells="1" sizeWithCells="1">
                  <from>
                    <xdr:col>11</xdr:col>
                    <xdr:colOff>411480</xdr:colOff>
                    <xdr:row>41</xdr:row>
                    <xdr:rowOff>22860</xdr:rowOff>
                  </from>
                  <to>
                    <xdr:col>11</xdr:col>
                    <xdr:colOff>784860</xdr:colOff>
                    <xdr:row>41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32" r:id="rId608" name="Spinner 876">
              <controlPr defaultSize="0" autoPict="0">
                <anchor moveWithCells="1" sizeWithCells="1">
                  <from>
                    <xdr:col>11</xdr:col>
                    <xdr:colOff>411480</xdr:colOff>
                    <xdr:row>41</xdr:row>
                    <xdr:rowOff>22860</xdr:rowOff>
                  </from>
                  <to>
                    <xdr:col>11</xdr:col>
                    <xdr:colOff>784860</xdr:colOff>
                    <xdr:row>41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33" r:id="rId609" name="Spinner 877">
              <controlPr defaultSize="0" autoPict="0">
                <anchor moveWithCells="1" sizeWithCells="1">
                  <from>
                    <xdr:col>11</xdr:col>
                    <xdr:colOff>411480</xdr:colOff>
                    <xdr:row>41</xdr:row>
                    <xdr:rowOff>22860</xdr:rowOff>
                  </from>
                  <to>
                    <xdr:col>11</xdr:col>
                    <xdr:colOff>784860</xdr:colOff>
                    <xdr:row>41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34" r:id="rId610" name="Spinner 878">
              <controlPr defaultSize="0" autoPict="0">
                <anchor moveWithCells="1" sizeWithCells="1">
                  <from>
                    <xdr:col>11</xdr:col>
                    <xdr:colOff>411480</xdr:colOff>
                    <xdr:row>41</xdr:row>
                    <xdr:rowOff>22860</xdr:rowOff>
                  </from>
                  <to>
                    <xdr:col>11</xdr:col>
                    <xdr:colOff>784860</xdr:colOff>
                    <xdr:row>41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35" r:id="rId611" name="Spinner 879">
              <controlPr defaultSize="0" autoPict="0">
                <anchor moveWithCells="1" sizeWithCells="1">
                  <from>
                    <xdr:col>11</xdr:col>
                    <xdr:colOff>411480</xdr:colOff>
                    <xdr:row>41</xdr:row>
                    <xdr:rowOff>22860</xdr:rowOff>
                  </from>
                  <to>
                    <xdr:col>11</xdr:col>
                    <xdr:colOff>784860</xdr:colOff>
                    <xdr:row>41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36" r:id="rId612" name="Spinner 880">
              <controlPr defaultSize="0" autoPict="0">
                <anchor moveWithCells="1" sizeWithCells="1">
                  <from>
                    <xdr:col>11</xdr:col>
                    <xdr:colOff>411480</xdr:colOff>
                    <xdr:row>41</xdr:row>
                    <xdr:rowOff>22860</xdr:rowOff>
                  </from>
                  <to>
                    <xdr:col>11</xdr:col>
                    <xdr:colOff>784860</xdr:colOff>
                    <xdr:row>41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37" r:id="rId613" name="Spinner 881">
              <controlPr defaultSize="0" autoPict="0">
                <anchor moveWithCells="1" sizeWithCells="1">
                  <from>
                    <xdr:col>11</xdr:col>
                    <xdr:colOff>411480</xdr:colOff>
                    <xdr:row>41</xdr:row>
                    <xdr:rowOff>22860</xdr:rowOff>
                  </from>
                  <to>
                    <xdr:col>11</xdr:col>
                    <xdr:colOff>784860</xdr:colOff>
                    <xdr:row>41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38" r:id="rId614" name="Spinner 882">
              <controlPr defaultSize="0" autoPict="0">
                <anchor moveWithCells="1" sizeWithCells="1">
                  <from>
                    <xdr:col>11</xdr:col>
                    <xdr:colOff>411480</xdr:colOff>
                    <xdr:row>41</xdr:row>
                    <xdr:rowOff>22860</xdr:rowOff>
                  </from>
                  <to>
                    <xdr:col>11</xdr:col>
                    <xdr:colOff>784860</xdr:colOff>
                    <xdr:row>41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39" r:id="rId615" name="Spinner 883">
              <controlPr defaultSize="0" autoPict="0">
                <anchor moveWithCells="1" sizeWithCells="1">
                  <from>
                    <xdr:col>11</xdr:col>
                    <xdr:colOff>411480</xdr:colOff>
                    <xdr:row>41</xdr:row>
                    <xdr:rowOff>22860</xdr:rowOff>
                  </from>
                  <to>
                    <xdr:col>11</xdr:col>
                    <xdr:colOff>784860</xdr:colOff>
                    <xdr:row>41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40" r:id="rId616" name="Spinner 884">
              <controlPr defaultSize="0" autoPict="0">
                <anchor moveWithCells="1" sizeWithCells="1">
                  <from>
                    <xdr:col>11</xdr:col>
                    <xdr:colOff>411480</xdr:colOff>
                    <xdr:row>41</xdr:row>
                    <xdr:rowOff>22860</xdr:rowOff>
                  </from>
                  <to>
                    <xdr:col>11</xdr:col>
                    <xdr:colOff>784860</xdr:colOff>
                    <xdr:row>41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41" r:id="rId617" name="Spinner 885">
              <controlPr defaultSize="0" autoPict="0">
                <anchor moveWithCells="1" sizeWithCells="1">
                  <from>
                    <xdr:col>11</xdr:col>
                    <xdr:colOff>411480</xdr:colOff>
                    <xdr:row>41</xdr:row>
                    <xdr:rowOff>22860</xdr:rowOff>
                  </from>
                  <to>
                    <xdr:col>11</xdr:col>
                    <xdr:colOff>784860</xdr:colOff>
                    <xdr:row>41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42" r:id="rId618" name="Spinner 886">
              <controlPr defaultSize="0" autoPict="0">
                <anchor moveWithCells="1" sizeWithCells="1">
                  <from>
                    <xdr:col>11</xdr:col>
                    <xdr:colOff>411480</xdr:colOff>
                    <xdr:row>41</xdr:row>
                    <xdr:rowOff>22860</xdr:rowOff>
                  </from>
                  <to>
                    <xdr:col>11</xdr:col>
                    <xdr:colOff>784860</xdr:colOff>
                    <xdr:row>41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43" r:id="rId619" name="Spinner 887">
              <controlPr defaultSize="0" autoPict="0">
                <anchor moveWithCells="1" sizeWithCells="1">
                  <from>
                    <xdr:col>11</xdr:col>
                    <xdr:colOff>411480</xdr:colOff>
                    <xdr:row>41</xdr:row>
                    <xdr:rowOff>22860</xdr:rowOff>
                  </from>
                  <to>
                    <xdr:col>11</xdr:col>
                    <xdr:colOff>784860</xdr:colOff>
                    <xdr:row>41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44" r:id="rId620" name="Spinner 888">
              <controlPr defaultSize="0" autoPict="0">
                <anchor moveWithCells="1" sizeWithCells="1">
                  <from>
                    <xdr:col>11</xdr:col>
                    <xdr:colOff>411480</xdr:colOff>
                    <xdr:row>41</xdr:row>
                    <xdr:rowOff>22860</xdr:rowOff>
                  </from>
                  <to>
                    <xdr:col>11</xdr:col>
                    <xdr:colOff>784860</xdr:colOff>
                    <xdr:row>41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45" r:id="rId621" name="Spinner 889">
              <controlPr defaultSize="0" autoPict="0">
                <anchor moveWithCells="1" sizeWithCells="1">
                  <from>
                    <xdr:col>11</xdr:col>
                    <xdr:colOff>411480</xdr:colOff>
                    <xdr:row>41</xdr:row>
                    <xdr:rowOff>22860</xdr:rowOff>
                  </from>
                  <to>
                    <xdr:col>11</xdr:col>
                    <xdr:colOff>784860</xdr:colOff>
                    <xdr:row>41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46" r:id="rId622" name="Spinner 890">
              <controlPr defaultSize="0" autoPict="0">
                <anchor moveWithCells="1" sizeWithCells="1">
                  <from>
                    <xdr:col>11</xdr:col>
                    <xdr:colOff>411480</xdr:colOff>
                    <xdr:row>41</xdr:row>
                    <xdr:rowOff>22860</xdr:rowOff>
                  </from>
                  <to>
                    <xdr:col>11</xdr:col>
                    <xdr:colOff>784860</xdr:colOff>
                    <xdr:row>41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47" r:id="rId623" name="Spinner 891">
              <controlPr defaultSize="0" autoPict="0">
                <anchor moveWithCells="1" sizeWithCells="1">
                  <from>
                    <xdr:col>11</xdr:col>
                    <xdr:colOff>411480</xdr:colOff>
                    <xdr:row>41</xdr:row>
                    <xdr:rowOff>22860</xdr:rowOff>
                  </from>
                  <to>
                    <xdr:col>11</xdr:col>
                    <xdr:colOff>784860</xdr:colOff>
                    <xdr:row>41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48" r:id="rId624" name="Spinner 892">
              <controlPr defaultSize="0" autoPict="0">
                <anchor moveWithCells="1" sizeWithCells="1">
                  <from>
                    <xdr:col>11</xdr:col>
                    <xdr:colOff>411480</xdr:colOff>
                    <xdr:row>41</xdr:row>
                    <xdr:rowOff>22860</xdr:rowOff>
                  </from>
                  <to>
                    <xdr:col>11</xdr:col>
                    <xdr:colOff>784860</xdr:colOff>
                    <xdr:row>41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49" r:id="rId625" name="Spinner 893">
              <controlPr defaultSize="0" autoPict="0">
                <anchor moveWithCells="1" sizeWithCells="1">
                  <from>
                    <xdr:col>11</xdr:col>
                    <xdr:colOff>411480</xdr:colOff>
                    <xdr:row>42</xdr:row>
                    <xdr:rowOff>22860</xdr:rowOff>
                  </from>
                  <to>
                    <xdr:col>11</xdr:col>
                    <xdr:colOff>784860</xdr:colOff>
                    <xdr:row>42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50" r:id="rId626" name="Spinner 894">
              <controlPr defaultSize="0" autoPict="0">
                <anchor moveWithCells="1" sizeWithCells="1">
                  <from>
                    <xdr:col>11</xdr:col>
                    <xdr:colOff>411480</xdr:colOff>
                    <xdr:row>42</xdr:row>
                    <xdr:rowOff>22860</xdr:rowOff>
                  </from>
                  <to>
                    <xdr:col>11</xdr:col>
                    <xdr:colOff>784860</xdr:colOff>
                    <xdr:row>42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51" r:id="rId627" name="Spinner 895">
              <controlPr defaultSize="0" autoPict="0">
                <anchor moveWithCells="1" sizeWithCells="1">
                  <from>
                    <xdr:col>11</xdr:col>
                    <xdr:colOff>411480</xdr:colOff>
                    <xdr:row>42</xdr:row>
                    <xdr:rowOff>22860</xdr:rowOff>
                  </from>
                  <to>
                    <xdr:col>11</xdr:col>
                    <xdr:colOff>784860</xdr:colOff>
                    <xdr:row>42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52" r:id="rId628" name="Spinner 896">
              <controlPr defaultSize="0" autoPict="0">
                <anchor moveWithCells="1" sizeWithCells="1">
                  <from>
                    <xdr:col>10</xdr:col>
                    <xdr:colOff>922020</xdr:colOff>
                    <xdr:row>42</xdr:row>
                    <xdr:rowOff>7620</xdr:rowOff>
                  </from>
                  <to>
                    <xdr:col>10</xdr:col>
                    <xdr:colOff>1295400</xdr:colOff>
                    <xdr:row>42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53" r:id="rId629" name="Spinner 897">
              <controlPr defaultSize="0" autoPict="0">
                <anchor moveWithCells="1" sizeWithCells="1">
                  <from>
                    <xdr:col>10</xdr:col>
                    <xdr:colOff>922020</xdr:colOff>
                    <xdr:row>42</xdr:row>
                    <xdr:rowOff>7620</xdr:rowOff>
                  </from>
                  <to>
                    <xdr:col>10</xdr:col>
                    <xdr:colOff>1295400</xdr:colOff>
                    <xdr:row>42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54" r:id="rId630" name="Spinner 898">
              <controlPr defaultSize="0" autoPict="0">
                <anchor moveWithCells="1" sizeWithCells="1">
                  <from>
                    <xdr:col>10</xdr:col>
                    <xdr:colOff>922020</xdr:colOff>
                    <xdr:row>42</xdr:row>
                    <xdr:rowOff>7620</xdr:rowOff>
                  </from>
                  <to>
                    <xdr:col>10</xdr:col>
                    <xdr:colOff>1295400</xdr:colOff>
                    <xdr:row>42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55" r:id="rId631" name="Spinner 899">
              <controlPr defaultSize="0" autoPict="0">
                <anchor moveWithCells="1" sizeWithCells="1">
                  <from>
                    <xdr:col>11</xdr:col>
                    <xdr:colOff>411480</xdr:colOff>
                    <xdr:row>42</xdr:row>
                    <xdr:rowOff>22860</xdr:rowOff>
                  </from>
                  <to>
                    <xdr:col>11</xdr:col>
                    <xdr:colOff>784860</xdr:colOff>
                    <xdr:row>42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56" r:id="rId632" name="Spinner 900">
              <controlPr defaultSize="0" autoPict="0">
                <anchor moveWithCells="1" sizeWithCells="1">
                  <from>
                    <xdr:col>10</xdr:col>
                    <xdr:colOff>922020</xdr:colOff>
                    <xdr:row>42</xdr:row>
                    <xdr:rowOff>7620</xdr:rowOff>
                  </from>
                  <to>
                    <xdr:col>10</xdr:col>
                    <xdr:colOff>1295400</xdr:colOff>
                    <xdr:row>42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57" r:id="rId633" name="Spinner 901">
              <controlPr defaultSize="0" autoPict="0">
                <anchor moveWithCells="1" sizeWithCells="1">
                  <from>
                    <xdr:col>10</xdr:col>
                    <xdr:colOff>922020</xdr:colOff>
                    <xdr:row>42</xdr:row>
                    <xdr:rowOff>7620</xdr:rowOff>
                  </from>
                  <to>
                    <xdr:col>10</xdr:col>
                    <xdr:colOff>1295400</xdr:colOff>
                    <xdr:row>42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58" r:id="rId634" name="Spinner 902">
              <controlPr defaultSize="0" autoPict="0">
                <anchor moveWithCells="1" sizeWithCells="1">
                  <from>
                    <xdr:col>11</xdr:col>
                    <xdr:colOff>411480</xdr:colOff>
                    <xdr:row>42</xdr:row>
                    <xdr:rowOff>22860</xdr:rowOff>
                  </from>
                  <to>
                    <xdr:col>11</xdr:col>
                    <xdr:colOff>784860</xdr:colOff>
                    <xdr:row>42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59" r:id="rId635" name="Spinner 903">
              <controlPr defaultSize="0" autoPict="0">
                <anchor moveWithCells="1" sizeWithCells="1">
                  <from>
                    <xdr:col>11</xdr:col>
                    <xdr:colOff>411480</xdr:colOff>
                    <xdr:row>42</xdr:row>
                    <xdr:rowOff>22860</xdr:rowOff>
                  </from>
                  <to>
                    <xdr:col>11</xdr:col>
                    <xdr:colOff>784860</xdr:colOff>
                    <xdr:row>42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60" r:id="rId636" name="Spinner 904">
              <controlPr defaultSize="0" autoPict="0">
                <anchor moveWithCells="1" sizeWithCells="1">
                  <from>
                    <xdr:col>11</xdr:col>
                    <xdr:colOff>411480</xdr:colOff>
                    <xdr:row>42</xdr:row>
                    <xdr:rowOff>22860</xdr:rowOff>
                  </from>
                  <to>
                    <xdr:col>11</xdr:col>
                    <xdr:colOff>784860</xdr:colOff>
                    <xdr:row>42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61" r:id="rId637" name="Spinner 905">
              <controlPr defaultSize="0" autoPict="0">
                <anchor moveWithCells="1" sizeWithCells="1">
                  <from>
                    <xdr:col>11</xdr:col>
                    <xdr:colOff>411480</xdr:colOff>
                    <xdr:row>42</xdr:row>
                    <xdr:rowOff>22860</xdr:rowOff>
                  </from>
                  <to>
                    <xdr:col>11</xdr:col>
                    <xdr:colOff>784860</xdr:colOff>
                    <xdr:row>42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62" r:id="rId638" name="Spinner 906">
              <controlPr defaultSize="0" autoPict="0">
                <anchor moveWithCells="1" sizeWithCells="1">
                  <from>
                    <xdr:col>11</xdr:col>
                    <xdr:colOff>411480</xdr:colOff>
                    <xdr:row>42</xdr:row>
                    <xdr:rowOff>22860</xdr:rowOff>
                  </from>
                  <to>
                    <xdr:col>11</xdr:col>
                    <xdr:colOff>784860</xdr:colOff>
                    <xdr:row>42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63" r:id="rId639" name="Spinner 907">
              <controlPr defaultSize="0" autoPict="0">
                <anchor moveWithCells="1" sizeWithCells="1">
                  <from>
                    <xdr:col>11</xdr:col>
                    <xdr:colOff>411480</xdr:colOff>
                    <xdr:row>42</xdr:row>
                    <xdr:rowOff>22860</xdr:rowOff>
                  </from>
                  <to>
                    <xdr:col>11</xdr:col>
                    <xdr:colOff>784860</xdr:colOff>
                    <xdr:row>42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64" r:id="rId640" name="Spinner 908">
              <controlPr defaultSize="0" autoPict="0">
                <anchor moveWithCells="1" sizeWithCells="1">
                  <from>
                    <xdr:col>11</xdr:col>
                    <xdr:colOff>411480</xdr:colOff>
                    <xdr:row>42</xdr:row>
                    <xdr:rowOff>22860</xdr:rowOff>
                  </from>
                  <to>
                    <xdr:col>11</xdr:col>
                    <xdr:colOff>784860</xdr:colOff>
                    <xdr:row>42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65" r:id="rId641" name="Spinner 909">
              <controlPr defaultSize="0" autoPict="0">
                <anchor moveWithCells="1" sizeWithCells="1">
                  <from>
                    <xdr:col>11</xdr:col>
                    <xdr:colOff>411480</xdr:colOff>
                    <xdr:row>42</xdr:row>
                    <xdr:rowOff>22860</xdr:rowOff>
                  </from>
                  <to>
                    <xdr:col>11</xdr:col>
                    <xdr:colOff>784860</xdr:colOff>
                    <xdr:row>42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66" r:id="rId642" name="Spinner 910">
              <controlPr defaultSize="0" autoPict="0">
                <anchor moveWithCells="1" sizeWithCells="1">
                  <from>
                    <xdr:col>11</xdr:col>
                    <xdr:colOff>411480</xdr:colOff>
                    <xdr:row>42</xdr:row>
                    <xdr:rowOff>22860</xdr:rowOff>
                  </from>
                  <to>
                    <xdr:col>11</xdr:col>
                    <xdr:colOff>784860</xdr:colOff>
                    <xdr:row>42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67" r:id="rId643" name="Spinner 911">
              <controlPr defaultSize="0" autoPict="0">
                <anchor moveWithCells="1" sizeWithCells="1">
                  <from>
                    <xdr:col>11</xdr:col>
                    <xdr:colOff>411480</xdr:colOff>
                    <xdr:row>42</xdr:row>
                    <xdr:rowOff>22860</xdr:rowOff>
                  </from>
                  <to>
                    <xdr:col>11</xdr:col>
                    <xdr:colOff>784860</xdr:colOff>
                    <xdr:row>42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68" r:id="rId644" name="Spinner 912">
              <controlPr defaultSize="0" autoPict="0">
                <anchor moveWithCells="1" sizeWithCells="1">
                  <from>
                    <xdr:col>11</xdr:col>
                    <xdr:colOff>411480</xdr:colOff>
                    <xdr:row>42</xdr:row>
                    <xdr:rowOff>22860</xdr:rowOff>
                  </from>
                  <to>
                    <xdr:col>11</xdr:col>
                    <xdr:colOff>784860</xdr:colOff>
                    <xdr:row>42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69" r:id="rId645" name="Spinner 913">
              <controlPr defaultSize="0" autoPict="0">
                <anchor moveWithCells="1" sizeWithCells="1">
                  <from>
                    <xdr:col>11</xdr:col>
                    <xdr:colOff>411480</xdr:colOff>
                    <xdr:row>42</xdr:row>
                    <xdr:rowOff>22860</xdr:rowOff>
                  </from>
                  <to>
                    <xdr:col>11</xdr:col>
                    <xdr:colOff>784860</xdr:colOff>
                    <xdr:row>42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70" r:id="rId646" name="Spinner 914">
              <controlPr defaultSize="0" autoPict="0">
                <anchor moveWithCells="1" sizeWithCells="1">
                  <from>
                    <xdr:col>11</xdr:col>
                    <xdr:colOff>411480</xdr:colOff>
                    <xdr:row>42</xdr:row>
                    <xdr:rowOff>22860</xdr:rowOff>
                  </from>
                  <to>
                    <xdr:col>11</xdr:col>
                    <xdr:colOff>784860</xdr:colOff>
                    <xdr:row>42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71" r:id="rId647" name="Spinner 915">
              <controlPr defaultSize="0" autoPict="0">
                <anchor moveWithCells="1" sizeWithCells="1">
                  <from>
                    <xdr:col>11</xdr:col>
                    <xdr:colOff>411480</xdr:colOff>
                    <xdr:row>42</xdr:row>
                    <xdr:rowOff>22860</xdr:rowOff>
                  </from>
                  <to>
                    <xdr:col>11</xdr:col>
                    <xdr:colOff>784860</xdr:colOff>
                    <xdr:row>42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72" r:id="rId648" name="Spinner 916">
              <controlPr defaultSize="0" autoPict="0">
                <anchor moveWithCells="1" sizeWithCells="1">
                  <from>
                    <xdr:col>11</xdr:col>
                    <xdr:colOff>411480</xdr:colOff>
                    <xdr:row>42</xdr:row>
                    <xdr:rowOff>22860</xdr:rowOff>
                  </from>
                  <to>
                    <xdr:col>11</xdr:col>
                    <xdr:colOff>784860</xdr:colOff>
                    <xdr:row>42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73" r:id="rId649" name="Spinner 917">
              <controlPr defaultSize="0" autoPict="0">
                <anchor moveWithCells="1" sizeWithCells="1">
                  <from>
                    <xdr:col>11</xdr:col>
                    <xdr:colOff>411480</xdr:colOff>
                    <xdr:row>42</xdr:row>
                    <xdr:rowOff>22860</xdr:rowOff>
                  </from>
                  <to>
                    <xdr:col>11</xdr:col>
                    <xdr:colOff>784860</xdr:colOff>
                    <xdr:row>42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74" r:id="rId650" name="Spinner 918">
              <controlPr defaultSize="0" autoPict="0">
                <anchor moveWithCells="1" sizeWithCells="1">
                  <from>
                    <xdr:col>11</xdr:col>
                    <xdr:colOff>411480</xdr:colOff>
                    <xdr:row>42</xdr:row>
                    <xdr:rowOff>22860</xdr:rowOff>
                  </from>
                  <to>
                    <xdr:col>11</xdr:col>
                    <xdr:colOff>784860</xdr:colOff>
                    <xdr:row>42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75" r:id="rId651" name="Spinner 919">
              <controlPr defaultSize="0" autoPict="0">
                <anchor moveWithCells="1" sizeWithCells="1">
                  <from>
                    <xdr:col>11</xdr:col>
                    <xdr:colOff>411480</xdr:colOff>
                    <xdr:row>42</xdr:row>
                    <xdr:rowOff>22860</xdr:rowOff>
                  </from>
                  <to>
                    <xdr:col>11</xdr:col>
                    <xdr:colOff>784860</xdr:colOff>
                    <xdr:row>42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76" r:id="rId652" name="Spinner 920">
              <controlPr defaultSize="0" autoPict="0">
                <anchor moveWithCells="1" sizeWithCells="1">
                  <from>
                    <xdr:col>11</xdr:col>
                    <xdr:colOff>411480</xdr:colOff>
                    <xdr:row>42</xdr:row>
                    <xdr:rowOff>22860</xdr:rowOff>
                  </from>
                  <to>
                    <xdr:col>11</xdr:col>
                    <xdr:colOff>784860</xdr:colOff>
                    <xdr:row>42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77" r:id="rId653" name="Spinner 921">
              <controlPr defaultSize="0" autoPict="0">
                <anchor moveWithCells="1" sizeWithCells="1">
                  <from>
                    <xdr:col>11</xdr:col>
                    <xdr:colOff>411480</xdr:colOff>
                    <xdr:row>42</xdr:row>
                    <xdr:rowOff>22860</xdr:rowOff>
                  </from>
                  <to>
                    <xdr:col>11</xdr:col>
                    <xdr:colOff>784860</xdr:colOff>
                    <xdr:row>42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78" r:id="rId654" name="Spinner 922">
              <controlPr defaultSize="0" autoPict="0">
                <anchor moveWithCells="1" sizeWithCells="1">
                  <from>
                    <xdr:col>11</xdr:col>
                    <xdr:colOff>411480</xdr:colOff>
                    <xdr:row>42</xdr:row>
                    <xdr:rowOff>22860</xdr:rowOff>
                  </from>
                  <to>
                    <xdr:col>11</xdr:col>
                    <xdr:colOff>784860</xdr:colOff>
                    <xdr:row>42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79" r:id="rId655" name="Spinner 923">
              <controlPr defaultSize="0" autoPict="0">
                <anchor moveWithCells="1" sizeWithCells="1">
                  <from>
                    <xdr:col>11</xdr:col>
                    <xdr:colOff>411480</xdr:colOff>
                    <xdr:row>42</xdr:row>
                    <xdr:rowOff>22860</xdr:rowOff>
                  </from>
                  <to>
                    <xdr:col>11</xdr:col>
                    <xdr:colOff>784860</xdr:colOff>
                    <xdr:row>42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80" r:id="rId656" name="Spinner 924">
              <controlPr defaultSize="0" autoPict="0">
                <anchor moveWithCells="1" sizeWithCells="1">
                  <from>
                    <xdr:col>11</xdr:col>
                    <xdr:colOff>411480</xdr:colOff>
                    <xdr:row>42</xdr:row>
                    <xdr:rowOff>22860</xdr:rowOff>
                  </from>
                  <to>
                    <xdr:col>11</xdr:col>
                    <xdr:colOff>784860</xdr:colOff>
                    <xdr:row>42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81" r:id="rId657" name="Spinner 925">
              <controlPr defaultSize="0" autoPict="0">
                <anchor moveWithCells="1" sizeWithCells="1">
                  <from>
                    <xdr:col>11</xdr:col>
                    <xdr:colOff>411480</xdr:colOff>
                    <xdr:row>42</xdr:row>
                    <xdr:rowOff>22860</xdr:rowOff>
                  </from>
                  <to>
                    <xdr:col>11</xdr:col>
                    <xdr:colOff>784860</xdr:colOff>
                    <xdr:row>42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82" r:id="rId658" name="Spinner 926">
              <controlPr defaultSize="0" autoPict="0">
                <anchor moveWithCells="1" sizeWithCells="1">
                  <from>
                    <xdr:col>11</xdr:col>
                    <xdr:colOff>411480</xdr:colOff>
                    <xdr:row>42</xdr:row>
                    <xdr:rowOff>22860</xdr:rowOff>
                  </from>
                  <to>
                    <xdr:col>11</xdr:col>
                    <xdr:colOff>784860</xdr:colOff>
                    <xdr:row>42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83" r:id="rId659" name="Spinner 927">
              <controlPr defaultSize="0" autoPict="0">
                <anchor moveWithCells="1" sizeWithCells="1">
                  <from>
                    <xdr:col>11</xdr:col>
                    <xdr:colOff>411480</xdr:colOff>
                    <xdr:row>42</xdr:row>
                    <xdr:rowOff>22860</xdr:rowOff>
                  </from>
                  <to>
                    <xdr:col>11</xdr:col>
                    <xdr:colOff>784860</xdr:colOff>
                    <xdr:row>42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84" r:id="rId660" name="Spinner 928">
              <controlPr defaultSize="0" autoPict="0">
                <anchor moveWithCells="1" sizeWithCells="1">
                  <from>
                    <xdr:col>11</xdr:col>
                    <xdr:colOff>411480</xdr:colOff>
                    <xdr:row>42</xdr:row>
                    <xdr:rowOff>22860</xdr:rowOff>
                  </from>
                  <to>
                    <xdr:col>11</xdr:col>
                    <xdr:colOff>784860</xdr:colOff>
                    <xdr:row>42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85" r:id="rId661" name="Spinner 929">
              <controlPr defaultSize="0" autoPict="0">
                <anchor moveWithCells="1" sizeWithCells="1">
                  <from>
                    <xdr:col>11</xdr:col>
                    <xdr:colOff>411480</xdr:colOff>
                    <xdr:row>42</xdr:row>
                    <xdr:rowOff>22860</xdr:rowOff>
                  </from>
                  <to>
                    <xdr:col>11</xdr:col>
                    <xdr:colOff>784860</xdr:colOff>
                    <xdr:row>42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86" r:id="rId662" name="Spinner 930">
              <controlPr defaultSize="0" autoPict="0">
                <anchor moveWithCells="1" sizeWithCells="1">
                  <from>
                    <xdr:col>11</xdr:col>
                    <xdr:colOff>411480</xdr:colOff>
                    <xdr:row>42</xdr:row>
                    <xdr:rowOff>22860</xdr:rowOff>
                  </from>
                  <to>
                    <xdr:col>11</xdr:col>
                    <xdr:colOff>784860</xdr:colOff>
                    <xdr:row>42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87" r:id="rId663" name="Spinner 931">
              <controlPr defaultSize="0" autoPict="0">
                <anchor moveWithCells="1" sizeWithCells="1">
                  <from>
                    <xdr:col>11</xdr:col>
                    <xdr:colOff>411480</xdr:colOff>
                    <xdr:row>42</xdr:row>
                    <xdr:rowOff>22860</xdr:rowOff>
                  </from>
                  <to>
                    <xdr:col>11</xdr:col>
                    <xdr:colOff>784860</xdr:colOff>
                    <xdr:row>42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88" r:id="rId664" name="Spinner 932">
              <controlPr defaultSize="0" autoPict="0">
                <anchor moveWithCells="1" sizeWithCells="1">
                  <from>
                    <xdr:col>11</xdr:col>
                    <xdr:colOff>411480</xdr:colOff>
                    <xdr:row>42</xdr:row>
                    <xdr:rowOff>22860</xdr:rowOff>
                  </from>
                  <to>
                    <xdr:col>11</xdr:col>
                    <xdr:colOff>784860</xdr:colOff>
                    <xdr:row>42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89" r:id="rId665" name="Spinner 933">
              <controlPr defaultSize="0" autoPict="0">
                <anchor moveWithCells="1" sizeWithCells="1">
                  <from>
                    <xdr:col>11</xdr:col>
                    <xdr:colOff>411480</xdr:colOff>
                    <xdr:row>42</xdr:row>
                    <xdr:rowOff>22860</xdr:rowOff>
                  </from>
                  <to>
                    <xdr:col>11</xdr:col>
                    <xdr:colOff>784860</xdr:colOff>
                    <xdr:row>42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90" r:id="rId666" name="Spinner 934">
              <controlPr defaultSize="0" autoPict="0">
                <anchor moveWithCells="1" sizeWithCells="1">
                  <from>
                    <xdr:col>11</xdr:col>
                    <xdr:colOff>411480</xdr:colOff>
                    <xdr:row>43</xdr:row>
                    <xdr:rowOff>22860</xdr:rowOff>
                  </from>
                  <to>
                    <xdr:col>11</xdr:col>
                    <xdr:colOff>784860</xdr:colOff>
                    <xdr:row>43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91" r:id="rId667" name="Spinner 935">
              <controlPr defaultSize="0" autoPict="0">
                <anchor moveWithCells="1" sizeWithCells="1">
                  <from>
                    <xdr:col>11</xdr:col>
                    <xdr:colOff>411480</xdr:colOff>
                    <xdr:row>43</xdr:row>
                    <xdr:rowOff>22860</xdr:rowOff>
                  </from>
                  <to>
                    <xdr:col>11</xdr:col>
                    <xdr:colOff>784860</xdr:colOff>
                    <xdr:row>43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92" r:id="rId668" name="Spinner 936">
              <controlPr defaultSize="0" autoPict="0">
                <anchor moveWithCells="1" sizeWithCells="1">
                  <from>
                    <xdr:col>11</xdr:col>
                    <xdr:colOff>411480</xdr:colOff>
                    <xdr:row>43</xdr:row>
                    <xdr:rowOff>22860</xdr:rowOff>
                  </from>
                  <to>
                    <xdr:col>11</xdr:col>
                    <xdr:colOff>784860</xdr:colOff>
                    <xdr:row>43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93" r:id="rId669" name="Spinner 937">
              <controlPr defaultSize="0" autoPict="0">
                <anchor moveWithCells="1" sizeWithCells="1">
                  <from>
                    <xdr:col>10</xdr:col>
                    <xdr:colOff>922020</xdr:colOff>
                    <xdr:row>43</xdr:row>
                    <xdr:rowOff>7620</xdr:rowOff>
                  </from>
                  <to>
                    <xdr:col>10</xdr:col>
                    <xdr:colOff>1295400</xdr:colOff>
                    <xdr:row>43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94" r:id="rId670" name="Spinner 938">
              <controlPr defaultSize="0" autoPict="0">
                <anchor moveWithCells="1" sizeWithCells="1">
                  <from>
                    <xdr:col>10</xdr:col>
                    <xdr:colOff>922020</xdr:colOff>
                    <xdr:row>43</xdr:row>
                    <xdr:rowOff>7620</xdr:rowOff>
                  </from>
                  <to>
                    <xdr:col>10</xdr:col>
                    <xdr:colOff>1295400</xdr:colOff>
                    <xdr:row>43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95" r:id="rId671" name="Spinner 939">
              <controlPr defaultSize="0" autoPict="0">
                <anchor moveWithCells="1" sizeWithCells="1">
                  <from>
                    <xdr:col>10</xdr:col>
                    <xdr:colOff>922020</xdr:colOff>
                    <xdr:row>43</xdr:row>
                    <xdr:rowOff>7620</xdr:rowOff>
                  </from>
                  <to>
                    <xdr:col>10</xdr:col>
                    <xdr:colOff>1295400</xdr:colOff>
                    <xdr:row>43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96" r:id="rId672" name="Spinner 940">
              <controlPr defaultSize="0" autoPict="0">
                <anchor moveWithCells="1" sizeWithCells="1">
                  <from>
                    <xdr:col>11</xdr:col>
                    <xdr:colOff>411480</xdr:colOff>
                    <xdr:row>43</xdr:row>
                    <xdr:rowOff>22860</xdr:rowOff>
                  </from>
                  <to>
                    <xdr:col>11</xdr:col>
                    <xdr:colOff>784860</xdr:colOff>
                    <xdr:row>43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97" r:id="rId673" name="Spinner 941">
              <controlPr defaultSize="0" autoPict="0">
                <anchor moveWithCells="1" sizeWithCells="1">
                  <from>
                    <xdr:col>10</xdr:col>
                    <xdr:colOff>922020</xdr:colOff>
                    <xdr:row>43</xdr:row>
                    <xdr:rowOff>7620</xdr:rowOff>
                  </from>
                  <to>
                    <xdr:col>10</xdr:col>
                    <xdr:colOff>1295400</xdr:colOff>
                    <xdr:row>43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98" r:id="rId674" name="Spinner 942">
              <controlPr defaultSize="0" autoPict="0">
                <anchor moveWithCells="1" sizeWithCells="1">
                  <from>
                    <xdr:col>10</xdr:col>
                    <xdr:colOff>922020</xdr:colOff>
                    <xdr:row>43</xdr:row>
                    <xdr:rowOff>7620</xdr:rowOff>
                  </from>
                  <to>
                    <xdr:col>10</xdr:col>
                    <xdr:colOff>1295400</xdr:colOff>
                    <xdr:row>43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99" r:id="rId675" name="Spinner 943">
              <controlPr defaultSize="0" autoPict="0">
                <anchor moveWithCells="1" sizeWithCells="1">
                  <from>
                    <xdr:col>11</xdr:col>
                    <xdr:colOff>411480</xdr:colOff>
                    <xdr:row>43</xdr:row>
                    <xdr:rowOff>22860</xdr:rowOff>
                  </from>
                  <to>
                    <xdr:col>11</xdr:col>
                    <xdr:colOff>784860</xdr:colOff>
                    <xdr:row>43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00" r:id="rId676" name="Spinner 944">
              <controlPr defaultSize="0" autoPict="0">
                <anchor moveWithCells="1" sizeWithCells="1">
                  <from>
                    <xdr:col>11</xdr:col>
                    <xdr:colOff>411480</xdr:colOff>
                    <xdr:row>43</xdr:row>
                    <xdr:rowOff>22860</xdr:rowOff>
                  </from>
                  <to>
                    <xdr:col>11</xdr:col>
                    <xdr:colOff>784860</xdr:colOff>
                    <xdr:row>43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01" r:id="rId677" name="Spinner 945">
              <controlPr defaultSize="0" autoPict="0">
                <anchor moveWithCells="1" sizeWithCells="1">
                  <from>
                    <xdr:col>11</xdr:col>
                    <xdr:colOff>411480</xdr:colOff>
                    <xdr:row>43</xdr:row>
                    <xdr:rowOff>22860</xdr:rowOff>
                  </from>
                  <to>
                    <xdr:col>11</xdr:col>
                    <xdr:colOff>784860</xdr:colOff>
                    <xdr:row>43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02" r:id="rId678" name="Spinner 946">
              <controlPr defaultSize="0" autoPict="0">
                <anchor moveWithCells="1" sizeWithCells="1">
                  <from>
                    <xdr:col>11</xdr:col>
                    <xdr:colOff>411480</xdr:colOff>
                    <xdr:row>43</xdr:row>
                    <xdr:rowOff>22860</xdr:rowOff>
                  </from>
                  <to>
                    <xdr:col>11</xdr:col>
                    <xdr:colOff>784860</xdr:colOff>
                    <xdr:row>43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03" r:id="rId679" name="Spinner 947">
              <controlPr defaultSize="0" autoPict="0">
                <anchor moveWithCells="1" sizeWithCells="1">
                  <from>
                    <xdr:col>11</xdr:col>
                    <xdr:colOff>411480</xdr:colOff>
                    <xdr:row>43</xdr:row>
                    <xdr:rowOff>22860</xdr:rowOff>
                  </from>
                  <to>
                    <xdr:col>11</xdr:col>
                    <xdr:colOff>784860</xdr:colOff>
                    <xdr:row>43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04" r:id="rId680" name="Spinner 948">
              <controlPr defaultSize="0" autoPict="0">
                <anchor moveWithCells="1" sizeWithCells="1">
                  <from>
                    <xdr:col>11</xdr:col>
                    <xdr:colOff>411480</xdr:colOff>
                    <xdr:row>43</xdr:row>
                    <xdr:rowOff>22860</xdr:rowOff>
                  </from>
                  <to>
                    <xdr:col>11</xdr:col>
                    <xdr:colOff>784860</xdr:colOff>
                    <xdr:row>43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05" r:id="rId681" name="Spinner 949">
              <controlPr defaultSize="0" autoPict="0">
                <anchor moveWithCells="1" sizeWithCells="1">
                  <from>
                    <xdr:col>11</xdr:col>
                    <xdr:colOff>411480</xdr:colOff>
                    <xdr:row>43</xdr:row>
                    <xdr:rowOff>22860</xdr:rowOff>
                  </from>
                  <to>
                    <xdr:col>11</xdr:col>
                    <xdr:colOff>784860</xdr:colOff>
                    <xdr:row>43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06" r:id="rId682" name="Spinner 950">
              <controlPr defaultSize="0" autoPict="0">
                <anchor moveWithCells="1" sizeWithCells="1">
                  <from>
                    <xdr:col>11</xdr:col>
                    <xdr:colOff>411480</xdr:colOff>
                    <xdr:row>43</xdr:row>
                    <xdr:rowOff>22860</xdr:rowOff>
                  </from>
                  <to>
                    <xdr:col>11</xdr:col>
                    <xdr:colOff>784860</xdr:colOff>
                    <xdr:row>43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07" r:id="rId683" name="Spinner 951">
              <controlPr defaultSize="0" autoPict="0">
                <anchor moveWithCells="1" sizeWithCells="1">
                  <from>
                    <xdr:col>11</xdr:col>
                    <xdr:colOff>411480</xdr:colOff>
                    <xdr:row>43</xdr:row>
                    <xdr:rowOff>22860</xdr:rowOff>
                  </from>
                  <to>
                    <xdr:col>11</xdr:col>
                    <xdr:colOff>784860</xdr:colOff>
                    <xdr:row>43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08" r:id="rId684" name="Spinner 952">
              <controlPr defaultSize="0" autoPict="0">
                <anchor moveWithCells="1" sizeWithCells="1">
                  <from>
                    <xdr:col>11</xdr:col>
                    <xdr:colOff>411480</xdr:colOff>
                    <xdr:row>43</xdr:row>
                    <xdr:rowOff>22860</xdr:rowOff>
                  </from>
                  <to>
                    <xdr:col>11</xdr:col>
                    <xdr:colOff>784860</xdr:colOff>
                    <xdr:row>43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09" r:id="rId685" name="Spinner 953">
              <controlPr defaultSize="0" autoPict="0">
                <anchor moveWithCells="1" sizeWithCells="1">
                  <from>
                    <xdr:col>11</xdr:col>
                    <xdr:colOff>411480</xdr:colOff>
                    <xdr:row>43</xdr:row>
                    <xdr:rowOff>22860</xdr:rowOff>
                  </from>
                  <to>
                    <xdr:col>11</xdr:col>
                    <xdr:colOff>784860</xdr:colOff>
                    <xdr:row>43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10" r:id="rId686" name="Spinner 954">
              <controlPr defaultSize="0" autoPict="0">
                <anchor moveWithCells="1" sizeWithCells="1">
                  <from>
                    <xdr:col>11</xdr:col>
                    <xdr:colOff>411480</xdr:colOff>
                    <xdr:row>43</xdr:row>
                    <xdr:rowOff>22860</xdr:rowOff>
                  </from>
                  <to>
                    <xdr:col>11</xdr:col>
                    <xdr:colOff>784860</xdr:colOff>
                    <xdr:row>43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11" r:id="rId687" name="Spinner 955">
              <controlPr defaultSize="0" autoPict="0">
                <anchor moveWithCells="1" sizeWithCells="1">
                  <from>
                    <xdr:col>11</xdr:col>
                    <xdr:colOff>411480</xdr:colOff>
                    <xdr:row>43</xdr:row>
                    <xdr:rowOff>22860</xdr:rowOff>
                  </from>
                  <to>
                    <xdr:col>11</xdr:col>
                    <xdr:colOff>784860</xdr:colOff>
                    <xdr:row>43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12" r:id="rId688" name="Spinner 956">
              <controlPr defaultSize="0" autoPict="0">
                <anchor moveWithCells="1" sizeWithCells="1">
                  <from>
                    <xdr:col>11</xdr:col>
                    <xdr:colOff>411480</xdr:colOff>
                    <xdr:row>43</xdr:row>
                    <xdr:rowOff>22860</xdr:rowOff>
                  </from>
                  <to>
                    <xdr:col>11</xdr:col>
                    <xdr:colOff>784860</xdr:colOff>
                    <xdr:row>43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13" r:id="rId689" name="Spinner 957">
              <controlPr defaultSize="0" autoPict="0">
                <anchor moveWithCells="1" sizeWithCells="1">
                  <from>
                    <xdr:col>11</xdr:col>
                    <xdr:colOff>411480</xdr:colOff>
                    <xdr:row>43</xdr:row>
                    <xdr:rowOff>22860</xdr:rowOff>
                  </from>
                  <to>
                    <xdr:col>11</xdr:col>
                    <xdr:colOff>784860</xdr:colOff>
                    <xdr:row>43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14" r:id="rId690" name="Spinner 958">
              <controlPr defaultSize="0" autoPict="0">
                <anchor moveWithCells="1" sizeWithCells="1">
                  <from>
                    <xdr:col>11</xdr:col>
                    <xdr:colOff>411480</xdr:colOff>
                    <xdr:row>43</xdr:row>
                    <xdr:rowOff>22860</xdr:rowOff>
                  </from>
                  <to>
                    <xdr:col>11</xdr:col>
                    <xdr:colOff>784860</xdr:colOff>
                    <xdr:row>43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15" r:id="rId691" name="Spinner 959">
              <controlPr defaultSize="0" autoPict="0">
                <anchor moveWithCells="1" sizeWithCells="1">
                  <from>
                    <xdr:col>11</xdr:col>
                    <xdr:colOff>411480</xdr:colOff>
                    <xdr:row>43</xdr:row>
                    <xdr:rowOff>22860</xdr:rowOff>
                  </from>
                  <to>
                    <xdr:col>11</xdr:col>
                    <xdr:colOff>784860</xdr:colOff>
                    <xdr:row>43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16" r:id="rId692" name="Spinner 960">
              <controlPr defaultSize="0" autoPict="0">
                <anchor moveWithCells="1" sizeWithCells="1">
                  <from>
                    <xdr:col>11</xdr:col>
                    <xdr:colOff>411480</xdr:colOff>
                    <xdr:row>43</xdr:row>
                    <xdr:rowOff>22860</xdr:rowOff>
                  </from>
                  <to>
                    <xdr:col>11</xdr:col>
                    <xdr:colOff>784860</xdr:colOff>
                    <xdr:row>43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17" r:id="rId693" name="Spinner 961">
              <controlPr defaultSize="0" autoPict="0">
                <anchor moveWithCells="1" sizeWithCells="1">
                  <from>
                    <xdr:col>11</xdr:col>
                    <xdr:colOff>411480</xdr:colOff>
                    <xdr:row>43</xdr:row>
                    <xdr:rowOff>22860</xdr:rowOff>
                  </from>
                  <to>
                    <xdr:col>11</xdr:col>
                    <xdr:colOff>784860</xdr:colOff>
                    <xdr:row>43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18" r:id="rId694" name="Spinner 962">
              <controlPr defaultSize="0" autoPict="0">
                <anchor moveWithCells="1" sizeWithCells="1">
                  <from>
                    <xdr:col>11</xdr:col>
                    <xdr:colOff>411480</xdr:colOff>
                    <xdr:row>43</xdr:row>
                    <xdr:rowOff>22860</xdr:rowOff>
                  </from>
                  <to>
                    <xdr:col>11</xdr:col>
                    <xdr:colOff>784860</xdr:colOff>
                    <xdr:row>43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19" r:id="rId695" name="Spinner 963">
              <controlPr defaultSize="0" autoPict="0">
                <anchor moveWithCells="1" sizeWithCells="1">
                  <from>
                    <xdr:col>11</xdr:col>
                    <xdr:colOff>411480</xdr:colOff>
                    <xdr:row>43</xdr:row>
                    <xdr:rowOff>22860</xdr:rowOff>
                  </from>
                  <to>
                    <xdr:col>11</xdr:col>
                    <xdr:colOff>784860</xdr:colOff>
                    <xdr:row>43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20" r:id="rId696" name="Spinner 964">
              <controlPr defaultSize="0" autoPict="0">
                <anchor moveWithCells="1" sizeWithCells="1">
                  <from>
                    <xdr:col>11</xdr:col>
                    <xdr:colOff>411480</xdr:colOff>
                    <xdr:row>43</xdr:row>
                    <xdr:rowOff>22860</xdr:rowOff>
                  </from>
                  <to>
                    <xdr:col>11</xdr:col>
                    <xdr:colOff>784860</xdr:colOff>
                    <xdr:row>43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21" r:id="rId697" name="Spinner 965">
              <controlPr defaultSize="0" autoPict="0">
                <anchor moveWithCells="1" sizeWithCells="1">
                  <from>
                    <xdr:col>11</xdr:col>
                    <xdr:colOff>411480</xdr:colOff>
                    <xdr:row>43</xdr:row>
                    <xdr:rowOff>22860</xdr:rowOff>
                  </from>
                  <to>
                    <xdr:col>11</xdr:col>
                    <xdr:colOff>784860</xdr:colOff>
                    <xdr:row>43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22" r:id="rId698" name="Spinner 966">
              <controlPr defaultSize="0" autoPict="0">
                <anchor moveWithCells="1" sizeWithCells="1">
                  <from>
                    <xdr:col>11</xdr:col>
                    <xdr:colOff>411480</xdr:colOff>
                    <xdr:row>43</xdr:row>
                    <xdr:rowOff>22860</xdr:rowOff>
                  </from>
                  <to>
                    <xdr:col>11</xdr:col>
                    <xdr:colOff>784860</xdr:colOff>
                    <xdr:row>43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23" r:id="rId699" name="Spinner 967">
              <controlPr defaultSize="0" autoPict="0">
                <anchor moveWithCells="1" sizeWithCells="1">
                  <from>
                    <xdr:col>11</xdr:col>
                    <xdr:colOff>411480</xdr:colOff>
                    <xdr:row>43</xdr:row>
                    <xdr:rowOff>22860</xdr:rowOff>
                  </from>
                  <to>
                    <xdr:col>11</xdr:col>
                    <xdr:colOff>784860</xdr:colOff>
                    <xdr:row>43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24" r:id="rId700" name="Spinner 968">
              <controlPr defaultSize="0" autoPict="0">
                <anchor moveWithCells="1" sizeWithCells="1">
                  <from>
                    <xdr:col>11</xdr:col>
                    <xdr:colOff>411480</xdr:colOff>
                    <xdr:row>43</xdr:row>
                    <xdr:rowOff>22860</xdr:rowOff>
                  </from>
                  <to>
                    <xdr:col>11</xdr:col>
                    <xdr:colOff>784860</xdr:colOff>
                    <xdr:row>43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25" r:id="rId701" name="Spinner 969">
              <controlPr defaultSize="0" autoPict="0">
                <anchor moveWithCells="1" sizeWithCells="1">
                  <from>
                    <xdr:col>11</xdr:col>
                    <xdr:colOff>411480</xdr:colOff>
                    <xdr:row>43</xdr:row>
                    <xdr:rowOff>22860</xdr:rowOff>
                  </from>
                  <to>
                    <xdr:col>11</xdr:col>
                    <xdr:colOff>784860</xdr:colOff>
                    <xdr:row>43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26" r:id="rId702" name="Spinner 970">
              <controlPr defaultSize="0" autoPict="0">
                <anchor moveWithCells="1" sizeWithCells="1">
                  <from>
                    <xdr:col>11</xdr:col>
                    <xdr:colOff>411480</xdr:colOff>
                    <xdr:row>43</xdr:row>
                    <xdr:rowOff>22860</xdr:rowOff>
                  </from>
                  <to>
                    <xdr:col>11</xdr:col>
                    <xdr:colOff>784860</xdr:colOff>
                    <xdr:row>43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27" r:id="rId703" name="Spinner 971">
              <controlPr defaultSize="0" autoPict="0">
                <anchor moveWithCells="1" sizeWithCells="1">
                  <from>
                    <xdr:col>11</xdr:col>
                    <xdr:colOff>411480</xdr:colOff>
                    <xdr:row>43</xdr:row>
                    <xdr:rowOff>22860</xdr:rowOff>
                  </from>
                  <to>
                    <xdr:col>11</xdr:col>
                    <xdr:colOff>784860</xdr:colOff>
                    <xdr:row>43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28" r:id="rId704" name="Spinner 972">
              <controlPr defaultSize="0" autoPict="0">
                <anchor moveWithCells="1" sizeWithCells="1">
                  <from>
                    <xdr:col>11</xdr:col>
                    <xdr:colOff>411480</xdr:colOff>
                    <xdr:row>43</xdr:row>
                    <xdr:rowOff>22860</xdr:rowOff>
                  </from>
                  <to>
                    <xdr:col>11</xdr:col>
                    <xdr:colOff>784860</xdr:colOff>
                    <xdr:row>43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29" r:id="rId705" name="Spinner 973">
              <controlPr defaultSize="0" autoPict="0">
                <anchor moveWithCells="1" sizeWithCells="1">
                  <from>
                    <xdr:col>11</xdr:col>
                    <xdr:colOff>411480</xdr:colOff>
                    <xdr:row>43</xdr:row>
                    <xdr:rowOff>22860</xdr:rowOff>
                  </from>
                  <to>
                    <xdr:col>11</xdr:col>
                    <xdr:colOff>784860</xdr:colOff>
                    <xdr:row>43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30" r:id="rId706" name="Spinner 974">
              <controlPr defaultSize="0" autoPict="0">
                <anchor moveWithCells="1" sizeWithCells="1">
                  <from>
                    <xdr:col>11</xdr:col>
                    <xdr:colOff>411480</xdr:colOff>
                    <xdr:row>43</xdr:row>
                    <xdr:rowOff>22860</xdr:rowOff>
                  </from>
                  <to>
                    <xdr:col>11</xdr:col>
                    <xdr:colOff>784860</xdr:colOff>
                    <xdr:row>43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31" r:id="rId707" name="Spinner 975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32" r:id="rId708" name="Spinner 976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33" r:id="rId709" name="Spinner 977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34" r:id="rId710" name="Spinner 978">
              <controlPr defaultSize="0" autoPict="0">
                <anchor moveWithCells="1" sizeWithCells="1">
                  <from>
                    <xdr:col>10</xdr:col>
                    <xdr:colOff>922020</xdr:colOff>
                    <xdr:row>44</xdr:row>
                    <xdr:rowOff>7620</xdr:rowOff>
                  </from>
                  <to>
                    <xdr:col>10</xdr:col>
                    <xdr:colOff>1295400</xdr:colOff>
                    <xdr:row>44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35" r:id="rId711" name="Spinner 979">
              <controlPr defaultSize="0" autoPict="0">
                <anchor moveWithCells="1" sizeWithCells="1">
                  <from>
                    <xdr:col>10</xdr:col>
                    <xdr:colOff>922020</xdr:colOff>
                    <xdr:row>44</xdr:row>
                    <xdr:rowOff>7620</xdr:rowOff>
                  </from>
                  <to>
                    <xdr:col>10</xdr:col>
                    <xdr:colOff>1295400</xdr:colOff>
                    <xdr:row>44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36" r:id="rId712" name="Spinner 980">
              <controlPr defaultSize="0" autoPict="0">
                <anchor moveWithCells="1" sizeWithCells="1">
                  <from>
                    <xdr:col>10</xdr:col>
                    <xdr:colOff>922020</xdr:colOff>
                    <xdr:row>44</xdr:row>
                    <xdr:rowOff>7620</xdr:rowOff>
                  </from>
                  <to>
                    <xdr:col>10</xdr:col>
                    <xdr:colOff>1295400</xdr:colOff>
                    <xdr:row>44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37" r:id="rId713" name="Spinner 981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38" r:id="rId714" name="Spinner 982">
              <controlPr defaultSize="0" autoPict="0">
                <anchor moveWithCells="1" sizeWithCells="1">
                  <from>
                    <xdr:col>10</xdr:col>
                    <xdr:colOff>922020</xdr:colOff>
                    <xdr:row>44</xdr:row>
                    <xdr:rowOff>7620</xdr:rowOff>
                  </from>
                  <to>
                    <xdr:col>10</xdr:col>
                    <xdr:colOff>1295400</xdr:colOff>
                    <xdr:row>44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39" r:id="rId715" name="Spinner 983">
              <controlPr defaultSize="0" autoPict="0">
                <anchor moveWithCells="1" sizeWithCells="1">
                  <from>
                    <xdr:col>10</xdr:col>
                    <xdr:colOff>922020</xdr:colOff>
                    <xdr:row>44</xdr:row>
                    <xdr:rowOff>7620</xdr:rowOff>
                  </from>
                  <to>
                    <xdr:col>10</xdr:col>
                    <xdr:colOff>1295400</xdr:colOff>
                    <xdr:row>44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40" r:id="rId716" name="Spinner 984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41" r:id="rId717" name="Spinner 985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42" r:id="rId718" name="Spinner 986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43" r:id="rId719" name="Spinner 987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44" r:id="rId720" name="Spinner 988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45" r:id="rId721" name="Spinner 989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46" r:id="rId722" name="Spinner 990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47" r:id="rId723" name="Spinner 991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48" r:id="rId724" name="Spinner 992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49" r:id="rId725" name="Spinner 993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50" r:id="rId726" name="Spinner 994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51" r:id="rId727" name="Spinner 995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52" r:id="rId728" name="Spinner 996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53" r:id="rId729" name="Spinner 997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54" r:id="rId730" name="Spinner 998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55" r:id="rId731" name="Spinner 999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56" r:id="rId732" name="Spinner 1000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57" r:id="rId733" name="Spinner 1001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58" r:id="rId734" name="Spinner 1002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59" r:id="rId735" name="Spinner 1003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60" r:id="rId736" name="Spinner 1004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61" r:id="rId737" name="Spinner 1005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62" r:id="rId738" name="Spinner 1006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63" r:id="rId739" name="Spinner 1007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64" r:id="rId740" name="Spinner 1008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65" r:id="rId741" name="Spinner 1009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66" r:id="rId742" name="Spinner 1010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67" r:id="rId743" name="Spinner 1011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68" r:id="rId744" name="Spinner 1012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69" r:id="rId745" name="Spinner 1013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70" r:id="rId746" name="Spinner 1014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71" r:id="rId747" name="Spinner 1015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36" r:id="rId748" name="Spinner 1088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37" r:id="rId749" name="Spinner 1089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38" r:id="rId750" name="Spinner 1090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39" r:id="rId751" name="Spinner 1091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40" r:id="rId752" name="Spinner 1092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41" r:id="rId753" name="Spinner 1093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42" r:id="rId754" name="Spinner 1094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43" r:id="rId755" name="Spinner 1095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44" r:id="rId756" name="Spinner 1096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45" r:id="rId757" name="Spinner 1097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46" r:id="rId758" name="Spinner 1098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47" r:id="rId759" name="Spinner 1099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48" r:id="rId760" name="Spinner 1100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49" r:id="rId761" name="Spinner 1101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50" r:id="rId762" name="Spinner 1102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51" r:id="rId763" name="Spinner 1103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52" r:id="rId764" name="Spinner 1104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53" r:id="rId765" name="Spinner 1105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54" r:id="rId766" name="Spinner 1106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55" r:id="rId767" name="Spinner 1107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56" r:id="rId768" name="Spinner 1108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57" r:id="rId769" name="Spinner 1109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58" r:id="rId770" name="Spinner 1110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59" r:id="rId771" name="Spinner 1111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60" r:id="rId772" name="Spinner 1112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61" r:id="rId773" name="Spinner 1113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62" r:id="rId774" name="Spinner 1114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63" r:id="rId775" name="Spinner 1115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64" r:id="rId776" name="Spinner 1116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65" r:id="rId777" name="Spinner 1117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66" r:id="rId778" name="Spinner 1118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67" r:id="rId779" name="Spinner 1119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68" r:id="rId780" name="Spinner 1120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69" r:id="rId781" name="Spinner 1121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70" r:id="rId782" name="Spinner 1122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71" r:id="rId783" name="Spinner 1123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72" r:id="rId784" name="Spinner 1124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73" r:id="rId785" name="Spinner 1125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74" r:id="rId786" name="Spinner 1126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75" r:id="rId787" name="Spinner 1127">
              <controlPr defaultSize="0" autoPict="0">
                <anchor moveWithCells="1" sizeWithCells="1">
                  <from>
                    <xdr:col>10</xdr:col>
                    <xdr:colOff>922020</xdr:colOff>
                    <xdr:row>45</xdr:row>
                    <xdr:rowOff>7620</xdr:rowOff>
                  </from>
                  <to>
                    <xdr:col>10</xdr:col>
                    <xdr:colOff>1295400</xdr:colOff>
                    <xdr:row>45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76" r:id="rId788" name="Spinner 1128">
              <controlPr defaultSize="0" autoPict="0">
                <anchor moveWithCells="1" sizeWithCells="1">
                  <from>
                    <xdr:col>10</xdr:col>
                    <xdr:colOff>922020</xdr:colOff>
                    <xdr:row>45</xdr:row>
                    <xdr:rowOff>7620</xdr:rowOff>
                  </from>
                  <to>
                    <xdr:col>10</xdr:col>
                    <xdr:colOff>1295400</xdr:colOff>
                    <xdr:row>45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77" r:id="rId789" name="Spinner 1129">
              <controlPr defaultSize="0" autoPict="0">
                <anchor moveWithCells="1" sizeWithCells="1">
                  <from>
                    <xdr:col>10</xdr:col>
                    <xdr:colOff>922020</xdr:colOff>
                    <xdr:row>45</xdr:row>
                    <xdr:rowOff>7620</xdr:rowOff>
                  </from>
                  <to>
                    <xdr:col>10</xdr:col>
                    <xdr:colOff>1295400</xdr:colOff>
                    <xdr:row>45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78" r:id="rId790" name="Spinner 1130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79" r:id="rId791" name="Spinner 1131">
              <controlPr defaultSize="0" autoPict="0">
                <anchor moveWithCells="1" sizeWithCells="1">
                  <from>
                    <xdr:col>10</xdr:col>
                    <xdr:colOff>922020</xdr:colOff>
                    <xdr:row>45</xdr:row>
                    <xdr:rowOff>7620</xdr:rowOff>
                  </from>
                  <to>
                    <xdr:col>10</xdr:col>
                    <xdr:colOff>1295400</xdr:colOff>
                    <xdr:row>45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80" r:id="rId792" name="Spinner 1132">
              <controlPr defaultSize="0" autoPict="0">
                <anchor moveWithCells="1" sizeWithCells="1">
                  <from>
                    <xdr:col>10</xdr:col>
                    <xdr:colOff>922020</xdr:colOff>
                    <xdr:row>45</xdr:row>
                    <xdr:rowOff>7620</xdr:rowOff>
                  </from>
                  <to>
                    <xdr:col>10</xdr:col>
                    <xdr:colOff>1295400</xdr:colOff>
                    <xdr:row>45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81" r:id="rId793" name="Spinner 1133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82" r:id="rId794" name="Spinner 1134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83" r:id="rId795" name="Spinner 1135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84" r:id="rId796" name="Spinner 1136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85" r:id="rId797" name="Spinner 1137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86" r:id="rId798" name="Spinner 1138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87" r:id="rId799" name="Spinner 1139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88" r:id="rId800" name="Spinner 1140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89" r:id="rId801" name="Spinner 1141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90" r:id="rId802" name="Spinner 1142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91" r:id="rId803" name="Spinner 1143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92" r:id="rId804" name="Spinner 1144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93" r:id="rId805" name="Spinner 1145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94" r:id="rId806" name="Spinner 1146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95" r:id="rId807" name="Spinner 1147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96" r:id="rId808" name="Spinner 1148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97" r:id="rId809" name="Spinner 1149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98" r:id="rId810" name="Spinner 1150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99" r:id="rId811" name="Spinner 1151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00" r:id="rId812" name="Spinner 1152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01" r:id="rId813" name="Spinner 1153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02" r:id="rId814" name="Spinner 1154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03" r:id="rId815" name="Spinner 1155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04" r:id="rId816" name="Spinner 1156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05" r:id="rId817" name="Spinner 1157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06" r:id="rId818" name="Spinner 1158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07" r:id="rId819" name="Spinner 1159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08" r:id="rId820" name="Spinner 1160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09" r:id="rId821" name="Spinner 1161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10" r:id="rId822" name="Spinner 1162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11" r:id="rId823" name="Spinner 1163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12" r:id="rId824" name="Spinner 1164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13" r:id="rId825" name="Spinner 1165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14" r:id="rId826" name="Spinner 1166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15" r:id="rId827" name="Spinner 1167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16" r:id="rId828" name="Spinner 1168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17" r:id="rId829" name="Spinner 1169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18" r:id="rId830" name="Spinner 1170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19" r:id="rId831" name="Spinner 1171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20" r:id="rId832" name="Spinner 1172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21" r:id="rId833" name="Spinner 1173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22" r:id="rId834" name="Spinner 1174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23" r:id="rId835" name="Spinner 1175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24" r:id="rId836" name="Spinner 1176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25" r:id="rId837" name="Spinner 1177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26" r:id="rId838" name="Spinner 1178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27" r:id="rId839" name="Spinner 1179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28" r:id="rId840" name="Spinner 1180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29" r:id="rId841" name="Spinner 1181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30" r:id="rId842" name="Spinner 1182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31" r:id="rId843" name="Spinner 1183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32" r:id="rId844" name="Spinner 1184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33" r:id="rId845" name="Spinner 1185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34" r:id="rId846" name="Spinner 1186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35" r:id="rId847" name="Spinner 1187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36" r:id="rId848" name="Spinner 1188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37" r:id="rId849" name="Spinner 1189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38" r:id="rId850" name="Spinner 1190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39" r:id="rId851" name="Spinner 1191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40" r:id="rId852" name="Spinner 1192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41" r:id="rId853" name="Spinner 1193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42" r:id="rId854" name="Spinner 1194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43" r:id="rId855" name="Spinner 1195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44" r:id="rId856" name="Spinner 1196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45" r:id="rId857" name="Spinner 1197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46" r:id="rId858" name="Spinner 1198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47" r:id="rId859" name="Spinner 1199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48" r:id="rId860" name="Spinner 1200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49" r:id="rId861" name="Spinner 1201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50" r:id="rId862" name="Spinner 1202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51" r:id="rId863" name="Spinner 1203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52" r:id="rId864" name="Spinner 1204">
              <controlPr defaultSize="0" autoPict="0">
                <anchor moveWithCells="1" sizeWithCells="1">
                  <from>
                    <xdr:col>10</xdr:col>
                    <xdr:colOff>922020</xdr:colOff>
                    <xdr:row>46</xdr:row>
                    <xdr:rowOff>7620</xdr:rowOff>
                  </from>
                  <to>
                    <xdr:col>10</xdr:col>
                    <xdr:colOff>1295400</xdr:colOff>
                    <xdr:row>46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53" r:id="rId865" name="Spinner 1205">
              <controlPr defaultSize="0" autoPict="0">
                <anchor moveWithCells="1" sizeWithCells="1">
                  <from>
                    <xdr:col>10</xdr:col>
                    <xdr:colOff>922020</xdr:colOff>
                    <xdr:row>46</xdr:row>
                    <xdr:rowOff>7620</xdr:rowOff>
                  </from>
                  <to>
                    <xdr:col>10</xdr:col>
                    <xdr:colOff>1295400</xdr:colOff>
                    <xdr:row>46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54" r:id="rId866" name="Spinner 1206">
              <controlPr defaultSize="0" autoPict="0">
                <anchor moveWithCells="1" sizeWithCells="1">
                  <from>
                    <xdr:col>10</xdr:col>
                    <xdr:colOff>922020</xdr:colOff>
                    <xdr:row>46</xdr:row>
                    <xdr:rowOff>7620</xdr:rowOff>
                  </from>
                  <to>
                    <xdr:col>10</xdr:col>
                    <xdr:colOff>1295400</xdr:colOff>
                    <xdr:row>46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55" r:id="rId867" name="Spinner 1207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56" r:id="rId868" name="Spinner 1208">
              <controlPr defaultSize="0" autoPict="0">
                <anchor moveWithCells="1" sizeWithCells="1">
                  <from>
                    <xdr:col>10</xdr:col>
                    <xdr:colOff>922020</xdr:colOff>
                    <xdr:row>46</xdr:row>
                    <xdr:rowOff>7620</xdr:rowOff>
                  </from>
                  <to>
                    <xdr:col>10</xdr:col>
                    <xdr:colOff>1295400</xdr:colOff>
                    <xdr:row>46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57" r:id="rId869" name="Spinner 1209">
              <controlPr defaultSize="0" autoPict="0">
                <anchor moveWithCells="1" sizeWithCells="1">
                  <from>
                    <xdr:col>10</xdr:col>
                    <xdr:colOff>922020</xdr:colOff>
                    <xdr:row>46</xdr:row>
                    <xdr:rowOff>7620</xdr:rowOff>
                  </from>
                  <to>
                    <xdr:col>10</xdr:col>
                    <xdr:colOff>1295400</xdr:colOff>
                    <xdr:row>46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58" r:id="rId870" name="Spinner 1210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59" r:id="rId871" name="Spinner 1211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60" r:id="rId872" name="Spinner 1212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61" r:id="rId873" name="Spinner 1213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62" r:id="rId874" name="Spinner 1214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63" r:id="rId875" name="Spinner 1215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64" r:id="rId876" name="Spinner 1216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65" r:id="rId877" name="Spinner 1217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66" r:id="rId878" name="Spinner 1218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67" r:id="rId879" name="Spinner 1219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68" r:id="rId880" name="Spinner 1220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69" r:id="rId881" name="Spinner 1221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70" r:id="rId882" name="Spinner 1222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71" r:id="rId883" name="Spinner 1223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72" r:id="rId884" name="Spinner 1224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73" r:id="rId885" name="Spinner 1225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74" r:id="rId886" name="Spinner 1226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75" r:id="rId887" name="Spinner 1227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76" r:id="rId888" name="Spinner 1228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77" r:id="rId889" name="Spinner 1229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78" r:id="rId890" name="Spinner 1230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79" r:id="rId891" name="Spinner 1231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80" r:id="rId892" name="Spinner 1232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81" r:id="rId893" name="Spinner 1233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82" r:id="rId894" name="Spinner 1234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83" r:id="rId895" name="Spinner 1235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84" r:id="rId896" name="Spinner 1236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85" r:id="rId897" name="Spinner 1237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86" r:id="rId898" name="Spinner 1238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87" r:id="rId899" name="Spinner 1239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88" r:id="rId900" name="Spinner 1240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89" r:id="rId901" name="Spinner 1241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90" r:id="rId902" name="Spinner 1242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91" r:id="rId903" name="Spinner 1243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92" r:id="rId904" name="Spinner 1244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93" r:id="rId905" name="Spinner 1245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94" r:id="rId906" name="Spinner 1246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95" r:id="rId907" name="Spinner 1247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96" r:id="rId908" name="Spinner 1248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97" r:id="rId909" name="Spinner 1249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98" r:id="rId910" name="Spinner 1250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99" r:id="rId911" name="Spinner 1251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00" r:id="rId912" name="Spinner 1252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01" r:id="rId913" name="Spinner 1253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02" r:id="rId914" name="Spinner 1254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03" r:id="rId915" name="Spinner 1255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04" r:id="rId916" name="Spinner 1256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05" r:id="rId917" name="Spinner 1257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06" r:id="rId918" name="Spinner 1258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07" r:id="rId919" name="Spinner 1259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08" r:id="rId920" name="Spinner 1260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09" r:id="rId921" name="Spinner 1261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10" r:id="rId922" name="Spinner 1262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11" r:id="rId923" name="Spinner 1263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12" r:id="rId924" name="Spinner 1264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13" r:id="rId925" name="Spinner 1265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14" r:id="rId926" name="Spinner 1266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15" r:id="rId927" name="Spinner 1267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16" r:id="rId928" name="Spinner 1268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17" r:id="rId929" name="Spinner 1269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18" r:id="rId930" name="Spinner 1270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19" r:id="rId931" name="Spinner 1271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20" r:id="rId932" name="Spinner 1272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21" r:id="rId933" name="Spinner 1273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22" r:id="rId934" name="Spinner 1274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23" r:id="rId935" name="Spinner 1275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24" r:id="rId936" name="Spinner 1276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25" r:id="rId937" name="Spinner 1277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26" r:id="rId938" name="Spinner 1278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27" r:id="rId939" name="Spinner 1279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28" r:id="rId940" name="Spinner 1280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29" r:id="rId941" name="Spinner 1281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30" r:id="rId942" name="Spinner 1282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31" r:id="rId943" name="Spinner 1283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32" r:id="rId944" name="Spinner 1284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33" r:id="rId945" name="Spinner 1285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34" r:id="rId946" name="Spinner 1286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35" r:id="rId947" name="Spinner 1287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36" r:id="rId948" name="Spinner 1288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37" r:id="rId949" name="Spinner 1289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38" r:id="rId950" name="Spinner 1290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39" r:id="rId951" name="Spinner 1291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40" r:id="rId952" name="Spinner 1292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41" r:id="rId953" name="Spinner 1293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42" r:id="rId954" name="Spinner 1294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43" r:id="rId955" name="Spinner 1295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44" r:id="rId956" name="Spinner 1296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45" r:id="rId957" name="Spinner 1297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46" r:id="rId958" name="Spinner 1298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47" r:id="rId959" name="Spinner 1299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48" r:id="rId960" name="Spinner 1300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49" r:id="rId961" name="Spinner 1301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50" r:id="rId962" name="Spinner 1302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51" r:id="rId963" name="Spinner 1303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52" r:id="rId964" name="Spinner 1304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53" r:id="rId965" name="Spinner 1305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54" r:id="rId966" name="Spinner 1306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55" r:id="rId967" name="Spinner 1307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56" r:id="rId968" name="Spinner 1308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57" r:id="rId969" name="Spinner 1309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58" r:id="rId970" name="Spinner 1310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59" r:id="rId971" name="Spinner 1311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60" r:id="rId972" name="Spinner 1312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61" r:id="rId973" name="Spinner 1313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62" r:id="rId974" name="Spinner 1314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63" r:id="rId975" name="Spinner 1315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64" r:id="rId976" name="Spinner 1316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65" r:id="rId977" name="Spinner 1317">
              <controlPr defaultSize="0" autoPict="0">
                <anchor moveWithCells="1" sizeWithCells="1">
                  <from>
                    <xdr:col>10</xdr:col>
                    <xdr:colOff>922020</xdr:colOff>
                    <xdr:row>47</xdr:row>
                    <xdr:rowOff>7620</xdr:rowOff>
                  </from>
                  <to>
                    <xdr:col>10</xdr:col>
                    <xdr:colOff>1295400</xdr:colOff>
                    <xdr:row>47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66" r:id="rId978" name="Spinner 1318">
              <controlPr defaultSize="0" autoPict="0">
                <anchor moveWithCells="1" sizeWithCells="1">
                  <from>
                    <xdr:col>10</xdr:col>
                    <xdr:colOff>922020</xdr:colOff>
                    <xdr:row>47</xdr:row>
                    <xdr:rowOff>7620</xdr:rowOff>
                  </from>
                  <to>
                    <xdr:col>10</xdr:col>
                    <xdr:colOff>1295400</xdr:colOff>
                    <xdr:row>47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67" r:id="rId979" name="Spinner 1319">
              <controlPr defaultSize="0" autoPict="0">
                <anchor moveWithCells="1" sizeWithCells="1">
                  <from>
                    <xdr:col>10</xdr:col>
                    <xdr:colOff>922020</xdr:colOff>
                    <xdr:row>47</xdr:row>
                    <xdr:rowOff>7620</xdr:rowOff>
                  </from>
                  <to>
                    <xdr:col>10</xdr:col>
                    <xdr:colOff>1295400</xdr:colOff>
                    <xdr:row>47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68" r:id="rId980" name="Spinner 1320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69" r:id="rId981" name="Spinner 1321">
              <controlPr defaultSize="0" autoPict="0">
                <anchor moveWithCells="1" sizeWithCells="1">
                  <from>
                    <xdr:col>10</xdr:col>
                    <xdr:colOff>922020</xdr:colOff>
                    <xdr:row>47</xdr:row>
                    <xdr:rowOff>7620</xdr:rowOff>
                  </from>
                  <to>
                    <xdr:col>10</xdr:col>
                    <xdr:colOff>1295400</xdr:colOff>
                    <xdr:row>47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70" r:id="rId982" name="Spinner 1322">
              <controlPr defaultSize="0" autoPict="0">
                <anchor moveWithCells="1" sizeWithCells="1">
                  <from>
                    <xdr:col>10</xdr:col>
                    <xdr:colOff>922020</xdr:colOff>
                    <xdr:row>47</xdr:row>
                    <xdr:rowOff>7620</xdr:rowOff>
                  </from>
                  <to>
                    <xdr:col>10</xdr:col>
                    <xdr:colOff>1295400</xdr:colOff>
                    <xdr:row>47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71" r:id="rId983" name="Spinner 1323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72" r:id="rId984" name="Spinner 1324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73" r:id="rId985" name="Spinner 1325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74" r:id="rId986" name="Spinner 1326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75" r:id="rId987" name="Spinner 1327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76" r:id="rId988" name="Spinner 1328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77" r:id="rId989" name="Spinner 1329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78" r:id="rId990" name="Spinner 1330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79" r:id="rId991" name="Spinner 1331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80" r:id="rId992" name="Spinner 1332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81" r:id="rId993" name="Spinner 1333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82" r:id="rId994" name="Spinner 1334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83" r:id="rId995" name="Spinner 1335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84" r:id="rId996" name="Spinner 1336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85" r:id="rId997" name="Spinner 1337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86" r:id="rId998" name="Spinner 1338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87" r:id="rId999" name="Spinner 1339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88" r:id="rId1000" name="Spinner 1340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89" r:id="rId1001" name="Spinner 1341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90" r:id="rId1002" name="Spinner 1342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91" r:id="rId1003" name="Spinner 1343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92" r:id="rId1004" name="Spinner 1344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93" r:id="rId1005" name="Spinner 1345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94" r:id="rId1006" name="Spinner 1346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95" r:id="rId1007" name="Spinner 1347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96" r:id="rId1008" name="Spinner 1348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97" r:id="rId1009" name="Spinner 1349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98" r:id="rId1010" name="Spinner 1350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99" r:id="rId1011" name="Spinner 1351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400" r:id="rId1012" name="Spinner 1352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401" r:id="rId1013" name="Spinner 1353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402" r:id="rId1014" name="Spinner 1354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403" r:id="rId1015" name="Spinner 1355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404" r:id="rId1016" name="Spinner 1356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405" r:id="rId1017" name="Spinner 1357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406" r:id="rId1018" name="Spinner 1358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407" r:id="rId1019" name="Spinner 1359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408" r:id="rId1020" name="Spinner 1360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409" r:id="rId1021" name="Spinner 1361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410" r:id="rId1022" name="Spinner 1362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411" r:id="rId1023" name="Spinner 1363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412" r:id="rId1024" name="Spinner 1364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413" r:id="rId1025" name="Spinner 1365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414" r:id="rId1026" name="Spinner 1366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415" r:id="rId1027" name="Spinner 1367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416" r:id="rId1028" name="Spinner 1368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417" r:id="rId1029" name="Spinner 1369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418" r:id="rId1030" name="Spinner 1370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419" r:id="rId1031" name="Spinner 1371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420" r:id="rId1032" name="Spinner 1372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421" r:id="rId1033" name="Spinner 1373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422" r:id="rId1034" name="Spinner 1374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423" r:id="rId1035" name="Spinner 1375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424" r:id="rId1036" name="Spinner 1376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425" r:id="rId1037" name="Spinner 1377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426" r:id="rId1038" name="Spinner 1378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427" r:id="rId1039" name="Spinner 1379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428" r:id="rId1040" name="Spinner 1380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429" r:id="rId1041" name="Spinner 1381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430" r:id="rId1042" name="Spinner 1382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431" r:id="rId1043" name="Spinner 1383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432" r:id="rId1044" name="Spinner 1384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433" r:id="rId1045" name="Spinner 1385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434" r:id="rId1046" name="Spinner 1386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435" r:id="rId1047" name="Spinner 1387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436" r:id="rId1048" name="Spinner 1388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437" r:id="rId1049" name="Spinner 1389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438" r:id="rId1050" name="Spinner 1390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CB61DC0-4F9B-4892-8BEC-080036055C4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F17:F51</xm:sqref>
        </x14:conditionalFormatting>
        <x14:conditionalFormatting xmlns:xm="http://schemas.microsoft.com/office/excel/2006/main">
          <x14:cfRule type="dataBar" id="{C5313871-4B82-49D2-83AD-8C11593ED54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T17:T51</xm:sqref>
        </x14:conditionalFormatting>
        <x14:conditionalFormatting xmlns:xm="http://schemas.microsoft.com/office/excel/2006/main">
          <x14:cfRule type="dataBar" id="{F761780E-9ADD-4F8C-8025-DB2F32663DD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P17:P51</xm:sqref>
        </x14:conditionalFormatting>
        <x14:conditionalFormatting xmlns:xm="http://schemas.microsoft.com/office/excel/2006/main">
          <x14:cfRule type="dataBar" id="{E477120A-C8DB-4AFB-B14C-651105A3134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N17:N51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C5DAE44-7E31-4F8C-AC5F-30CC0FFD8666}">
          <x14:formula1>
            <xm:f>'AUX4 - Dados Ambientais (2)'!$N$21:$N$66</xm:f>
          </x14:formula1>
          <xm:sqref>D11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EF1284-108B-4F76-AE4F-09D5B52705D5}">
  <dimension ref="A1:I44"/>
  <sheetViews>
    <sheetView topLeftCell="A3" zoomScaleNormal="100" workbookViewId="0">
      <selection activeCell="M8" sqref="M8"/>
    </sheetView>
  </sheetViews>
  <sheetFormatPr defaultRowHeight="14.4" x14ac:dyDescent="0.3"/>
  <cols>
    <col min="4" max="4" width="10" customWidth="1"/>
    <col min="6" max="6" width="14.88671875" customWidth="1"/>
  </cols>
  <sheetData>
    <row r="1" spans="1:9" ht="21" customHeight="1" x14ac:dyDescent="0.3">
      <c r="A1" s="778" t="s">
        <v>1334</v>
      </c>
      <c r="B1" s="779"/>
      <c r="C1" s="779"/>
      <c r="D1" s="779"/>
      <c r="E1" s="779"/>
      <c r="F1" s="779"/>
      <c r="G1" s="779"/>
      <c r="H1" s="779"/>
      <c r="I1" s="780"/>
    </row>
    <row r="2" spans="1:9" ht="15.75" customHeight="1" x14ac:dyDescent="0.3">
      <c r="A2" s="708" t="e" vm="1">
        <v>#VALUE!</v>
      </c>
      <c r="B2" s="782"/>
      <c r="C2" s="773" t="s">
        <v>1333</v>
      </c>
      <c r="D2" s="774"/>
      <c r="E2" s="764"/>
      <c r="F2" s="764"/>
      <c r="G2" s="764"/>
      <c r="H2" s="764"/>
      <c r="I2" s="765"/>
    </row>
    <row r="3" spans="1:9" ht="15" customHeight="1" x14ac:dyDescent="0.3">
      <c r="A3" s="708"/>
      <c r="B3" s="782"/>
      <c r="C3" s="773" t="s">
        <v>1332</v>
      </c>
      <c r="D3" s="774"/>
      <c r="E3" s="764"/>
      <c r="F3" s="764"/>
      <c r="G3" s="764"/>
      <c r="H3" s="764"/>
      <c r="I3" s="765"/>
    </row>
    <row r="4" spans="1:9" ht="15.75" customHeight="1" x14ac:dyDescent="0.3">
      <c r="A4" s="708"/>
      <c r="B4" s="782"/>
      <c r="C4" s="773" t="s">
        <v>1331</v>
      </c>
      <c r="D4" s="774"/>
      <c r="E4" s="764"/>
      <c r="F4" s="764"/>
      <c r="G4" s="764"/>
      <c r="H4" s="764"/>
      <c r="I4" s="765"/>
    </row>
    <row r="5" spans="1:9" ht="15.75" customHeight="1" x14ac:dyDescent="0.3">
      <c r="A5" s="708"/>
      <c r="B5" s="782"/>
      <c r="C5" s="773" t="s">
        <v>1330</v>
      </c>
      <c r="D5" s="774"/>
      <c r="E5" s="764"/>
      <c r="F5" s="764"/>
      <c r="G5" s="764"/>
      <c r="H5" s="764"/>
      <c r="I5" s="765"/>
    </row>
    <row r="6" spans="1:9" ht="15.75" customHeight="1" x14ac:dyDescent="0.3">
      <c r="A6" s="783"/>
      <c r="B6" s="784"/>
      <c r="C6" s="773" t="s">
        <v>1329</v>
      </c>
      <c r="D6" s="774"/>
      <c r="E6" s="764"/>
      <c r="F6" s="764"/>
      <c r="G6" s="764"/>
      <c r="H6" s="764"/>
      <c r="I6" s="765"/>
    </row>
    <row r="7" spans="1:9" x14ac:dyDescent="0.3">
      <c r="A7" s="632" t="s">
        <v>1328</v>
      </c>
      <c r="B7" s="768" t="s">
        <v>2</v>
      </c>
      <c r="C7" s="768"/>
      <c r="D7" s="768"/>
      <c r="E7" s="631" t="s">
        <v>1327</v>
      </c>
      <c r="F7" s="637" t="s">
        <v>1326</v>
      </c>
      <c r="G7" s="768" t="s">
        <v>779</v>
      </c>
      <c r="H7" s="768"/>
      <c r="I7" s="785"/>
    </row>
    <row r="8" spans="1:9" x14ac:dyDescent="0.3">
      <c r="A8" s="629" t="s">
        <v>1325</v>
      </c>
      <c r="B8" s="781" t="s">
        <v>1324</v>
      </c>
      <c r="C8" s="781"/>
      <c r="D8" s="781"/>
      <c r="E8" s="628"/>
      <c r="F8" s="627"/>
      <c r="G8" s="766"/>
      <c r="H8" s="766"/>
      <c r="I8" s="767"/>
    </row>
    <row r="9" spans="1:9" x14ac:dyDescent="0.3">
      <c r="A9" s="626" t="s">
        <v>89</v>
      </c>
      <c r="B9" s="769" t="s">
        <v>1323</v>
      </c>
      <c r="C9" s="770"/>
      <c r="D9" s="771"/>
      <c r="E9" s="630" t="s">
        <v>7</v>
      </c>
      <c r="F9" s="633" t="s">
        <v>1322</v>
      </c>
      <c r="G9" s="753"/>
      <c r="H9" s="754"/>
      <c r="I9" s="755"/>
    </row>
    <row r="10" spans="1:9" x14ac:dyDescent="0.3">
      <c r="A10" s="626" t="s">
        <v>93</v>
      </c>
      <c r="B10" s="769" t="s">
        <v>882</v>
      </c>
      <c r="C10" s="770"/>
      <c r="D10" s="771"/>
      <c r="E10" s="630" t="s">
        <v>7</v>
      </c>
      <c r="F10" s="633" t="s">
        <v>157</v>
      </c>
      <c r="G10" s="753"/>
      <c r="H10" s="754"/>
      <c r="I10" s="755"/>
    </row>
    <row r="11" spans="1:9" x14ac:dyDescent="0.3">
      <c r="A11" s="626" t="s">
        <v>94</v>
      </c>
      <c r="B11" s="772" t="s">
        <v>1321</v>
      </c>
      <c r="C11" s="756"/>
      <c r="D11" s="757"/>
      <c r="E11" s="625" t="s">
        <v>7</v>
      </c>
      <c r="F11" s="633" t="s">
        <v>1320</v>
      </c>
      <c r="G11" s="753"/>
      <c r="H11" s="754"/>
      <c r="I11" s="755"/>
    </row>
    <row r="12" spans="1:9" ht="15" customHeight="1" x14ac:dyDescent="0.3">
      <c r="A12" s="626" t="s">
        <v>95</v>
      </c>
      <c r="B12" s="772" t="s">
        <v>1319</v>
      </c>
      <c r="C12" s="756"/>
      <c r="D12" s="757"/>
      <c r="E12" s="625" t="s">
        <v>7</v>
      </c>
      <c r="F12" s="633" t="s">
        <v>917</v>
      </c>
      <c r="G12" s="753"/>
      <c r="H12" s="754"/>
      <c r="I12" s="755"/>
    </row>
    <row r="13" spans="1:9" ht="15" customHeight="1" x14ac:dyDescent="0.3">
      <c r="A13" s="626" t="s">
        <v>163</v>
      </c>
      <c r="B13" s="772" t="s">
        <v>577</v>
      </c>
      <c r="C13" s="756"/>
      <c r="D13" s="757"/>
      <c r="E13" s="625" t="s">
        <v>7</v>
      </c>
      <c r="F13" s="633" t="s">
        <v>1318</v>
      </c>
      <c r="G13" s="753"/>
      <c r="H13" s="754"/>
      <c r="I13" s="755"/>
    </row>
    <row r="14" spans="1:9" x14ac:dyDescent="0.3">
      <c r="A14" s="629" t="s">
        <v>1318</v>
      </c>
      <c r="B14" s="775" t="s">
        <v>1317</v>
      </c>
      <c r="C14" s="776"/>
      <c r="D14" s="777"/>
      <c r="E14" s="628"/>
      <c r="F14" s="627"/>
      <c r="G14" s="758"/>
      <c r="H14" s="759"/>
      <c r="I14" s="760"/>
    </row>
    <row r="15" spans="1:9" ht="15" customHeight="1" x14ac:dyDescent="0.3">
      <c r="A15" s="626" t="s">
        <v>97</v>
      </c>
      <c r="B15" s="772" t="s">
        <v>1316</v>
      </c>
      <c r="C15" s="756"/>
      <c r="D15" s="757"/>
      <c r="E15" s="625" t="s">
        <v>7</v>
      </c>
      <c r="F15" s="633" t="s">
        <v>1315</v>
      </c>
      <c r="G15" s="753"/>
      <c r="H15" s="754"/>
      <c r="I15" s="755"/>
    </row>
    <row r="16" spans="1:9" ht="15" customHeight="1" x14ac:dyDescent="0.3">
      <c r="A16" s="626" t="s">
        <v>98</v>
      </c>
      <c r="B16" s="772" t="s">
        <v>1314</v>
      </c>
      <c r="C16" s="756"/>
      <c r="D16" s="757"/>
      <c r="E16" s="625" t="s">
        <v>7</v>
      </c>
      <c r="F16" s="633" t="s">
        <v>5</v>
      </c>
      <c r="G16" s="753"/>
      <c r="H16" s="754"/>
      <c r="I16" s="755"/>
    </row>
    <row r="17" spans="1:9" ht="15" customHeight="1" x14ac:dyDescent="0.3">
      <c r="A17" s="626" t="s">
        <v>99</v>
      </c>
      <c r="B17" s="772" t="s">
        <v>1313</v>
      </c>
      <c r="C17" s="756"/>
      <c r="D17" s="757"/>
      <c r="E17" s="625" t="s">
        <v>7</v>
      </c>
      <c r="F17" s="633" t="s">
        <v>1312</v>
      </c>
      <c r="G17" s="753"/>
      <c r="H17" s="754"/>
      <c r="I17" s="755"/>
    </row>
    <row r="18" spans="1:9" ht="15" customHeight="1" x14ac:dyDescent="0.3">
      <c r="A18" s="626" t="s">
        <v>100</v>
      </c>
      <c r="B18" s="772" t="s">
        <v>1311</v>
      </c>
      <c r="C18" s="756"/>
      <c r="D18" s="757"/>
      <c r="E18" s="625"/>
      <c r="F18" s="633" t="s">
        <v>877</v>
      </c>
      <c r="G18" s="753"/>
      <c r="H18" s="754"/>
      <c r="I18" s="755"/>
    </row>
    <row r="19" spans="1:9" ht="15" customHeight="1" x14ac:dyDescent="0.3">
      <c r="A19" s="629" t="s">
        <v>1310</v>
      </c>
      <c r="B19" s="775" t="s">
        <v>1309</v>
      </c>
      <c r="C19" s="776"/>
      <c r="D19" s="777"/>
      <c r="E19" s="628"/>
      <c r="F19" s="627"/>
      <c r="G19" s="758"/>
      <c r="H19" s="759"/>
      <c r="I19" s="760"/>
    </row>
    <row r="20" spans="1:9" ht="15" customHeight="1" x14ac:dyDescent="0.3">
      <c r="A20" s="626" t="s">
        <v>102</v>
      </c>
      <c r="B20" s="772" t="s">
        <v>1308</v>
      </c>
      <c r="C20" s="756"/>
      <c r="D20" s="757"/>
      <c r="E20" s="625" t="s">
        <v>7</v>
      </c>
      <c r="F20" s="633" t="s">
        <v>1307</v>
      </c>
      <c r="G20" s="753"/>
      <c r="H20" s="754"/>
      <c r="I20" s="755"/>
    </row>
    <row r="21" spans="1:9" ht="15" customHeight="1" x14ac:dyDescent="0.3">
      <c r="A21" s="626" t="s">
        <v>103</v>
      </c>
      <c r="B21" s="772" t="s">
        <v>1306</v>
      </c>
      <c r="C21" s="756"/>
      <c r="D21" s="757"/>
      <c r="E21" s="625" t="s">
        <v>7</v>
      </c>
      <c r="F21" s="633" t="s">
        <v>1305</v>
      </c>
      <c r="G21" s="753"/>
      <c r="H21" s="754"/>
      <c r="I21" s="755"/>
    </row>
    <row r="22" spans="1:9" ht="15" customHeight="1" x14ac:dyDescent="0.3">
      <c r="A22" s="629" t="s">
        <v>1304</v>
      </c>
      <c r="B22" s="775" t="s">
        <v>1303</v>
      </c>
      <c r="C22" s="776"/>
      <c r="D22" s="777"/>
      <c r="E22" s="628"/>
      <c r="F22" s="627"/>
      <c r="G22" s="758"/>
      <c r="H22" s="759"/>
      <c r="I22" s="760"/>
    </row>
    <row r="23" spans="1:9" ht="15" customHeight="1" x14ac:dyDescent="0.3">
      <c r="A23" s="626" t="s">
        <v>105</v>
      </c>
      <c r="B23" s="772" t="s">
        <v>1302</v>
      </c>
      <c r="C23" s="756"/>
      <c r="D23" s="757"/>
      <c r="E23" s="625" t="s">
        <v>7</v>
      </c>
      <c r="F23" s="633" t="s">
        <v>1301</v>
      </c>
      <c r="G23" s="753"/>
      <c r="H23" s="754"/>
      <c r="I23" s="755"/>
    </row>
    <row r="24" spans="1:9" ht="15" customHeight="1" x14ac:dyDescent="0.3">
      <c r="A24" s="626" t="s">
        <v>106</v>
      </c>
      <c r="B24" s="772" t="s">
        <v>1300</v>
      </c>
      <c r="C24" s="756"/>
      <c r="D24" s="757"/>
      <c r="E24" s="625" t="s">
        <v>7</v>
      </c>
      <c r="F24" s="633" t="s">
        <v>1299</v>
      </c>
      <c r="G24" s="753"/>
      <c r="H24" s="754"/>
      <c r="I24" s="755"/>
    </row>
    <row r="25" spans="1:9" ht="15" customHeight="1" x14ac:dyDescent="0.3">
      <c r="A25" s="626" t="s">
        <v>107</v>
      </c>
      <c r="B25" s="772" t="s">
        <v>1298</v>
      </c>
      <c r="C25" s="756"/>
      <c r="D25" s="757"/>
      <c r="E25" s="625" t="s">
        <v>7</v>
      </c>
      <c r="F25" s="633" t="s">
        <v>1297</v>
      </c>
      <c r="G25" s="753"/>
      <c r="H25" s="754"/>
      <c r="I25" s="755"/>
    </row>
    <row r="26" spans="1:9" x14ac:dyDescent="0.3">
      <c r="A26" s="626" t="s">
        <v>171</v>
      </c>
      <c r="B26" s="772" t="s">
        <v>1296</v>
      </c>
      <c r="C26" s="756"/>
      <c r="D26" s="757"/>
      <c r="E26" s="625" t="s">
        <v>7</v>
      </c>
      <c r="F26" s="633" t="s">
        <v>398</v>
      </c>
      <c r="G26" s="753"/>
      <c r="H26" s="754"/>
      <c r="I26" s="755"/>
    </row>
    <row r="27" spans="1:9" ht="15" customHeight="1" x14ac:dyDescent="0.3">
      <c r="A27" s="626" t="s">
        <v>172</v>
      </c>
      <c r="B27" s="772" t="s">
        <v>1295</v>
      </c>
      <c r="C27" s="756"/>
      <c r="D27" s="757"/>
      <c r="E27" s="625" t="s">
        <v>7</v>
      </c>
      <c r="F27" s="633" t="s">
        <v>1279</v>
      </c>
      <c r="G27" s="753"/>
      <c r="H27" s="754"/>
      <c r="I27" s="755"/>
    </row>
    <row r="28" spans="1:9" x14ac:dyDescent="0.3">
      <c r="A28" s="626" t="s">
        <v>173</v>
      </c>
      <c r="B28" s="772" t="s">
        <v>1294</v>
      </c>
      <c r="C28" s="756"/>
      <c r="D28" s="757"/>
      <c r="E28" s="625" t="s">
        <v>7</v>
      </c>
      <c r="F28" s="633" t="s">
        <v>1279</v>
      </c>
      <c r="G28" s="753"/>
      <c r="H28" s="754"/>
      <c r="I28" s="755"/>
    </row>
    <row r="29" spans="1:9" ht="15" customHeight="1" x14ac:dyDescent="0.3">
      <c r="A29" s="629" t="s">
        <v>1293</v>
      </c>
      <c r="B29" s="775" t="s">
        <v>1292</v>
      </c>
      <c r="C29" s="776"/>
      <c r="D29" s="777"/>
      <c r="E29" s="628"/>
      <c r="F29" s="627"/>
      <c r="G29" s="758"/>
      <c r="H29" s="759"/>
      <c r="I29" s="760"/>
    </row>
    <row r="30" spans="1:9" ht="15" customHeight="1" x14ac:dyDescent="0.3">
      <c r="A30" s="626" t="s">
        <v>156</v>
      </c>
      <c r="B30" s="772" t="s">
        <v>1291</v>
      </c>
      <c r="C30" s="756"/>
      <c r="D30" s="757"/>
      <c r="E30" s="625" t="s">
        <v>7</v>
      </c>
      <c r="F30" s="633" t="s">
        <v>894</v>
      </c>
      <c r="G30" s="753"/>
      <c r="H30" s="754"/>
      <c r="I30" s="755"/>
    </row>
    <row r="31" spans="1:9" ht="15" customHeight="1" x14ac:dyDescent="0.3">
      <c r="A31" s="626" t="s">
        <v>174</v>
      </c>
      <c r="B31" s="772" t="s">
        <v>931</v>
      </c>
      <c r="C31" s="756"/>
      <c r="D31" s="757"/>
      <c r="E31" s="625" t="s">
        <v>7</v>
      </c>
      <c r="F31" s="633" t="s">
        <v>1342</v>
      </c>
      <c r="G31" s="753"/>
      <c r="H31" s="754"/>
      <c r="I31" s="755"/>
    </row>
    <row r="32" spans="1:9" ht="15" customHeight="1" x14ac:dyDescent="0.3">
      <c r="A32" s="626" t="s">
        <v>1290</v>
      </c>
      <c r="B32" s="772" t="s">
        <v>1289</v>
      </c>
      <c r="C32" s="756"/>
      <c r="D32" s="757"/>
      <c r="E32" s="625" t="s">
        <v>7</v>
      </c>
      <c r="F32" s="633" t="s">
        <v>1343</v>
      </c>
      <c r="G32" s="753"/>
      <c r="H32" s="754"/>
      <c r="I32" s="755"/>
    </row>
    <row r="33" spans="1:9" ht="15" customHeight="1" x14ac:dyDescent="0.3">
      <c r="A33" s="626" t="s">
        <v>1288</v>
      </c>
      <c r="B33" s="772" t="s">
        <v>1287</v>
      </c>
      <c r="C33" s="756"/>
      <c r="D33" s="757"/>
      <c r="E33" s="625" t="s">
        <v>7</v>
      </c>
      <c r="F33" s="633" t="s">
        <v>877</v>
      </c>
      <c r="G33" s="753"/>
      <c r="H33" s="754"/>
      <c r="I33" s="755"/>
    </row>
    <row r="34" spans="1:9" ht="15" customHeight="1" x14ac:dyDescent="0.3">
      <c r="A34" s="626" t="s">
        <v>1286</v>
      </c>
      <c r="B34" s="772" t="s">
        <v>1285</v>
      </c>
      <c r="C34" s="756"/>
      <c r="D34" s="757"/>
      <c r="E34" s="625" t="s">
        <v>7</v>
      </c>
      <c r="F34" s="633" t="s">
        <v>877</v>
      </c>
      <c r="G34" s="753"/>
      <c r="H34" s="754"/>
      <c r="I34" s="755"/>
    </row>
    <row r="35" spans="1:9" ht="15" customHeight="1" x14ac:dyDescent="0.3">
      <c r="A35" s="626" t="s">
        <v>1284</v>
      </c>
      <c r="B35" s="772" t="s">
        <v>890</v>
      </c>
      <c r="C35" s="756"/>
      <c r="D35" s="757"/>
      <c r="E35" s="625" t="s">
        <v>7</v>
      </c>
      <c r="F35" s="633" t="s">
        <v>1344</v>
      </c>
      <c r="G35" s="753"/>
      <c r="H35" s="754"/>
      <c r="I35" s="755"/>
    </row>
    <row r="36" spans="1:9" ht="15" customHeight="1" x14ac:dyDescent="0.3">
      <c r="A36" s="626" t="s">
        <v>1283</v>
      </c>
      <c r="B36" s="772" t="s">
        <v>1282</v>
      </c>
      <c r="C36" s="756"/>
      <c r="D36" s="757"/>
      <c r="E36" s="625" t="s">
        <v>7</v>
      </c>
      <c r="F36" s="633" t="s">
        <v>877</v>
      </c>
      <c r="G36" s="753"/>
      <c r="H36" s="754"/>
      <c r="I36" s="755"/>
    </row>
    <row r="37" spans="1:9" ht="15.75" customHeight="1" thickBot="1" x14ac:dyDescent="0.35">
      <c r="A37" s="624" t="s">
        <v>1281</v>
      </c>
      <c r="B37" s="786" t="s">
        <v>1280</v>
      </c>
      <c r="C37" s="787"/>
      <c r="D37" s="788"/>
      <c r="E37" s="623" t="s">
        <v>7</v>
      </c>
      <c r="F37" s="634" t="s">
        <v>1279</v>
      </c>
      <c r="G37" s="761"/>
      <c r="H37" s="762"/>
      <c r="I37" s="763"/>
    </row>
    <row r="38" spans="1:9" x14ac:dyDescent="0.3">
      <c r="A38" s="636" t="s">
        <v>1335</v>
      </c>
      <c r="B38" s="756" t="s">
        <v>932</v>
      </c>
      <c r="C38" s="756"/>
      <c r="D38" s="757"/>
      <c r="E38" s="625" t="s">
        <v>7</v>
      </c>
      <c r="F38" s="638" t="s">
        <v>877</v>
      </c>
      <c r="G38" s="753"/>
      <c r="H38" s="754"/>
      <c r="I38" s="755"/>
    </row>
    <row r="39" spans="1:9" x14ac:dyDescent="0.3">
      <c r="A39" s="635" t="s">
        <v>1338</v>
      </c>
      <c r="B39" s="756" t="s">
        <v>891</v>
      </c>
      <c r="C39" s="756"/>
      <c r="D39" s="757"/>
      <c r="E39" s="625" t="s">
        <v>7</v>
      </c>
      <c r="F39" s="633" t="s">
        <v>877</v>
      </c>
      <c r="G39" s="753"/>
      <c r="H39" s="754"/>
      <c r="I39" s="755"/>
    </row>
    <row r="40" spans="1:9" x14ac:dyDescent="0.3">
      <c r="A40" s="635" t="s">
        <v>1339</v>
      </c>
      <c r="B40" s="756" t="s">
        <v>1336</v>
      </c>
      <c r="C40" s="756"/>
      <c r="D40" s="757"/>
      <c r="E40" s="625" t="s">
        <v>7</v>
      </c>
      <c r="F40" s="633" t="s">
        <v>877</v>
      </c>
      <c r="G40" s="753"/>
      <c r="H40" s="754"/>
      <c r="I40" s="755"/>
    </row>
    <row r="41" spans="1:9" x14ac:dyDescent="0.3">
      <c r="A41" s="635" t="s">
        <v>1340</v>
      </c>
      <c r="B41" s="756" t="s">
        <v>1337</v>
      </c>
      <c r="C41" s="756"/>
      <c r="D41" s="757"/>
      <c r="E41" s="625" t="s">
        <v>7</v>
      </c>
      <c r="F41" s="633" t="s">
        <v>877</v>
      </c>
      <c r="G41" s="753"/>
      <c r="H41" s="754"/>
      <c r="I41" s="755"/>
    </row>
    <row r="44" spans="1:9" x14ac:dyDescent="0.3">
      <c r="A44" s="639" t="s">
        <v>959</v>
      </c>
      <c r="B44">
        <f>IF(F10="Wall Mounted",1,IF(F10="Split System",2,IF(F10="Self Contained",3,0)))</f>
        <v>1</v>
      </c>
    </row>
  </sheetData>
  <mergeCells count="82">
    <mergeCell ref="B16:D16"/>
    <mergeCell ref="G15:I15"/>
    <mergeCell ref="G16:I16"/>
    <mergeCell ref="B25:D25"/>
    <mergeCell ref="B31:D31"/>
    <mergeCell ref="B24:D24"/>
    <mergeCell ref="B26:D26"/>
    <mergeCell ref="B23:D23"/>
    <mergeCell ref="B18:D18"/>
    <mergeCell ref="B17:D17"/>
    <mergeCell ref="B21:D21"/>
    <mergeCell ref="B15:D15"/>
    <mergeCell ref="B19:D19"/>
    <mergeCell ref="B20:D20"/>
    <mergeCell ref="B22:D22"/>
    <mergeCell ref="B27:D27"/>
    <mergeCell ref="B37:D37"/>
    <mergeCell ref="B32:D32"/>
    <mergeCell ref="B33:D33"/>
    <mergeCell ref="B29:D29"/>
    <mergeCell ref="B30:D30"/>
    <mergeCell ref="B34:D34"/>
    <mergeCell ref="B35:D35"/>
    <mergeCell ref="B36:D36"/>
    <mergeCell ref="B28:D28"/>
    <mergeCell ref="B14:D14"/>
    <mergeCell ref="A1:I1"/>
    <mergeCell ref="E3:I3"/>
    <mergeCell ref="E4:I4"/>
    <mergeCell ref="E5:I5"/>
    <mergeCell ref="C2:D2"/>
    <mergeCell ref="B8:D8"/>
    <mergeCell ref="G13:I13"/>
    <mergeCell ref="G14:I14"/>
    <mergeCell ref="B13:D13"/>
    <mergeCell ref="G12:I12"/>
    <mergeCell ref="A2:B6"/>
    <mergeCell ref="G7:I7"/>
    <mergeCell ref="E2:I2"/>
    <mergeCell ref="B11:D11"/>
    <mergeCell ref="B12:D12"/>
    <mergeCell ref="C3:D3"/>
    <mergeCell ref="C4:D4"/>
    <mergeCell ref="C5:D5"/>
    <mergeCell ref="C6:D6"/>
    <mergeCell ref="E6:I6"/>
    <mergeCell ref="G8:I8"/>
    <mergeCell ref="B7:D7"/>
    <mergeCell ref="B9:D9"/>
    <mergeCell ref="B10:D10"/>
    <mergeCell ref="G9:I9"/>
    <mergeCell ref="G10:I10"/>
    <mergeCell ref="G11:I11"/>
    <mergeCell ref="G22:I22"/>
    <mergeCell ref="G37:I37"/>
    <mergeCell ref="G29:I29"/>
    <mergeCell ref="G30:I30"/>
    <mergeCell ref="G31:I31"/>
    <mergeCell ref="G32:I32"/>
    <mergeCell ref="G33:I33"/>
    <mergeCell ref="G34:I34"/>
    <mergeCell ref="G35:I35"/>
    <mergeCell ref="G36:I36"/>
    <mergeCell ref="G17:I17"/>
    <mergeCell ref="G18:I18"/>
    <mergeCell ref="G19:I19"/>
    <mergeCell ref="G20:I20"/>
    <mergeCell ref="G21:I21"/>
    <mergeCell ref="G25:I25"/>
    <mergeCell ref="G26:I26"/>
    <mergeCell ref="G27:I27"/>
    <mergeCell ref="G28:I28"/>
    <mergeCell ref="G23:I23"/>
    <mergeCell ref="G24:I24"/>
    <mergeCell ref="G41:I41"/>
    <mergeCell ref="B38:D38"/>
    <mergeCell ref="B39:D39"/>
    <mergeCell ref="B40:D40"/>
    <mergeCell ref="B41:D41"/>
    <mergeCell ref="G38:I38"/>
    <mergeCell ref="G39:I39"/>
    <mergeCell ref="G40:I40"/>
  </mergeCells>
  <phoneticPr fontId="36" type="noConversion"/>
  <dataValidations count="5">
    <dataValidation type="list" allowBlank="1" showInputMessage="1" showErrorMessage="1" sqref="F30" xr:uid="{61B2B929-176F-4623-B610-22CDF986B614}">
      <formula1>"Sirocco,Eletrônico,"</formula1>
    </dataValidation>
    <dataValidation type="list" allowBlank="1" showInputMessage="1" showErrorMessage="1" sqref="F31" xr:uid="{FEC1284D-1F99-496C-B75C-9477373D57FC}">
      <formula1>"ON/OFF,Proporcional"</formula1>
    </dataValidation>
    <dataValidation type="list" allowBlank="1" showInputMessage="1" showErrorMessage="1" sqref="F32" xr:uid="{918E93F2-30A9-4C4A-974D-2A5EB5F28B71}">
      <formula1>"Manual,Com Atuador,"</formula1>
    </dataValidation>
    <dataValidation type="list" allowBlank="1" showInputMessage="1" showErrorMessage="1" sqref="F33:F36 F38:F41" xr:uid="{F528E5B3-C241-47A7-B8A2-D29CCDC79421}">
      <formula1>"Sim,Não,"</formula1>
    </dataValidation>
    <dataValidation type="list" allowBlank="1" showInputMessage="1" showErrorMessage="1" sqref="F17" xr:uid="{9E5FE86F-DD9F-4343-94BF-C415D1A15AF6}">
      <formula1>"Embarcada,Termostato Digital,"</formula1>
    </dataValidation>
  </dataValidations>
  <printOptions horizontalCentered="1"/>
  <pageMargins left="0.19685039370078741" right="0.19685039370078741" top="0.19685039370078741" bottom="0.19685039370078741" header="0.19685039370078741" footer="0.19685039370078741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712D37-4ABB-4397-8018-6F4941C97570}">
  <sheetPr codeName="Planilha16">
    <tabColor rgb="FFFF0000"/>
  </sheetPr>
  <dimension ref="A1:AX281"/>
  <sheetViews>
    <sheetView zoomScale="70" zoomScaleNormal="70" workbookViewId="0">
      <selection activeCell="R34" sqref="R34:AA39"/>
    </sheetView>
  </sheetViews>
  <sheetFormatPr defaultRowHeight="14.4" x14ac:dyDescent="0.3"/>
  <cols>
    <col min="1" max="1" width="36.6640625" customWidth="1"/>
    <col min="2" max="2" width="9.6640625" customWidth="1"/>
    <col min="3" max="3" width="10.6640625" customWidth="1"/>
    <col min="4" max="4" width="20.6640625" customWidth="1"/>
    <col min="5" max="6" width="12.6640625" customWidth="1"/>
    <col min="7" max="7" width="14.6640625" customWidth="1"/>
    <col min="8" max="9" width="17.44140625" customWidth="1"/>
    <col min="10" max="10" width="17.88671875" customWidth="1"/>
    <col min="11" max="11" width="18" customWidth="1"/>
    <col min="12" max="12" width="22.88671875" customWidth="1"/>
    <col min="13" max="13" width="10.6640625" customWidth="1"/>
    <col min="14" max="15" width="8.5546875" customWidth="1"/>
    <col min="16" max="16" width="11.33203125" bestFit="1" customWidth="1"/>
    <col min="17" max="17" width="2.109375" customWidth="1"/>
    <col min="18" max="23" width="12.6640625" customWidth="1"/>
    <col min="24" max="24" width="12.6640625" hidden="1" customWidth="1"/>
    <col min="25" max="25" width="16.109375" customWidth="1"/>
    <col min="26" max="38" width="12.6640625" customWidth="1"/>
    <col min="39" max="40" width="12.5546875" customWidth="1"/>
  </cols>
  <sheetData>
    <row r="1" spans="1:50" ht="22.2" x14ac:dyDescent="0.3">
      <c r="A1" s="801"/>
      <c r="B1" s="803" t="s">
        <v>383</v>
      </c>
      <c r="C1" s="803"/>
      <c r="D1" s="803"/>
      <c r="E1" s="803"/>
      <c r="F1" s="803"/>
      <c r="G1" s="803"/>
      <c r="H1" s="803"/>
      <c r="I1" s="803"/>
      <c r="J1" s="803"/>
      <c r="K1" s="803"/>
      <c r="L1" s="803"/>
      <c r="M1" s="803"/>
      <c r="N1" s="803"/>
      <c r="O1" s="803"/>
      <c r="P1" s="803"/>
      <c r="Q1" s="803"/>
      <c r="R1" s="803"/>
      <c r="S1" s="803"/>
      <c r="T1" s="803"/>
      <c r="U1" s="803"/>
      <c r="V1" s="803"/>
      <c r="W1" s="803"/>
      <c r="X1" s="803"/>
      <c r="Y1" s="803"/>
      <c r="Z1" s="803"/>
      <c r="AA1" s="803"/>
      <c r="AB1" s="99"/>
      <c r="AC1" s="3"/>
      <c r="AD1" s="4" t="s">
        <v>720</v>
      </c>
      <c r="AE1" s="4" t="s">
        <v>720</v>
      </c>
      <c r="AF1" s="4" t="s">
        <v>720</v>
      </c>
      <c r="AG1" s="4" t="s">
        <v>720</v>
      </c>
      <c r="AH1" s="4" t="s">
        <v>720</v>
      </c>
      <c r="AI1" s="4" t="s">
        <v>720</v>
      </c>
      <c r="AJ1" s="4" t="s">
        <v>720</v>
      </c>
      <c r="AK1" s="4" t="s">
        <v>720</v>
      </c>
      <c r="AL1" s="4" t="s">
        <v>720</v>
      </c>
      <c r="AM1" s="4" t="s">
        <v>720</v>
      </c>
      <c r="AN1" s="4" t="s">
        <v>720</v>
      </c>
      <c r="AO1" s="4" t="s">
        <v>720</v>
      </c>
      <c r="AP1" s="4" t="s">
        <v>720</v>
      </c>
      <c r="AQ1" s="4" t="s">
        <v>720</v>
      </c>
      <c r="AR1" s="4" t="s">
        <v>720</v>
      </c>
      <c r="AS1" s="4" t="s">
        <v>720</v>
      </c>
      <c r="AT1" s="4" t="s">
        <v>720</v>
      </c>
      <c r="AU1" s="4" t="s">
        <v>720</v>
      </c>
      <c r="AV1" s="4" t="s">
        <v>720</v>
      </c>
      <c r="AW1" s="4" t="s">
        <v>720</v>
      </c>
      <c r="AX1" s="4" t="s">
        <v>720</v>
      </c>
    </row>
    <row r="2" spans="1:50" x14ac:dyDescent="0.3">
      <c r="A2" s="802"/>
      <c r="B2" s="47" t="s">
        <v>46</v>
      </c>
      <c r="C2" s="806" t="e">
        <f>#REF!</f>
        <v>#REF!</v>
      </c>
      <c r="D2" s="807"/>
      <c r="E2" s="808"/>
      <c r="F2" s="804" t="s">
        <v>44</v>
      </c>
      <c r="G2" s="805"/>
      <c r="H2" s="805"/>
      <c r="I2" s="805"/>
      <c r="J2" s="805"/>
      <c r="K2" s="805"/>
      <c r="L2" s="805"/>
      <c r="M2" s="805"/>
      <c r="N2" s="805"/>
      <c r="O2" s="805"/>
      <c r="P2" s="805"/>
      <c r="Q2" s="805"/>
      <c r="R2" s="805"/>
      <c r="S2" s="805"/>
      <c r="T2" s="805"/>
      <c r="U2" s="805"/>
      <c r="V2" s="805"/>
      <c r="W2" s="805"/>
      <c r="X2" s="805"/>
      <c r="Y2" s="805"/>
      <c r="Z2" s="805"/>
      <c r="AA2" s="805"/>
      <c r="AB2" s="99"/>
      <c r="AC2" s="3"/>
      <c r="AD2" s="4"/>
      <c r="AE2" s="4"/>
      <c r="AF2" s="4"/>
      <c r="AG2" s="4"/>
      <c r="AH2" s="4"/>
      <c r="AI2" s="4"/>
      <c r="AJ2" s="5"/>
      <c r="AK2" s="5"/>
      <c r="AL2" s="6"/>
      <c r="AM2" s="7"/>
    </row>
    <row r="3" spans="1:50" ht="15" customHeight="1" x14ac:dyDescent="0.3">
      <c r="A3" s="802"/>
      <c r="B3" s="47" t="s">
        <v>47</v>
      </c>
      <c r="C3" s="806" t="e">
        <f>#REF!</f>
        <v>#REF!</v>
      </c>
      <c r="D3" s="807"/>
      <c r="E3" s="808"/>
      <c r="F3" s="813" t="e">
        <f>#REF!</f>
        <v>#REF!</v>
      </c>
      <c r="G3" s="813"/>
      <c r="H3" s="813"/>
      <c r="I3" s="813"/>
      <c r="J3" s="813"/>
      <c r="K3" s="813"/>
      <c r="L3" s="813"/>
      <c r="M3" s="813"/>
      <c r="N3" s="813"/>
      <c r="O3" s="813"/>
      <c r="P3" s="813"/>
      <c r="Q3" s="813"/>
      <c r="R3" s="813"/>
      <c r="S3" s="813"/>
      <c r="T3" s="813"/>
      <c r="U3" s="813"/>
      <c r="V3" s="813"/>
      <c r="W3" s="813"/>
      <c r="X3" s="813"/>
      <c r="Y3" s="813"/>
      <c r="Z3" s="813"/>
      <c r="AA3" s="813"/>
      <c r="AB3" s="99"/>
      <c r="AC3" s="3"/>
      <c r="AD3" s="4"/>
      <c r="AE3" s="4"/>
      <c r="AF3" s="4"/>
      <c r="AG3" s="4"/>
      <c r="AH3" s="4"/>
      <c r="AI3" s="4"/>
      <c r="AJ3" s="5"/>
      <c r="AK3" s="5"/>
      <c r="AL3" s="6"/>
      <c r="AM3" s="7"/>
    </row>
    <row r="4" spans="1:50" x14ac:dyDescent="0.3">
      <c r="A4" s="802"/>
      <c r="B4" s="47" t="s">
        <v>48</v>
      </c>
      <c r="C4" s="806" t="e">
        <f>#REF!</f>
        <v>#REF!</v>
      </c>
      <c r="D4" s="807"/>
      <c r="E4" s="808"/>
      <c r="F4" s="813"/>
      <c r="G4" s="813"/>
      <c r="H4" s="813"/>
      <c r="I4" s="813"/>
      <c r="J4" s="813"/>
      <c r="K4" s="813"/>
      <c r="L4" s="813"/>
      <c r="M4" s="813"/>
      <c r="N4" s="813"/>
      <c r="O4" s="813"/>
      <c r="P4" s="813"/>
      <c r="Q4" s="813"/>
      <c r="R4" s="813"/>
      <c r="S4" s="813"/>
      <c r="T4" s="813"/>
      <c r="U4" s="813"/>
      <c r="V4" s="813"/>
      <c r="W4" s="813"/>
      <c r="X4" s="813"/>
      <c r="Y4" s="813"/>
      <c r="Z4" s="813"/>
      <c r="AA4" s="813"/>
      <c r="AB4" s="99"/>
      <c r="AC4" s="3"/>
      <c r="AD4" s="4"/>
      <c r="AE4" s="4"/>
      <c r="AF4" s="4"/>
      <c r="AG4" s="4"/>
      <c r="AH4" s="4"/>
      <c r="AI4" s="4"/>
      <c r="AJ4" s="5"/>
      <c r="AK4" s="5"/>
      <c r="AL4" s="6"/>
      <c r="AM4" s="7"/>
    </row>
    <row r="5" spans="1:50" x14ac:dyDescent="0.3">
      <c r="A5" s="802"/>
      <c r="B5" s="47" t="s">
        <v>110</v>
      </c>
      <c r="C5" s="809">
        <f ca="1">NOW()</f>
        <v>45953.89526203704</v>
      </c>
      <c r="D5" s="810"/>
      <c r="E5" s="811"/>
      <c r="F5" s="813"/>
      <c r="G5" s="813"/>
      <c r="H5" s="813"/>
      <c r="I5" s="813"/>
      <c r="J5" s="813"/>
      <c r="K5" s="813"/>
      <c r="L5" s="813"/>
      <c r="M5" s="813"/>
      <c r="N5" s="813"/>
      <c r="O5" s="813"/>
      <c r="P5" s="813"/>
      <c r="Q5" s="813"/>
      <c r="R5" s="813"/>
      <c r="S5" s="813"/>
      <c r="T5" s="813"/>
      <c r="U5" s="813"/>
      <c r="V5" s="813"/>
      <c r="W5" s="813"/>
      <c r="X5" s="813"/>
      <c r="Y5" s="813"/>
      <c r="Z5" s="813"/>
      <c r="AA5" s="813"/>
      <c r="AB5" s="99"/>
      <c r="AC5" s="3"/>
      <c r="AD5" s="4"/>
      <c r="AE5" s="4"/>
      <c r="AF5" s="4"/>
      <c r="AG5" s="4"/>
      <c r="AH5" s="4"/>
      <c r="AI5" s="4"/>
      <c r="AJ5" s="5"/>
      <c r="AK5" s="5"/>
      <c r="AL5" s="6"/>
      <c r="AM5" s="7"/>
    </row>
    <row r="6" spans="1:50" x14ac:dyDescent="0.3">
      <c r="A6" s="802"/>
      <c r="B6" s="47" t="s">
        <v>427</v>
      </c>
      <c r="C6" s="809" t="e">
        <f>#REF!</f>
        <v>#REF!</v>
      </c>
      <c r="D6" s="810"/>
      <c r="E6" s="811"/>
      <c r="F6" s="813"/>
      <c r="G6" s="813"/>
      <c r="H6" s="813"/>
      <c r="I6" s="813"/>
      <c r="J6" s="813"/>
      <c r="K6" s="813"/>
      <c r="L6" s="813"/>
      <c r="M6" s="813"/>
      <c r="N6" s="813"/>
      <c r="O6" s="813"/>
      <c r="P6" s="813"/>
      <c r="Q6" s="813"/>
      <c r="R6" s="813"/>
      <c r="S6" s="813"/>
      <c r="T6" s="813"/>
      <c r="U6" s="813"/>
      <c r="V6" s="813"/>
      <c r="W6" s="813"/>
      <c r="X6" s="813"/>
      <c r="Y6" s="813"/>
      <c r="Z6" s="813"/>
      <c r="AA6" s="813"/>
      <c r="AB6" s="99"/>
      <c r="AC6" s="3"/>
      <c r="AD6" s="4" t="str">
        <f>IF(AND(Z28&gt;1,Z28&lt;125),AD216,IF(AND(Z28&gt;125.1,Z28&lt;250),AD238,IF(AND(Z28&gt;250.1,Z28&lt;500),AD260,"Classe 750 Pa")))</f>
        <v>CLASSE 500 PA</v>
      </c>
      <c r="AE6" s="4"/>
      <c r="AF6" s="4"/>
      <c r="AG6" s="4"/>
      <c r="AH6" s="4"/>
      <c r="AI6" s="4"/>
      <c r="AJ6" s="5"/>
      <c r="AK6" s="5"/>
      <c r="AL6" s="6"/>
      <c r="AM6" s="7"/>
    </row>
    <row r="7" spans="1:50" x14ac:dyDescent="0.3">
      <c r="A7" s="802"/>
      <c r="B7" s="295" t="s">
        <v>578</v>
      </c>
      <c r="C7" s="812"/>
      <c r="D7" s="812"/>
      <c r="E7" s="812"/>
      <c r="F7" s="814" t="e">
        <f>#REF!</f>
        <v>#REF!</v>
      </c>
      <c r="G7" s="815"/>
      <c r="H7" s="815"/>
      <c r="I7" s="815"/>
      <c r="J7" s="815"/>
      <c r="K7" s="815"/>
      <c r="L7" s="815"/>
      <c r="M7" s="815"/>
      <c r="N7" s="815"/>
      <c r="O7" s="815"/>
      <c r="P7" s="815"/>
      <c r="Q7" s="815"/>
      <c r="R7" s="815"/>
      <c r="S7" s="815"/>
      <c r="T7" s="815"/>
      <c r="U7" s="815"/>
      <c r="V7" s="815"/>
      <c r="W7" s="815"/>
      <c r="X7" s="815"/>
      <c r="Y7" s="815"/>
      <c r="Z7" s="815"/>
      <c r="AA7" s="816"/>
      <c r="AB7" s="99"/>
      <c r="AC7" s="3"/>
      <c r="AD7" s="4"/>
      <c r="AE7" s="4"/>
      <c r="AF7" s="4"/>
      <c r="AG7" s="4"/>
      <c r="AH7" s="4"/>
      <c r="AI7" s="4"/>
      <c r="AJ7" s="5"/>
      <c r="AK7" s="5"/>
      <c r="AL7" s="6"/>
      <c r="AM7" s="7"/>
    </row>
    <row r="8" spans="1:50" ht="15" thickBot="1" x14ac:dyDescent="0.35">
      <c r="A8" s="98"/>
      <c r="B8" s="43"/>
      <c r="C8" s="43"/>
      <c r="D8" s="43"/>
      <c r="E8" s="43"/>
      <c r="F8" s="43"/>
      <c r="G8" s="43"/>
      <c r="H8" s="45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99"/>
      <c r="AA8" s="99"/>
      <c r="AB8" s="99"/>
      <c r="AC8" s="3"/>
      <c r="AD8" s="4"/>
      <c r="AE8" s="4"/>
      <c r="AF8" s="4"/>
      <c r="AG8" s="4"/>
      <c r="AH8" s="4"/>
      <c r="AI8" s="4"/>
      <c r="AJ8" s="5"/>
      <c r="AK8" s="5"/>
      <c r="AL8" s="6"/>
      <c r="AM8" s="7"/>
    </row>
    <row r="9" spans="1:50" x14ac:dyDescent="0.3">
      <c r="A9" s="824" t="s">
        <v>384</v>
      </c>
      <c r="B9" s="825"/>
      <c r="C9" s="825"/>
      <c r="D9" s="825"/>
      <c r="E9" s="825"/>
      <c r="F9" s="825"/>
      <c r="G9" s="825"/>
      <c r="H9" s="825"/>
      <c r="I9" s="825"/>
      <c r="J9" s="825"/>
      <c r="K9" s="825"/>
      <c r="L9" s="825"/>
      <c r="M9" s="825"/>
      <c r="N9" s="825"/>
      <c r="O9" s="825"/>
      <c r="P9" s="825"/>
      <c r="Q9" s="825"/>
      <c r="R9" s="825"/>
      <c r="S9" s="825"/>
      <c r="T9" s="825"/>
      <c r="U9" s="825"/>
      <c r="V9" s="825"/>
      <c r="W9" s="825"/>
      <c r="X9" s="825"/>
      <c r="Y9" s="825"/>
      <c r="Z9" s="825"/>
      <c r="AA9" s="826"/>
      <c r="AB9" s="99"/>
      <c r="AC9" s="3"/>
      <c r="AD9" s="214"/>
      <c r="AE9" s="214"/>
      <c r="AF9" s="214"/>
      <c r="AG9" s="214"/>
      <c r="AH9" s="214"/>
      <c r="AI9" s="214"/>
      <c r="AJ9" s="214"/>
      <c r="AK9" s="214"/>
      <c r="AL9" s="214"/>
      <c r="AM9" s="7"/>
    </row>
    <row r="10" spans="1:50" ht="15" thickBot="1" x14ac:dyDescent="0.35">
      <c r="A10" s="827"/>
      <c r="B10" s="828"/>
      <c r="C10" s="828"/>
      <c r="D10" s="828"/>
      <c r="E10" s="828"/>
      <c r="F10" s="828"/>
      <c r="G10" s="828"/>
      <c r="H10" s="828"/>
      <c r="I10" s="828"/>
      <c r="J10" s="828"/>
      <c r="K10" s="828"/>
      <c r="L10" s="828"/>
      <c r="M10" s="829"/>
      <c r="N10" s="829"/>
      <c r="O10" s="829"/>
      <c r="P10" s="829"/>
      <c r="Q10" s="829"/>
      <c r="R10" s="829"/>
      <c r="S10" s="829"/>
      <c r="T10" s="829"/>
      <c r="U10" s="829"/>
      <c r="V10" s="829"/>
      <c r="W10" s="829"/>
      <c r="X10" s="829"/>
      <c r="Y10" s="829"/>
      <c r="Z10" s="829"/>
      <c r="AA10" s="830"/>
      <c r="AB10" s="99"/>
      <c r="AC10" s="3"/>
      <c r="AD10" s="214"/>
      <c r="AE10" s="214"/>
      <c r="AF10" s="214"/>
      <c r="AG10" s="214"/>
      <c r="AH10" s="214"/>
      <c r="AI10" s="214"/>
      <c r="AJ10" s="214"/>
      <c r="AK10" s="214"/>
      <c r="AL10" s="214"/>
      <c r="AM10" s="7"/>
    </row>
    <row r="11" spans="1:50" ht="15" customHeight="1" thickBot="1" x14ac:dyDescent="0.35">
      <c r="A11" s="831" t="s">
        <v>429</v>
      </c>
      <c r="B11" s="832"/>
      <c r="C11" s="832"/>
      <c r="D11" s="832"/>
      <c r="E11" s="832"/>
      <c r="F11" s="832"/>
      <c r="G11" s="832"/>
      <c r="H11" s="832"/>
      <c r="I11" s="832"/>
      <c r="J11" s="832"/>
      <c r="K11" s="832"/>
      <c r="L11" s="832"/>
      <c r="M11" s="832"/>
      <c r="N11" s="832"/>
      <c r="O11" s="832"/>
      <c r="P11" s="833"/>
      <c r="Q11" s="314"/>
      <c r="R11" s="831" t="s">
        <v>396</v>
      </c>
      <c r="S11" s="832"/>
      <c r="T11" s="832"/>
      <c r="U11" s="832"/>
      <c r="V11" s="832"/>
      <c r="W11" s="832"/>
      <c r="X11" s="832"/>
      <c r="Y11" s="832"/>
      <c r="Z11" s="832"/>
      <c r="AA11" s="833"/>
      <c r="AB11" s="99"/>
      <c r="AC11" s="3"/>
      <c r="AD11" s="214"/>
      <c r="AE11" s="214"/>
      <c r="AF11" s="214"/>
      <c r="AG11" s="214"/>
      <c r="AH11" s="214"/>
      <c r="AI11" s="214"/>
      <c r="AJ11" s="214"/>
      <c r="AK11" s="214"/>
      <c r="AL11" s="214"/>
      <c r="AM11" s="7"/>
    </row>
    <row r="12" spans="1:50" ht="15.75" customHeight="1" thickBot="1" x14ac:dyDescent="0.35">
      <c r="A12" s="834" t="s">
        <v>430</v>
      </c>
      <c r="B12" s="835"/>
      <c r="C12" s="835"/>
      <c r="D12" s="835"/>
      <c r="E12" s="836" t="s">
        <v>395</v>
      </c>
      <c r="F12" s="837"/>
      <c r="G12" s="837"/>
      <c r="H12" s="837"/>
      <c r="I12" s="837"/>
      <c r="J12" s="855" t="s">
        <v>538</v>
      </c>
      <c r="K12" s="854"/>
      <c r="L12" s="854"/>
      <c r="M12" s="854"/>
      <c r="N12" s="859"/>
      <c r="O12" s="855" t="s">
        <v>695</v>
      </c>
      <c r="P12" s="859"/>
      <c r="Q12" s="315"/>
      <c r="R12" s="868" t="s">
        <v>723</v>
      </c>
      <c r="S12" s="869"/>
      <c r="T12" s="370" t="s">
        <v>722</v>
      </c>
      <c r="U12" s="838" t="s">
        <v>404</v>
      </c>
      <c r="V12" s="839"/>
      <c r="W12" s="840"/>
      <c r="X12" s="279"/>
      <c r="Y12" s="223" t="s">
        <v>405</v>
      </c>
      <c r="Z12" s="272" t="s">
        <v>683</v>
      </c>
      <c r="AA12" s="311" t="s">
        <v>685</v>
      </c>
      <c r="AB12" s="99"/>
      <c r="AC12" s="3"/>
      <c r="AD12" s="80"/>
      <c r="AE12" s="215"/>
      <c r="AF12" s="80"/>
      <c r="AG12" s="227"/>
      <c r="AH12" s="227"/>
      <c r="AI12" s="227"/>
      <c r="AJ12" s="227"/>
      <c r="AK12" s="227"/>
      <c r="AL12" s="227"/>
      <c r="AM12" s="227"/>
      <c r="AN12" s="227"/>
      <c r="AO12" s="227"/>
      <c r="AP12" s="227"/>
    </row>
    <row r="13" spans="1:50" ht="20.25" customHeight="1" thickBot="1" x14ac:dyDescent="0.35">
      <c r="A13" s="286" t="s">
        <v>2</v>
      </c>
      <c r="B13" s="853" t="s">
        <v>218</v>
      </c>
      <c r="C13" s="854"/>
      <c r="D13" s="854"/>
      <c r="E13" s="855" t="s">
        <v>2</v>
      </c>
      <c r="F13" s="854"/>
      <c r="G13" s="856"/>
      <c r="H13" s="818" t="s">
        <v>406</v>
      </c>
      <c r="I13" s="819"/>
      <c r="J13" s="312" t="s">
        <v>539</v>
      </c>
      <c r="K13" s="313" t="s">
        <v>540</v>
      </c>
      <c r="L13" s="313" t="s">
        <v>541</v>
      </c>
      <c r="M13" s="853" t="s">
        <v>542</v>
      </c>
      <c r="N13" s="854"/>
      <c r="O13" s="855" t="s">
        <v>694</v>
      </c>
      <c r="P13" s="859"/>
      <c r="Q13" s="316"/>
      <c r="R13" s="857" t="s">
        <v>397</v>
      </c>
      <c r="S13" s="858"/>
      <c r="T13" s="468" t="s">
        <v>398</v>
      </c>
      <c r="U13" s="475">
        <v>1</v>
      </c>
      <c r="V13" s="271" t="s">
        <v>537</v>
      </c>
      <c r="W13" s="468">
        <v>6.5</v>
      </c>
      <c r="X13" s="216"/>
      <c r="Y13" s="458">
        <f>U13*W13</f>
        <v>6.5</v>
      </c>
      <c r="Z13" s="458">
        <f>Y13*10</f>
        <v>65</v>
      </c>
      <c r="AA13" s="885" t="str">
        <f>IF(AND(Z28&gt;1,Z28&lt;=125),AD216,IF(AND(Z28&gt;125.1,Z28&lt;=250),AD238,IF(AND(Z28&gt;250.1,Z28&lt;=500),AD260,IF(AND(Z28&gt;500.1,Z28&lt;=750),"CLASSE 750 PA","CLASSE &gt; 750 PA"))))</f>
        <v>CLASSE 500 PA</v>
      </c>
      <c r="AB13" s="43"/>
      <c r="AC13" s="7"/>
      <c r="AD13" s="7"/>
      <c r="AE13" s="4"/>
      <c r="AF13" s="4"/>
      <c r="AG13" s="219"/>
      <c r="AH13" s="219"/>
      <c r="AI13" s="219"/>
      <c r="AJ13" s="2"/>
      <c r="AK13" s="2"/>
      <c r="AL13" s="2"/>
      <c r="AM13" s="1"/>
      <c r="AN13" s="2"/>
      <c r="AO13" s="2"/>
      <c r="AP13" s="2"/>
    </row>
    <row r="14" spans="1:50" ht="19.5" customHeight="1" x14ac:dyDescent="0.3">
      <c r="A14" s="217" t="s">
        <v>387</v>
      </c>
      <c r="B14" s="846">
        <v>50000</v>
      </c>
      <c r="C14" s="847"/>
      <c r="D14" s="847"/>
      <c r="E14" s="848" t="s">
        <v>390</v>
      </c>
      <c r="F14" s="849"/>
      <c r="G14" s="850"/>
      <c r="H14" s="820">
        <f>AI129</f>
        <v>1.4435813594664075E-5</v>
      </c>
      <c r="I14" s="821"/>
      <c r="J14" s="469">
        <v>1346</v>
      </c>
      <c r="K14" s="470">
        <v>1.5</v>
      </c>
      <c r="L14" s="278">
        <f>(J14/3600)/K14/0.75</f>
        <v>0.33234567901234568</v>
      </c>
      <c r="M14" s="870">
        <f>SQRT(L14)*1000</f>
        <v>576.49430093657099</v>
      </c>
      <c r="N14" s="871"/>
      <c r="O14" s="860">
        <v>1.8</v>
      </c>
      <c r="P14" s="861"/>
      <c r="Q14" s="317"/>
      <c r="R14" s="851" t="s">
        <v>397</v>
      </c>
      <c r="S14" s="852"/>
      <c r="T14" s="468" t="s">
        <v>403</v>
      </c>
      <c r="U14" s="12">
        <v>1</v>
      </c>
      <c r="V14" s="9" t="s">
        <v>537</v>
      </c>
      <c r="W14" s="77">
        <f>VLOOKUP(T14,$AD$102:$AG$110,4,)</f>
        <v>17.5</v>
      </c>
      <c r="X14" s="212"/>
      <c r="Y14" s="458">
        <f>U14*W14</f>
        <v>17.5</v>
      </c>
      <c r="Z14" s="458">
        <f>Y14*10</f>
        <v>175</v>
      </c>
      <c r="AA14" s="886"/>
      <c r="AB14" s="281"/>
      <c r="AC14" s="11"/>
      <c r="AD14" s="213"/>
      <c r="AE14" s="213"/>
      <c r="AF14" s="213"/>
      <c r="AG14" s="2"/>
      <c r="AH14" s="226"/>
      <c r="AI14" s="1"/>
      <c r="AJ14" s="2"/>
      <c r="AK14" s="2"/>
      <c r="AL14" s="2"/>
      <c r="AM14" s="224"/>
      <c r="AN14" s="226"/>
      <c r="AO14" s="226"/>
      <c r="AP14" s="226"/>
    </row>
    <row r="15" spans="1:50" ht="19.5" customHeight="1" x14ac:dyDescent="0.3">
      <c r="A15" s="8" t="s">
        <v>386</v>
      </c>
      <c r="B15" s="841">
        <v>10</v>
      </c>
      <c r="C15" s="842"/>
      <c r="D15" s="842"/>
      <c r="E15" s="843" t="s">
        <v>391</v>
      </c>
      <c r="F15" s="799"/>
      <c r="G15" s="800"/>
      <c r="H15" s="822">
        <f>AI180</f>
        <v>87.604048319277879</v>
      </c>
      <c r="I15" s="823"/>
      <c r="J15" s="471">
        <v>1200</v>
      </c>
      <c r="K15" s="472">
        <v>2</v>
      </c>
      <c r="L15" s="276">
        <f t="shared" ref="L15:L18" si="0">(J15/3600)/K15</f>
        <v>0.16666666666666666</v>
      </c>
      <c r="M15" s="872">
        <f t="shared" ref="M15:M18" si="1">SQRT(L15)*1000</f>
        <v>408.24829046386304</v>
      </c>
      <c r="N15" s="873"/>
      <c r="O15" s="862"/>
      <c r="P15" s="863"/>
      <c r="Q15" s="318"/>
      <c r="R15" s="844" t="s">
        <v>399</v>
      </c>
      <c r="S15" s="845"/>
      <c r="T15" s="473">
        <v>1</v>
      </c>
      <c r="U15" s="817">
        <v>1</v>
      </c>
      <c r="V15" s="817"/>
      <c r="W15" s="817"/>
      <c r="X15" s="218"/>
      <c r="Y15" s="459">
        <f t="shared" ref="Y15:Y25" si="2">U15*T15</f>
        <v>1</v>
      </c>
      <c r="Z15" s="458">
        <f t="shared" ref="Z15:Z25" si="3">Y15*10</f>
        <v>10</v>
      </c>
      <c r="AA15" s="886"/>
      <c r="AB15" s="281"/>
      <c r="AC15" s="11"/>
      <c r="AD15" s="213"/>
      <c r="AE15" s="213"/>
      <c r="AF15" s="213"/>
      <c r="AG15" s="2"/>
      <c r="AH15" s="226"/>
      <c r="AI15" s="1"/>
      <c r="AJ15" s="2"/>
      <c r="AK15" s="2"/>
      <c r="AL15" s="2"/>
      <c r="AM15" s="224"/>
      <c r="AN15" s="226"/>
      <c r="AO15" s="226"/>
      <c r="AP15" s="226"/>
    </row>
    <row r="16" spans="1:50" ht="20.100000000000001" customHeight="1" x14ac:dyDescent="0.3">
      <c r="A16" s="8" t="s">
        <v>385</v>
      </c>
      <c r="B16" s="841">
        <v>13</v>
      </c>
      <c r="C16" s="842"/>
      <c r="D16" s="842"/>
      <c r="E16" s="843" t="s">
        <v>392</v>
      </c>
      <c r="F16" s="799"/>
      <c r="G16" s="800"/>
      <c r="H16" s="822">
        <f>AI198</f>
        <v>1.0667653501891912</v>
      </c>
      <c r="I16" s="823"/>
      <c r="J16" s="471">
        <v>2000</v>
      </c>
      <c r="K16" s="472">
        <v>2</v>
      </c>
      <c r="L16" s="276">
        <f t="shared" si="0"/>
        <v>0.27777777777777779</v>
      </c>
      <c r="M16" s="872">
        <f t="shared" si="1"/>
        <v>527.04627669472995</v>
      </c>
      <c r="N16" s="873"/>
      <c r="O16" s="862"/>
      <c r="P16" s="863"/>
      <c r="Q16" s="319"/>
      <c r="R16" s="851" t="s">
        <v>400</v>
      </c>
      <c r="S16" s="874"/>
      <c r="T16" s="474">
        <v>3</v>
      </c>
      <c r="U16" s="875">
        <v>1</v>
      </c>
      <c r="V16" s="875"/>
      <c r="W16" s="875"/>
      <c r="X16" s="9"/>
      <c r="Y16" s="460">
        <f t="shared" si="2"/>
        <v>3</v>
      </c>
      <c r="Z16" s="458">
        <f t="shared" si="3"/>
        <v>30</v>
      </c>
      <c r="AA16" s="886"/>
      <c r="AB16" s="281"/>
      <c r="AC16" s="11"/>
      <c r="AD16" s="213"/>
      <c r="AE16" s="213"/>
      <c r="AF16" s="213"/>
      <c r="AG16" s="2"/>
      <c r="AH16" s="226"/>
      <c r="AI16" s="225"/>
      <c r="AJ16" s="2"/>
      <c r="AK16" s="2"/>
      <c r="AL16" s="2"/>
      <c r="AM16" s="1"/>
      <c r="AN16" s="226"/>
      <c r="AO16" s="226"/>
      <c r="AP16" s="226"/>
    </row>
    <row r="17" spans="1:45" ht="20.100000000000001" customHeight="1" x14ac:dyDescent="0.3">
      <c r="A17" s="8" t="s">
        <v>388</v>
      </c>
      <c r="B17" s="841">
        <v>1200</v>
      </c>
      <c r="C17" s="842"/>
      <c r="D17" s="842"/>
      <c r="E17" s="843" t="s">
        <v>393</v>
      </c>
      <c r="F17" s="799"/>
      <c r="G17" s="800"/>
      <c r="H17" s="881">
        <f>AI137</f>
        <v>462263.26713769883</v>
      </c>
      <c r="I17" s="882"/>
      <c r="J17" s="471"/>
      <c r="K17" s="472">
        <v>1</v>
      </c>
      <c r="L17" s="276">
        <f t="shared" si="0"/>
        <v>0</v>
      </c>
      <c r="M17" s="872">
        <f t="shared" si="1"/>
        <v>0</v>
      </c>
      <c r="N17" s="873"/>
      <c r="O17" s="862"/>
      <c r="P17" s="863"/>
      <c r="Q17" s="319"/>
      <c r="R17" s="851" t="s">
        <v>401</v>
      </c>
      <c r="S17" s="874"/>
      <c r="T17" s="474">
        <v>3</v>
      </c>
      <c r="U17" s="875">
        <v>0.3</v>
      </c>
      <c r="V17" s="875"/>
      <c r="W17" s="875"/>
      <c r="X17" s="9"/>
      <c r="Y17" s="460">
        <f t="shared" si="2"/>
        <v>0.89999999999999991</v>
      </c>
      <c r="Z17" s="458">
        <f t="shared" si="3"/>
        <v>9</v>
      </c>
      <c r="AA17" s="886"/>
      <c r="AB17" s="281"/>
      <c r="AC17" s="11"/>
      <c r="AD17" s="213"/>
      <c r="AE17" s="213"/>
      <c r="AF17" s="213"/>
      <c r="AG17" s="2"/>
      <c r="AH17" s="213"/>
      <c r="AI17" s="225"/>
      <c r="AJ17" s="2"/>
      <c r="AK17" s="2"/>
      <c r="AL17" s="2"/>
      <c r="AM17" s="1"/>
      <c r="AN17" s="226"/>
      <c r="AO17" s="226"/>
      <c r="AP17" s="226"/>
    </row>
    <row r="18" spans="1:45" ht="20.100000000000001" customHeight="1" thickBot="1" x14ac:dyDescent="0.35">
      <c r="A18" s="100" t="s">
        <v>389</v>
      </c>
      <c r="B18" s="876">
        <v>0.1525</v>
      </c>
      <c r="C18" s="877"/>
      <c r="D18" s="877"/>
      <c r="E18" s="878" t="s">
        <v>394</v>
      </c>
      <c r="F18" s="879"/>
      <c r="G18" s="880"/>
      <c r="H18" s="866">
        <v>9.5000000000000001E-2</v>
      </c>
      <c r="I18" s="867"/>
      <c r="J18" s="471"/>
      <c r="K18" s="472">
        <v>0.5</v>
      </c>
      <c r="L18" s="276">
        <f t="shared" si="0"/>
        <v>0</v>
      </c>
      <c r="M18" s="872">
        <f t="shared" si="1"/>
        <v>0</v>
      </c>
      <c r="N18" s="873"/>
      <c r="O18" s="864"/>
      <c r="P18" s="865"/>
      <c r="Q18" s="319"/>
      <c r="R18" s="851" t="s">
        <v>407</v>
      </c>
      <c r="S18" s="874"/>
      <c r="T18" s="77">
        <v>2</v>
      </c>
      <c r="U18" s="875">
        <v>0</v>
      </c>
      <c r="V18" s="875"/>
      <c r="W18" s="875"/>
      <c r="X18" s="9"/>
      <c r="Y18" s="453">
        <f t="shared" si="2"/>
        <v>0</v>
      </c>
      <c r="Z18" s="458">
        <f t="shared" si="3"/>
        <v>0</v>
      </c>
      <c r="AA18" s="886"/>
      <c r="AB18" s="281"/>
      <c r="AC18" s="11"/>
      <c r="AD18" s="213"/>
      <c r="AE18" s="213"/>
      <c r="AF18" s="789" t="str">
        <f>AA13</f>
        <v>CLASSE 500 PA</v>
      </c>
      <c r="AG18" s="790"/>
      <c r="AH18" s="790"/>
      <c r="AI18" s="790"/>
      <c r="AJ18" s="790"/>
      <c r="AK18" s="790"/>
      <c r="AL18" s="790"/>
      <c r="AM18" s="790"/>
      <c r="AN18" s="790"/>
      <c r="AO18" s="790"/>
      <c r="AP18" s="791"/>
    </row>
    <row r="19" spans="1:45" ht="20.100000000000001" customHeight="1" x14ac:dyDescent="0.3">
      <c r="A19" s="29"/>
      <c r="B19" s="29"/>
      <c r="C19" s="29"/>
      <c r="D19" s="29"/>
      <c r="E19" s="29"/>
      <c r="F19" s="29"/>
      <c r="G19" s="29"/>
      <c r="H19" s="45"/>
      <c r="I19" s="45"/>
      <c r="J19" s="274"/>
      <c r="K19" s="275"/>
      <c r="L19" s="275"/>
      <c r="M19" s="275"/>
      <c r="N19" s="275"/>
      <c r="O19" s="275"/>
      <c r="P19" s="275"/>
      <c r="Q19" s="275"/>
      <c r="R19" s="851" t="s">
        <v>402</v>
      </c>
      <c r="S19" s="874"/>
      <c r="T19" s="77">
        <f>SUM(K22:K80)/O14</f>
        <v>5.5555555555555554</v>
      </c>
      <c r="U19" s="875">
        <v>0.02</v>
      </c>
      <c r="V19" s="875"/>
      <c r="W19" s="875"/>
      <c r="X19" s="9"/>
      <c r="Y19" s="453">
        <f t="shared" si="2"/>
        <v>0.1111111111111111</v>
      </c>
      <c r="Z19" s="458">
        <f t="shared" si="3"/>
        <v>1.1111111111111112</v>
      </c>
      <c r="AA19" s="886"/>
      <c r="AB19" s="281"/>
      <c r="AC19" s="11"/>
      <c r="AD19" s="213" t="str">
        <f>IF(AND(Z28&gt;1,Z28&lt;125),"Classe 125",IF(AND(Z28&gt;125.1,Z28&lt;250),"Classe 250",IF(AND(Z28&gt;250.1,Z28&lt;500),"Classe 500","750")))</f>
        <v>Classe 500</v>
      </c>
      <c r="AE19" s="213"/>
      <c r="AF19" s="792" t="s">
        <v>620</v>
      </c>
      <c r="AG19" s="38" t="str">
        <f>IF(AF18=AD216,"125 Pa",IF(AF18=AD238,"250 Pa",IF(AF18=AD260,"500 Pa","ERRO")))</f>
        <v>500 Pa</v>
      </c>
      <c r="AH19" s="795" t="s">
        <v>642</v>
      </c>
      <c r="AI19" s="798" t="s">
        <v>663</v>
      </c>
      <c r="AJ19" s="799"/>
      <c r="AK19" s="799"/>
      <c r="AL19" s="799"/>
      <c r="AM19" s="799"/>
      <c r="AN19" s="799"/>
      <c r="AO19" s="799"/>
      <c r="AP19" s="800"/>
    </row>
    <row r="20" spans="1:45" ht="20.100000000000001" customHeight="1" thickBot="1" x14ac:dyDescent="0.35">
      <c r="A20" s="29"/>
      <c r="B20" s="43"/>
      <c r="C20" s="43"/>
      <c r="D20" s="43"/>
      <c r="E20" s="29"/>
      <c r="F20" s="29"/>
      <c r="G20" s="29"/>
      <c r="H20" s="45"/>
      <c r="I20" s="45"/>
      <c r="J20" s="274"/>
      <c r="K20" s="275"/>
      <c r="L20" s="275"/>
      <c r="M20" s="275"/>
      <c r="N20" s="275"/>
      <c r="O20" s="275"/>
      <c r="P20" s="275"/>
      <c r="Q20" s="275"/>
      <c r="R20" s="851" t="s">
        <v>416</v>
      </c>
      <c r="S20" s="874"/>
      <c r="T20" s="77">
        <v>0</v>
      </c>
      <c r="U20" s="875">
        <v>1.5</v>
      </c>
      <c r="V20" s="875"/>
      <c r="W20" s="875"/>
      <c r="X20" s="9"/>
      <c r="Y20" s="453">
        <f t="shared" si="2"/>
        <v>0</v>
      </c>
      <c r="Z20" s="458">
        <f t="shared" si="3"/>
        <v>0</v>
      </c>
      <c r="AA20" s="886"/>
      <c r="AB20" s="281"/>
      <c r="AC20" s="11"/>
      <c r="AD20" s="213"/>
      <c r="AE20" s="213"/>
      <c r="AF20" s="793"/>
      <c r="AG20" s="792" t="s">
        <v>641</v>
      </c>
      <c r="AH20" s="796"/>
      <c r="AI20" s="798" t="s">
        <v>664</v>
      </c>
      <c r="AJ20" s="799"/>
      <c r="AK20" s="799"/>
      <c r="AL20" s="799"/>
      <c r="AM20" s="799"/>
      <c r="AN20" s="799"/>
      <c r="AO20" s="799"/>
      <c r="AP20" s="800"/>
    </row>
    <row r="21" spans="1:45" ht="20.100000000000001" customHeight="1" thickBot="1" x14ac:dyDescent="0.35">
      <c r="A21" s="290" t="s">
        <v>423</v>
      </c>
      <c r="B21" s="252" t="s">
        <v>522</v>
      </c>
      <c r="C21" s="289" t="s">
        <v>521</v>
      </c>
      <c r="D21" s="289" t="s">
        <v>424</v>
      </c>
      <c r="E21" s="891" t="s">
        <v>514</v>
      </c>
      <c r="F21" s="891"/>
      <c r="G21" s="289" t="s">
        <v>519</v>
      </c>
      <c r="H21" s="287" t="s">
        <v>520</v>
      </c>
      <c r="I21" s="287" t="s">
        <v>525</v>
      </c>
      <c r="J21" s="287" t="s">
        <v>425</v>
      </c>
      <c r="K21" s="287" t="s">
        <v>426</v>
      </c>
      <c r="L21" s="287" t="s">
        <v>721</v>
      </c>
      <c r="M21" s="287" t="s">
        <v>621</v>
      </c>
      <c r="N21" s="287" t="s">
        <v>687</v>
      </c>
      <c r="O21" s="287" t="s">
        <v>1110</v>
      </c>
      <c r="P21" s="288" t="s">
        <v>1107</v>
      </c>
      <c r="Q21" s="44"/>
      <c r="R21" s="851" t="s">
        <v>417</v>
      </c>
      <c r="S21" s="874"/>
      <c r="T21" s="77">
        <v>0</v>
      </c>
      <c r="U21" s="875">
        <v>2</v>
      </c>
      <c r="V21" s="875"/>
      <c r="W21" s="875"/>
      <c r="X21" s="9"/>
      <c r="Y21" s="453">
        <f t="shared" si="2"/>
        <v>0</v>
      </c>
      <c r="Z21" s="458">
        <f t="shared" si="3"/>
        <v>0</v>
      </c>
      <c r="AA21" s="886"/>
      <c r="AB21" s="281"/>
      <c r="AC21" s="11"/>
      <c r="AD21" s="213"/>
      <c r="AE21" s="213"/>
      <c r="AF21" s="794"/>
      <c r="AG21" s="794"/>
      <c r="AH21" s="797"/>
      <c r="AI21" s="284">
        <v>3</v>
      </c>
      <c r="AJ21" s="284">
        <v>2.4</v>
      </c>
      <c r="AK21" s="284">
        <v>1.8</v>
      </c>
      <c r="AL21" s="284">
        <v>1.5</v>
      </c>
      <c r="AM21" s="284">
        <v>1.2</v>
      </c>
      <c r="AN21" s="284">
        <v>0.9</v>
      </c>
      <c r="AO21" s="284">
        <v>0.75</v>
      </c>
      <c r="AP21" s="284">
        <v>0.6</v>
      </c>
    </row>
    <row r="22" spans="1:45" ht="20.100000000000001" customHeight="1" x14ac:dyDescent="0.3">
      <c r="A22" s="320" t="s">
        <v>428</v>
      </c>
      <c r="B22" s="463" t="s">
        <v>523</v>
      </c>
      <c r="C22" s="464">
        <v>0.1</v>
      </c>
      <c r="D22" s="464">
        <v>10000</v>
      </c>
      <c r="E22" s="890">
        <f t="shared" ref="E22:E23" si="4">IF(H22&gt;0,1.3*((H22*G22)^0.625)/((H22+G22)^0.25),G22)</f>
        <v>667.31463560602242</v>
      </c>
      <c r="F22" s="890"/>
      <c r="G22" s="464">
        <v>500</v>
      </c>
      <c r="H22" s="454">
        <f>IF(D22&gt;0,(1.0936*EXP(-1.2*LN((G22/10)/2.54)-2.3)*D22/((G22/10)*((D22/3600)^0.61/0.001026*(IF(B22="E",C22,$H$18)))^(1/2.51))+1)*2.7778*D22/((G22/10)*((D22/3600)^0.61/0.001026*(IF(B22="E",C22,$H$18)))^(1/2.51))," ")*10</f>
        <v>753.08017648151861</v>
      </c>
      <c r="I22" s="456">
        <f t="shared" ref="I22:I23" si="5">(IF(B22="E",C22,$H$18))*K22</f>
        <v>1</v>
      </c>
      <c r="J22" s="456">
        <f t="shared" ref="J22:J80" si="6">IF(E22&gt;0,+D22/(3600*PI()*(E22/100)^2/4)," ")*100</f>
        <v>7.9423005593471609</v>
      </c>
      <c r="K22" s="468">
        <v>10</v>
      </c>
      <c r="L22" s="456">
        <f t="shared" ref="L22:L23" si="7">SUM(2*H22,2*G22)</f>
        <v>2506.1603529630374</v>
      </c>
      <c r="M22" s="476">
        <f t="shared" ref="M22:M80" si="8">IF(AD22&lt;=250,$AF$23,IF(AD22&lt;300,$AF$24,IF(AD22&lt;350,$AF$25,IF(AD22&lt;400,$AF$26,IF(AD22&lt;450,$AF$27,IF(AD22&lt;500,$AF$28,IF(AD22&lt;550,$AF$29,IF(AD22&lt;600,$AF$30,IF(AD22&lt;650,$AF$31,IF(AD22&lt;700,$AF$32,IF(AD22&lt;750,$AF$33,IF(AD22&lt;900,$AF$34,IF(AD22&lt;1000,$AF$35,IF(AD22&lt;1200,$AF$36,IF(AD22&lt;1300,$AF$37,IF(AD22&lt;1500,$AF$38,IF(AD22&lt;1800,$AF$39,"16")))))))))))))))))</f>
        <v>16</v>
      </c>
      <c r="N22" s="477">
        <f>INT(K22/$O$14)</f>
        <v>5</v>
      </c>
      <c r="O22" s="271">
        <f>K22/1.1*2</f>
        <v>18.18181818181818</v>
      </c>
      <c r="P22" s="271">
        <f>(K22/1.1)*2*((G22/1000)+0.5)</f>
        <v>18.18181818181818</v>
      </c>
      <c r="Q22" s="44"/>
      <c r="R22" s="851" t="s">
        <v>418</v>
      </c>
      <c r="S22" s="874"/>
      <c r="T22" s="77">
        <v>0</v>
      </c>
      <c r="U22" s="875">
        <v>0.9</v>
      </c>
      <c r="V22" s="875"/>
      <c r="W22" s="875"/>
      <c r="X22" s="9"/>
      <c r="Y22" s="453">
        <f t="shared" si="2"/>
        <v>0</v>
      </c>
      <c r="Z22" s="458">
        <f t="shared" si="3"/>
        <v>0</v>
      </c>
      <c r="AA22" s="886"/>
      <c r="AB22" s="281"/>
      <c r="AC22" s="11"/>
      <c r="AD22" s="213">
        <f>LARGE(G22:H22,1)</f>
        <v>753.08017648151861</v>
      </c>
      <c r="AE22" s="213"/>
      <c r="AF22" s="38">
        <v>0</v>
      </c>
      <c r="AG22" s="38">
        <v>1</v>
      </c>
      <c r="AH22" s="38">
        <v>2</v>
      </c>
      <c r="AI22" s="38">
        <v>3</v>
      </c>
      <c r="AJ22" s="38">
        <v>4</v>
      </c>
      <c r="AK22" s="38">
        <v>5</v>
      </c>
      <c r="AL22" s="38">
        <v>6</v>
      </c>
      <c r="AM22" s="38">
        <v>7</v>
      </c>
      <c r="AN22" s="38">
        <v>8</v>
      </c>
      <c r="AO22" s="38">
        <v>9</v>
      </c>
      <c r="AP22" s="38">
        <v>10</v>
      </c>
      <c r="AR22">
        <f>IF(M22=$R$34,$U$34,IF(M22=$R$35,$U$35,IF(M22=$R$36,$U$36,IF(M22=$R$37,$U$37,IF(M22=$R$38,$U$38,IF(M22=$R$39,$U$39,"ERRO"))))))</f>
        <v>12.81</v>
      </c>
      <c r="AS22">
        <f>AR22*K22*L22/1000</f>
        <v>321.03914121456506</v>
      </c>
    </row>
    <row r="23" spans="1:45" ht="20.100000000000001" customHeight="1" x14ac:dyDescent="0.3">
      <c r="A23" s="273" t="s">
        <v>535</v>
      </c>
      <c r="B23" s="465" t="s">
        <v>523</v>
      </c>
      <c r="C23" s="464">
        <v>0.1</v>
      </c>
      <c r="D23" s="464">
        <v>1000</v>
      </c>
      <c r="E23" s="889">
        <f t="shared" si="4"/>
        <v>266.14885931675502</v>
      </c>
      <c r="F23" s="889"/>
      <c r="G23" s="464">
        <v>400</v>
      </c>
      <c r="H23" s="455">
        <f t="shared" ref="H23:H80" si="9">IF(D23&gt;0,(1.0936*EXP(-1.2*LN((G23/10)/2.54)-2.3)*D23/((G23/10)*((D23/3600)^0.61/0.001026*(IF(B23="E",C23,$H$18)))^(1/2.51))+1)*2.7778*D23/((G23/10)*((D23/3600)^0.61/0.001026*(IF(B23="E",C23,$H$18)))^(1/2.51))," ")*10</f>
        <v>156.29783712804587</v>
      </c>
      <c r="I23" s="453">
        <f t="shared" si="5"/>
        <v>0</v>
      </c>
      <c r="J23" s="456">
        <f t="shared" si="6"/>
        <v>4.9929635950070104</v>
      </c>
      <c r="K23" s="77">
        <v>0</v>
      </c>
      <c r="L23" s="453">
        <f t="shared" si="7"/>
        <v>1112.5956742560918</v>
      </c>
      <c r="M23" s="476">
        <f t="shared" si="8"/>
        <v>22</v>
      </c>
      <c r="N23" s="477">
        <f t="shared" ref="N23:N80" si="10">INT(K23/$O$14)</f>
        <v>0</v>
      </c>
      <c r="O23" s="271">
        <f t="shared" ref="O23:O80" si="11">K23/1.1*2</f>
        <v>0</v>
      </c>
      <c r="P23" s="271">
        <f t="shared" ref="P23:P80" si="12">(K23/1.1)*2*((G23/1000)+0.5)</f>
        <v>0</v>
      </c>
      <c r="Q23" s="44"/>
      <c r="R23" s="851" t="s">
        <v>419</v>
      </c>
      <c r="S23" s="874"/>
      <c r="T23" s="77">
        <v>0</v>
      </c>
      <c r="U23" s="875">
        <v>5</v>
      </c>
      <c r="V23" s="875"/>
      <c r="W23" s="875"/>
      <c r="X23" s="9"/>
      <c r="Y23" s="453">
        <f t="shared" si="2"/>
        <v>0</v>
      </c>
      <c r="Z23" s="458">
        <f t="shared" si="3"/>
        <v>0</v>
      </c>
      <c r="AA23" s="886"/>
      <c r="AB23" s="281"/>
      <c r="AC23" s="11"/>
      <c r="AD23" s="213">
        <f t="shared" ref="AD23:AD80" si="13">LARGE(G23:H23,1)</f>
        <v>400</v>
      </c>
      <c r="AE23" s="213"/>
      <c r="AF23" s="13">
        <f t="shared" ref="AF23:AP23" si="14">IF($AF$18=$AD$216,AD221,IF($AF$18=$AD$238,AD243,IF($AF$18=$AD$260,AD265,"ERRO")))</f>
        <v>24</v>
      </c>
      <c r="AG23" s="13" t="str">
        <f t="shared" si="14"/>
        <v>Até 250</v>
      </c>
      <c r="AH23" s="13">
        <f t="shared" si="14"/>
        <v>0.55000000000000004</v>
      </c>
      <c r="AI23" s="13" t="str">
        <f t="shared" si="14"/>
        <v>N/A</v>
      </c>
      <c r="AJ23" s="13" t="str">
        <f t="shared" si="14"/>
        <v>N/A</v>
      </c>
      <c r="AK23" s="13" t="str">
        <f t="shared" si="14"/>
        <v>N/A</v>
      </c>
      <c r="AL23" s="13" t="str">
        <f t="shared" si="14"/>
        <v>N/A</v>
      </c>
      <c r="AM23" s="13" t="str">
        <f t="shared" si="14"/>
        <v>N/A</v>
      </c>
      <c r="AN23" s="13" t="str">
        <f t="shared" si="14"/>
        <v>N/A</v>
      </c>
      <c r="AO23" s="13" t="str">
        <f t="shared" si="14"/>
        <v>N/A</v>
      </c>
      <c r="AP23" s="13" t="str">
        <f t="shared" si="14"/>
        <v>N/A</v>
      </c>
      <c r="AR23">
        <f t="shared" ref="AR23:AR80" si="15">IF(M23=$R$34,$U$34,IF(M23=$R$35,$U$35,IF(M23=$R$36,$U$36,IF(M23=$R$37,$U$37,IF(M23=$R$38,$U$38,IF(M23=$R$39,$U$39,"ERRO"))))))</f>
        <v>6.87</v>
      </c>
      <c r="AS23">
        <f t="shared" ref="AS23:AS80" si="16">AR23*K23*L23/1000</f>
        <v>0</v>
      </c>
    </row>
    <row r="24" spans="1:45" ht="20.100000000000001" customHeight="1" x14ac:dyDescent="0.3">
      <c r="A24" s="273" t="s">
        <v>536</v>
      </c>
      <c r="B24" s="465" t="s">
        <v>523</v>
      </c>
      <c r="C24" s="464">
        <v>0.1</v>
      </c>
      <c r="D24" s="464">
        <v>1000</v>
      </c>
      <c r="E24" s="889">
        <f>IF(H24&gt;0,1.3*((H24*G24)^0.625)/((H24+G24)^0.25),G24)</f>
        <v>266.14885931675502</v>
      </c>
      <c r="F24" s="889"/>
      <c r="G24" s="464">
        <v>400</v>
      </c>
      <c r="H24" s="455">
        <f t="shared" si="9"/>
        <v>156.29783712804587</v>
      </c>
      <c r="I24" s="453">
        <f>(IF(B24="E",C24,$H$18))*K24</f>
        <v>0</v>
      </c>
      <c r="J24" s="456">
        <f t="shared" si="6"/>
        <v>4.9929635950070104</v>
      </c>
      <c r="K24" s="77">
        <v>0</v>
      </c>
      <c r="L24" s="453">
        <f>SUM(2*H24,2*G24)</f>
        <v>1112.5956742560918</v>
      </c>
      <c r="M24" s="476">
        <f t="shared" si="8"/>
        <v>22</v>
      </c>
      <c r="N24" s="477">
        <f t="shared" si="10"/>
        <v>0</v>
      </c>
      <c r="O24" s="271">
        <f t="shared" si="11"/>
        <v>0</v>
      </c>
      <c r="P24" s="271">
        <f t="shared" si="12"/>
        <v>0</v>
      </c>
      <c r="Q24" s="44"/>
      <c r="R24" s="851" t="s">
        <v>420</v>
      </c>
      <c r="S24" s="874"/>
      <c r="T24" s="77">
        <v>0</v>
      </c>
      <c r="U24" s="875">
        <v>6</v>
      </c>
      <c r="V24" s="875"/>
      <c r="W24" s="875"/>
      <c r="X24" s="9"/>
      <c r="Y24" s="453">
        <f t="shared" si="2"/>
        <v>0</v>
      </c>
      <c r="Z24" s="458">
        <f t="shared" si="3"/>
        <v>0</v>
      </c>
      <c r="AA24" s="886"/>
      <c r="AB24" s="281"/>
      <c r="AC24" s="11"/>
      <c r="AD24" s="213">
        <f t="shared" si="13"/>
        <v>400</v>
      </c>
      <c r="AE24" s="213"/>
      <c r="AF24" s="13">
        <f t="shared" ref="AF24:AF39" si="17">IF($AF$18=$AD$216,AD222,IF($AF$18=$AD$238,AD244,IF($AF$18=$AD$260,AD266,"ERRO")))</f>
        <v>24</v>
      </c>
      <c r="AG24" s="13" t="str">
        <f t="shared" ref="AG24:AG39" si="18">IF($AF$18=$AD$216,AE222,IF($AF$18=$AD$238,AE244,IF($AF$18=$AD$260,AE266,"ERRO")))</f>
        <v>251 a 300</v>
      </c>
      <c r="AH24" s="13">
        <f t="shared" ref="AH24:AH39" si="19">IF($AF$18=$AD$216,AF222,IF($AF$18=$AD$238,AF244,IF($AF$18=$AD$260,AF266,"ERRO")))</f>
        <v>0.55000000000000004</v>
      </c>
      <c r="AI24" s="13" t="str">
        <f t="shared" ref="AI24:AI39" si="20">IF($AF$18=$AD$216,AG222,IF($AF$18=$AD$238,AG244,IF($AF$18=$AD$260,AG266,"ERRO")))</f>
        <v>N/A</v>
      </c>
      <c r="AJ24" s="13" t="str">
        <f t="shared" ref="AJ24:AJ39" si="21">IF($AF$18=$AD$216,AH222,IF($AF$18=$AD$238,AH244,IF($AF$18=$AD$260,AH266,"ERRO")))</f>
        <v>N/A</v>
      </c>
      <c r="AK24" s="13" t="str">
        <f t="shared" ref="AK24:AK39" si="22">IF($AF$18=$AD$216,AI222,IF($AF$18=$AD$238,AI244,IF($AF$18=$AD$260,AI266,"ERRO")))</f>
        <v>N/A</v>
      </c>
      <c r="AL24" s="13" t="str">
        <f t="shared" ref="AL24:AL39" si="23">IF($AF$18=$AD$216,AJ222,IF($AF$18=$AD$238,AJ244,IF($AF$18=$AD$260,AJ266,"ERRO")))</f>
        <v>N/A</v>
      </c>
      <c r="AM24" s="13" t="str">
        <f t="shared" ref="AM24:AM39" si="24">IF($AF$18=$AD$216,AK222,IF($AF$18=$AD$238,AK244,IF($AF$18=$AD$260,AK266,"ERRO")))</f>
        <v>N/A</v>
      </c>
      <c r="AN24" s="13" t="str">
        <f t="shared" ref="AN24:AN39" si="25">IF($AF$18=$AD$216,AL222,IF($AF$18=$AD$238,AL244,IF($AF$18=$AD$260,AL266,"ERRO")))</f>
        <v>N/A</v>
      </c>
      <c r="AO24" s="13" t="str">
        <f t="shared" ref="AO24:AO39" si="26">IF($AF$18=$AD$216,AM222,IF($AF$18=$AD$238,AM244,IF($AF$18=$AD$260,AM266,"ERRO")))</f>
        <v>N/A</v>
      </c>
      <c r="AP24" s="13" t="str">
        <f t="shared" ref="AP24:AP39" si="27">IF($AF$18=$AD$216,AN222,IF($AF$18=$AD$238,AN244,IF($AF$18=$AD$260,AN266,"ERRO")))</f>
        <v>N/A</v>
      </c>
      <c r="AR24">
        <f t="shared" si="15"/>
        <v>6.87</v>
      </c>
      <c r="AS24">
        <f t="shared" si="16"/>
        <v>0</v>
      </c>
    </row>
    <row r="25" spans="1:45" ht="20.100000000000001" customHeight="1" x14ac:dyDescent="0.3">
      <c r="A25" s="273" t="s">
        <v>428</v>
      </c>
      <c r="B25" s="465" t="s">
        <v>523</v>
      </c>
      <c r="C25" s="464">
        <v>0.1</v>
      </c>
      <c r="D25" s="464">
        <v>1000</v>
      </c>
      <c r="E25" s="889">
        <f t="shared" ref="E25:E51" si="28">IF(H25&gt;0,1.3*((H25*G25)^0.625)/((H25+G25)^0.25),G25)</f>
        <v>266.14885931675502</v>
      </c>
      <c r="F25" s="889"/>
      <c r="G25" s="464">
        <v>400</v>
      </c>
      <c r="H25" s="455">
        <f t="shared" si="9"/>
        <v>156.29783712804587</v>
      </c>
      <c r="I25" s="453">
        <f t="shared" ref="I25:I51" si="29">(IF(B25="E",C25,$H$18))*K25</f>
        <v>0</v>
      </c>
      <c r="J25" s="456">
        <f t="shared" si="6"/>
        <v>4.9929635950070104</v>
      </c>
      <c r="K25" s="77">
        <v>0</v>
      </c>
      <c r="L25" s="453">
        <f t="shared" ref="L25:L51" si="30">SUM(2*H25,2*G25)</f>
        <v>1112.5956742560918</v>
      </c>
      <c r="M25" s="476">
        <f t="shared" si="8"/>
        <v>22</v>
      </c>
      <c r="N25" s="477">
        <f t="shared" si="10"/>
        <v>0</v>
      </c>
      <c r="O25" s="271">
        <f t="shared" si="11"/>
        <v>0</v>
      </c>
      <c r="P25" s="271">
        <f t="shared" si="12"/>
        <v>0</v>
      </c>
      <c r="Q25" s="44"/>
      <c r="R25" s="851" t="s">
        <v>684</v>
      </c>
      <c r="S25" s="874"/>
      <c r="T25" s="77">
        <v>0</v>
      </c>
      <c r="U25" s="875">
        <v>2.5</v>
      </c>
      <c r="V25" s="875"/>
      <c r="W25" s="875"/>
      <c r="X25" s="9"/>
      <c r="Y25" s="453">
        <f t="shared" si="2"/>
        <v>0</v>
      </c>
      <c r="Z25" s="458">
        <f t="shared" si="3"/>
        <v>0</v>
      </c>
      <c r="AA25" s="886"/>
      <c r="AB25" s="281"/>
      <c r="AC25" s="11"/>
      <c r="AD25" s="213">
        <f t="shared" si="13"/>
        <v>400</v>
      </c>
      <c r="AE25" s="213"/>
      <c r="AF25" s="13">
        <f t="shared" si="17"/>
        <v>24</v>
      </c>
      <c r="AG25" s="13" t="str">
        <f t="shared" si="18"/>
        <v>301 a 350</v>
      </c>
      <c r="AH25" s="13">
        <f t="shared" si="19"/>
        <v>0.55000000000000004</v>
      </c>
      <c r="AI25" s="13" t="str">
        <f t="shared" si="20"/>
        <v>N/A</v>
      </c>
      <c r="AJ25" s="13" t="str">
        <f t="shared" si="21"/>
        <v>B-0,55</v>
      </c>
      <c r="AK25" s="13" t="str">
        <f t="shared" si="22"/>
        <v>B-0,55</v>
      </c>
      <c r="AL25" s="13" t="str">
        <f t="shared" si="23"/>
        <v>B-0,55</v>
      </c>
      <c r="AM25" s="13" t="str">
        <f t="shared" si="24"/>
        <v>B-0,55</v>
      </c>
      <c r="AN25" s="13" t="str">
        <f t="shared" si="25"/>
        <v>B-0,55</v>
      </c>
      <c r="AO25" s="13" t="str">
        <f t="shared" si="26"/>
        <v>B-0,55</v>
      </c>
      <c r="AP25" s="13" t="str">
        <f t="shared" si="27"/>
        <v>B-0,55</v>
      </c>
      <c r="AR25">
        <f t="shared" si="15"/>
        <v>6.87</v>
      </c>
      <c r="AS25">
        <f t="shared" si="16"/>
        <v>0</v>
      </c>
    </row>
    <row r="26" spans="1:45" ht="20.100000000000001" customHeight="1" x14ac:dyDescent="0.3">
      <c r="A26" s="273" t="s">
        <v>428</v>
      </c>
      <c r="B26" s="465" t="s">
        <v>523</v>
      </c>
      <c r="C26" s="464">
        <v>0.1</v>
      </c>
      <c r="D26" s="464">
        <v>1000</v>
      </c>
      <c r="E26" s="889">
        <f t="shared" si="28"/>
        <v>266.14885931675502</v>
      </c>
      <c r="F26" s="889"/>
      <c r="G26" s="464">
        <v>400</v>
      </c>
      <c r="H26" s="455">
        <f t="shared" si="9"/>
        <v>156.29783712804587</v>
      </c>
      <c r="I26" s="453">
        <f t="shared" si="29"/>
        <v>0</v>
      </c>
      <c r="J26" s="456">
        <f t="shared" si="6"/>
        <v>4.9929635950070104</v>
      </c>
      <c r="K26" s="77">
        <v>0</v>
      </c>
      <c r="L26" s="453">
        <f t="shared" si="30"/>
        <v>1112.5956742560918</v>
      </c>
      <c r="M26" s="476">
        <f t="shared" si="8"/>
        <v>22</v>
      </c>
      <c r="N26" s="477">
        <f t="shared" si="10"/>
        <v>0</v>
      </c>
      <c r="O26" s="271">
        <f t="shared" si="11"/>
        <v>0</v>
      </c>
      <c r="P26" s="271">
        <f t="shared" si="12"/>
        <v>0</v>
      </c>
      <c r="Q26" s="44"/>
      <c r="R26" s="887" t="s">
        <v>421</v>
      </c>
      <c r="S26" s="888"/>
      <c r="T26" s="888"/>
      <c r="U26" s="888"/>
      <c r="V26" s="888"/>
      <c r="W26" s="888"/>
      <c r="X26" s="9"/>
      <c r="Y26" s="461">
        <f>I83</f>
        <v>1</v>
      </c>
      <c r="Z26" s="461">
        <f>Y26*10</f>
        <v>10</v>
      </c>
      <c r="AA26" s="886"/>
      <c r="AB26" s="281"/>
      <c r="AC26" s="11"/>
      <c r="AD26" s="213">
        <f t="shared" si="13"/>
        <v>400</v>
      </c>
      <c r="AE26" s="213"/>
      <c r="AF26" s="13">
        <f t="shared" si="17"/>
        <v>24</v>
      </c>
      <c r="AG26" s="13" t="str">
        <f t="shared" si="18"/>
        <v>351 a 400</v>
      </c>
      <c r="AH26" s="13">
        <f t="shared" si="19"/>
        <v>0.55000000000000004</v>
      </c>
      <c r="AI26" s="13" t="str">
        <f t="shared" si="20"/>
        <v>N/A</v>
      </c>
      <c r="AJ26" s="13" t="str">
        <f t="shared" si="21"/>
        <v>C-0,55</v>
      </c>
      <c r="AK26" s="13" t="str">
        <f t="shared" si="22"/>
        <v>C-0,55</v>
      </c>
      <c r="AL26" s="13" t="str">
        <f t="shared" si="23"/>
        <v>C-0,55</v>
      </c>
      <c r="AM26" s="13" t="str">
        <f t="shared" si="24"/>
        <v>C-0,55</v>
      </c>
      <c r="AN26" s="13" t="str">
        <f t="shared" si="25"/>
        <v>C-0,55</v>
      </c>
      <c r="AO26" s="13" t="str">
        <f t="shared" si="26"/>
        <v>B-0,55</v>
      </c>
      <c r="AP26" s="13" t="str">
        <f t="shared" si="27"/>
        <v>B-0,55</v>
      </c>
      <c r="AR26">
        <f t="shared" si="15"/>
        <v>6.87</v>
      </c>
      <c r="AS26">
        <f t="shared" si="16"/>
        <v>0</v>
      </c>
    </row>
    <row r="27" spans="1:45" ht="20.100000000000001" customHeight="1" thickBot="1" x14ac:dyDescent="0.35">
      <c r="A27" s="273" t="s">
        <v>428</v>
      </c>
      <c r="B27" s="465" t="s">
        <v>523</v>
      </c>
      <c r="C27" s="464">
        <v>0.1</v>
      </c>
      <c r="D27" s="464">
        <v>1000</v>
      </c>
      <c r="E27" s="889">
        <f t="shared" si="28"/>
        <v>266.14885931675502</v>
      </c>
      <c r="F27" s="889"/>
      <c r="G27" s="464">
        <v>400</v>
      </c>
      <c r="H27" s="455">
        <f t="shared" si="9"/>
        <v>156.29783712804587</v>
      </c>
      <c r="I27" s="453">
        <f t="shared" si="29"/>
        <v>0</v>
      </c>
      <c r="J27" s="456">
        <f t="shared" si="6"/>
        <v>4.9929635950070104</v>
      </c>
      <c r="K27" s="77">
        <v>0</v>
      </c>
      <c r="L27" s="453">
        <f t="shared" si="30"/>
        <v>1112.5956742560918</v>
      </c>
      <c r="M27" s="476">
        <f t="shared" si="8"/>
        <v>22</v>
      </c>
      <c r="N27" s="477">
        <f t="shared" si="10"/>
        <v>0</v>
      </c>
      <c r="O27" s="271">
        <f t="shared" si="11"/>
        <v>0</v>
      </c>
      <c r="P27" s="271">
        <f t="shared" si="12"/>
        <v>0</v>
      </c>
      <c r="Q27" s="44"/>
      <c r="R27" s="946" t="s">
        <v>422</v>
      </c>
      <c r="S27" s="947"/>
      <c r="T27" s="947"/>
      <c r="U27" s="947"/>
      <c r="V27" s="947"/>
      <c r="W27" s="947"/>
      <c r="X27" s="218"/>
      <c r="Y27" s="462">
        <f>SUM(Y13:Y25)</f>
        <v>29.011111111111109</v>
      </c>
      <c r="Z27" s="461">
        <f>SUM(Z13:Z25)</f>
        <v>290.11111111111109</v>
      </c>
      <c r="AA27" s="886"/>
      <c r="AB27" s="281"/>
      <c r="AC27" s="11"/>
      <c r="AD27" s="213">
        <f t="shared" si="13"/>
        <v>400</v>
      </c>
      <c r="AE27" s="213"/>
      <c r="AF27" s="13">
        <f t="shared" si="17"/>
        <v>22</v>
      </c>
      <c r="AG27" s="13" t="str">
        <f t="shared" si="18"/>
        <v>401 a 450</v>
      </c>
      <c r="AH27" s="13">
        <f t="shared" si="19"/>
        <v>0.7</v>
      </c>
      <c r="AI27" s="13" t="str">
        <f t="shared" si="20"/>
        <v>N/A</v>
      </c>
      <c r="AJ27" s="13" t="str">
        <f t="shared" si="21"/>
        <v>C-0,55</v>
      </c>
      <c r="AK27" s="13" t="str">
        <f t="shared" si="22"/>
        <v>C-0,55</v>
      </c>
      <c r="AL27" s="13" t="str">
        <f t="shared" si="23"/>
        <v>C-0,55</v>
      </c>
      <c r="AM27" s="13" t="str">
        <f t="shared" si="24"/>
        <v>C-0,55</v>
      </c>
      <c r="AN27" s="13" t="str">
        <f t="shared" si="25"/>
        <v>C-0,55</v>
      </c>
      <c r="AO27" s="13" t="str">
        <f t="shared" si="26"/>
        <v>C-0,55</v>
      </c>
      <c r="AP27" s="13" t="str">
        <f t="shared" si="27"/>
        <v>B-0,55</v>
      </c>
      <c r="AR27">
        <f t="shared" si="15"/>
        <v>6.87</v>
      </c>
      <c r="AS27">
        <f t="shared" si="16"/>
        <v>0</v>
      </c>
    </row>
    <row r="28" spans="1:45" ht="20.100000000000001" customHeight="1" x14ac:dyDescent="0.3">
      <c r="A28" s="273" t="s">
        <v>428</v>
      </c>
      <c r="B28" s="465" t="s">
        <v>523</v>
      </c>
      <c r="C28" s="464">
        <v>0.1</v>
      </c>
      <c r="D28" s="464">
        <v>1000</v>
      </c>
      <c r="E28" s="889">
        <f t="shared" si="28"/>
        <v>266.14885931675502</v>
      </c>
      <c r="F28" s="889"/>
      <c r="G28" s="464">
        <v>400</v>
      </c>
      <c r="H28" s="455">
        <f t="shared" si="9"/>
        <v>156.29783712804587</v>
      </c>
      <c r="I28" s="453">
        <f t="shared" si="29"/>
        <v>0</v>
      </c>
      <c r="J28" s="456">
        <f t="shared" si="6"/>
        <v>4.9929635950070104</v>
      </c>
      <c r="K28" s="77">
        <v>0</v>
      </c>
      <c r="L28" s="453">
        <f t="shared" si="30"/>
        <v>1112.5956742560918</v>
      </c>
      <c r="M28" s="476">
        <f>IF(AD28&lt;=250,$AF$23,IF(AD28&lt;300,$AF$24,IF(AD28&lt;350,$AF$25,IF(AD28&lt;400,$AF$26,IF(AD28&lt;450,$AF$27,IF(AD28&lt;500,$AF$28,IF(AD28&lt;550,$AF$29,IF(AD28&lt;600,$AF$30,IF(AD28&lt;650,$AF$31,IF(AD28&lt;700,$AF$32,IF(AD28&lt;750,$AF$33,IF(AD28&lt;900,$AF$34,IF(AD28&lt;1000,$AF$35,IF(AD28&lt;1200,$AF$36,IF(AD28&lt;1300,$AF$37,IF(AD28&lt;1500,$AF$38,IF(AD28&lt;1800,$AF$39,"16")))))))))))))))))</f>
        <v>22</v>
      </c>
      <c r="N28" s="477">
        <f t="shared" si="10"/>
        <v>0</v>
      </c>
      <c r="O28" s="271">
        <f t="shared" si="11"/>
        <v>0</v>
      </c>
      <c r="P28" s="271">
        <f t="shared" si="12"/>
        <v>0</v>
      </c>
      <c r="Q28" s="44"/>
      <c r="R28" s="948" t="s">
        <v>831</v>
      </c>
      <c r="S28" s="949"/>
      <c r="T28" s="949"/>
      <c r="U28" s="949"/>
      <c r="V28" s="949"/>
      <c r="W28" s="949"/>
      <c r="X28" s="220"/>
      <c r="Y28" s="883">
        <f>SUM(Y26:Y27)</f>
        <v>30.011111111111109</v>
      </c>
      <c r="Z28" s="883">
        <f>SUM(Z26:Z27)</f>
        <v>300.11111111111109</v>
      </c>
      <c r="AA28" s="886"/>
      <c r="AB28" s="281"/>
      <c r="AC28" s="11"/>
      <c r="AD28" s="213">
        <f t="shared" si="13"/>
        <v>400</v>
      </c>
      <c r="AE28" s="213"/>
      <c r="AF28" s="13">
        <f t="shared" si="17"/>
        <v>22</v>
      </c>
      <c r="AG28" s="13" t="str">
        <f t="shared" si="18"/>
        <v>451 a 500</v>
      </c>
      <c r="AH28" s="13">
        <f t="shared" si="19"/>
        <v>0.7</v>
      </c>
      <c r="AI28" s="13" t="str">
        <f t="shared" si="20"/>
        <v>C-0,85</v>
      </c>
      <c r="AJ28" s="13" t="str">
        <f t="shared" si="21"/>
        <v>C-0,70</v>
      </c>
      <c r="AK28" s="13" t="str">
        <f t="shared" si="22"/>
        <v>C-0,55</v>
      </c>
      <c r="AL28" s="13" t="str">
        <f t="shared" si="23"/>
        <v>C-0,55</v>
      </c>
      <c r="AM28" s="13" t="str">
        <f t="shared" si="24"/>
        <v>C-0,55</v>
      </c>
      <c r="AN28" s="13" t="str">
        <f t="shared" si="25"/>
        <v>C-0,55</v>
      </c>
      <c r="AO28" s="13" t="str">
        <f t="shared" si="26"/>
        <v>C-0,55</v>
      </c>
      <c r="AP28" s="13" t="str">
        <f t="shared" si="27"/>
        <v>C-0,55</v>
      </c>
      <c r="AR28">
        <f t="shared" si="15"/>
        <v>6.87</v>
      </c>
      <c r="AS28">
        <f t="shared" si="16"/>
        <v>0</v>
      </c>
    </row>
    <row r="29" spans="1:45" ht="20.100000000000001" customHeight="1" thickBot="1" x14ac:dyDescent="0.35">
      <c r="A29" s="273" t="s">
        <v>428</v>
      </c>
      <c r="B29" s="465" t="s">
        <v>523</v>
      </c>
      <c r="C29" s="464">
        <v>0.1</v>
      </c>
      <c r="D29" s="464">
        <v>1000</v>
      </c>
      <c r="E29" s="889">
        <f t="shared" si="28"/>
        <v>266.14885931675502</v>
      </c>
      <c r="F29" s="889"/>
      <c r="G29" s="464">
        <v>400</v>
      </c>
      <c r="H29" s="455">
        <f t="shared" si="9"/>
        <v>156.29783712804587</v>
      </c>
      <c r="I29" s="453">
        <f t="shared" si="29"/>
        <v>0</v>
      </c>
      <c r="J29" s="456">
        <f t="shared" si="6"/>
        <v>4.9929635950070104</v>
      </c>
      <c r="K29" s="77">
        <v>0</v>
      </c>
      <c r="L29" s="453">
        <f t="shared" si="30"/>
        <v>1112.5956742560918</v>
      </c>
      <c r="M29" s="476">
        <f t="shared" si="8"/>
        <v>22</v>
      </c>
      <c r="N29" s="477">
        <f t="shared" si="10"/>
        <v>0</v>
      </c>
      <c r="O29" s="271">
        <f t="shared" si="11"/>
        <v>0</v>
      </c>
      <c r="P29" s="271">
        <f t="shared" si="12"/>
        <v>0</v>
      </c>
      <c r="Q29" s="44"/>
      <c r="R29" s="950"/>
      <c r="S29" s="951"/>
      <c r="T29" s="951"/>
      <c r="U29" s="951"/>
      <c r="V29" s="951"/>
      <c r="W29" s="951"/>
      <c r="X29" s="272"/>
      <c r="Y29" s="884"/>
      <c r="Z29" s="884"/>
      <c r="AA29" s="886"/>
      <c r="AB29" s="281"/>
      <c r="AC29" s="11"/>
      <c r="AD29" s="213">
        <f t="shared" si="13"/>
        <v>400</v>
      </c>
      <c r="AE29" s="213"/>
      <c r="AF29" s="13">
        <f t="shared" si="17"/>
        <v>20</v>
      </c>
      <c r="AG29" s="13" t="str">
        <f t="shared" si="18"/>
        <v>501 a 550</v>
      </c>
      <c r="AH29" s="13">
        <f t="shared" si="19"/>
        <v>0.85</v>
      </c>
      <c r="AI29" s="13" t="str">
        <f t="shared" si="20"/>
        <v>D-0,85</v>
      </c>
      <c r="AJ29" s="13" t="str">
        <f t="shared" si="21"/>
        <v>D-0,70</v>
      </c>
      <c r="AK29" s="13" t="str">
        <f t="shared" si="22"/>
        <v>D-0,55</v>
      </c>
      <c r="AL29" s="13" t="str">
        <f t="shared" si="23"/>
        <v>D-0,55</v>
      </c>
      <c r="AM29" s="13" t="str">
        <f t="shared" si="24"/>
        <v>C-0,55</v>
      </c>
      <c r="AN29" s="13" t="str">
        <f t="shared" si="25"/>
        <v>C-0,55</v>
      </c>
      <c r="AO29" s="13" t="str">
        <f t="shared" si="26"/>
        <v>C-0,55</v>
      </c>
      <c r="AP29" s="13" t="str">
        <f t="shared" si="27"/>
        <v>C-0,55</v>
      </c>
      <c r="AR29">
        <f t="shared" si="15"/>
        <v>6.87</v>
      </c>
      <c r="AS29">
        <f t="shared" si="16"/>
        <v>0</v>
      </c>
    </row>
    <row r="30" spans="1:45" ht="20.100000000000001" customHeight="1" x14ac:dyDescent="0.3">
      <c r="A30" s="273" t="s">
        <v>428</v>
      </c>
      <c r="B30" s="465" t="s">
        <v>523</v>
      </c>
      <c r="C30" s="464">
        <v>0.1</v>
      </c>
      <c r="D30" s="464">
        <v>1000</v>
      </c>
      <c r="E30" s="889">
        <f t="shared" si="28"/>
        <v>266.14885931675502</v>
      </c>
      <c r="F30" s="889"/>
      <c r="G30" s="464">
        <v>400</v>
      </c>
      <c r="H30" s="455">
        <f t="shared" si="9"/>
        <v>156.29783712804587</v>
      </c>
      <c r="I30" s="453">
        <f t="shared" si="29"/>
        <v>0</v>
      </c>
      <c r="J30" s="456">
        <f t="shared" si="6"/>
        <v>4.9929635950070104</v>
      </c>
      <c r="K30" s="77">
        <v>0</v>
      </c>
      <c r="L30" s="453">
        <f t="shared" si="30"/>
        <v>1112.5956742560918</v>
      </c>
      <c r="M30" s="476">
        <f t="shared" si="8"/>
        <v>22</v>
      </c>
      <c r="N30" s="477">
        <f t="shared" si="10"/>
        <v>0</v>
      </c>
      <c r="O30" s="271">
        <f t="shared" si="11"/>
        <v>0</v>
      </c>
      <c r="P30" s="271">
        <f t="shared" si="12"/>
        <v>0</v>
      </c>
      <c r="Q30" s="44"/>
      <c r="R30" s="280"/>
      <c r="S30" s="280"/>
      <c r="T30" s="280"/>
      <c r="U30" s="280"/>
      <c r="V30" s="280"/>
      <c r="W30" s="280"/>
      <c r="X30" s="44"/>
      <c r="Y30" s="280"/>
      <c r="Z30" s="280"/>
      <c r="AA30" s="280"/>
      <c r="AB30" s="281"/>
      <c r="AC30" s="11"/>
      <c r="AD30" s="213">
        <f t="shared" si="13"/>
        <v>400</v>
      </c>
      <c r="AE30" s="213"/>
      <c r="AF30" s="13">
        <f t="shared" si="17"/>
        <v>20</v>
      </c>
      <c r="AG30" s="13" t="str">
        <f t="shared" si="18"/>
        <v>551 a 600</v>
      </c>
      <c r="AH30" s="13">
        <f t="shared" si="19"/>
        <v>0.85</v>
      </c>
      <c r="AI30" s="13" t="str">
        <f t="shared" si="20"/>
        <v>E-0,85</v>
      </c>
      <c r="AJ30" s="13" t="str">
        <f t="shared" si="21"/>
        <v>E-0,70</v>
      </c>
      <c r="AK30" s="13" t="str">
        <f t="shared" si="22"/>
        <v>D-0,55</v>
      </c>
      <c r="AL30" s="13" t="str">
        <f t="shared" si="23"/>
        <v>D-0,55</v>
      </c>
      <c r="AM30" s="13" t="str">
        <f t="shared" si="24"/>
        <v>D-0,55</v>
      </c>
      <c r="AN30" s="13" t="str">
        <f t="shared" si="25"/>
        <v>C-0,55</v>
      </c>
      <c r="AO30" s="13" t="str">
        <f t="shared" si="26"/>
        <v>C-0,55</v>
      </c>
      <c r="AP30" s="13" t="str">
        <f t="shared" si="27"/>
        <v>C-0,55</v>
      </c>
      <c r="AR30">
        <f t="shared" si="15"/>
        <v>6.87</v>
      </c>
      <c r="AS30">
        <f t="shared" si="16"/>
        <v>0</v>
      </c>
    </row>
    <row r="31" spans="1:45" ht="20.100000000000001" customHeight="1" thickBot="1" x14ac:dyDescent="0.35">
      <c r="A31" s="273" t="s">
        <v>428</v>
      </c>
      <c r="B31" s="465" t="s">
        <v>523</v>
      </c>
      <c r="C31" s="464">
        <v>0.1</v>
      </c>
      <c r="D31" s="464">
        <v>1000</v>
      </c>
      <c r="E31" s="889">
        <f t="shared" si="28"/>
        <v>266.14885931675502</v>
      </c>
      <c r="F31" s="889"/>
      <c r="G31" s="464">
        <v>400</v>
      </c>
      <c r="H31" s="455">
        <f t="shared" si="9"/>
        <v>156.29783712804587</v>
      </c>
      <c r="I31" s="453">
        <f t="shared" si="29"/>
        <v>0</v>
      </c>
      <c r="J31" s="456">
        <f t="shared" si="6"/>
        <v>4.9929635950070104</v>
      </c>
      <c r="K31" s="77">
        <v>0</v>
      </c>
      <c r="L31" s="453">
        <f t="shared" si="30"/>
        <v>1112.5956742560918</v>
      </c>
      <c r="M31" s="476">
        <f t="shared" si="8"/>
        <v>22</v>
      </c>
      <c r="N31" s="477">
        <f t="shared" si="10"/>
        <v>0</v>
      </c>
      <c r="O31" s="271">
        <f t="shared" si="11"/>
        <v>0</v>
      </c>
      <c r="P31" s="271">
        <f t="shared" si="12"/>
        <v>0</v>
      </c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99"/>
      <c r="AC31" s="3"/>
      <c r="AD31" s="213">
        <f t="shared" si="13"/>
        <v>400</v>
      </c>
      <c r="AE31" s="213"/>
      <c r="AF31" s="13">
        <f t="shared" si="17"/>
        <v>18</v>
      </c>
      <c r="AG31" s="13" t="str">
        <f t="shared" si="18"/>
        <v>601 a 650</v>
      </c>
      <c r="AH31" s="13">
        <f t="shared" si="19"/>
        <v>1</v>
      </c>
      <c r="AI31" s="13" t="str">
        <f t="shared" si="20"/>
        <v>E-0,85</v>
      </c>
      <c r="AJ31" s="13" t="str">
        <f t="shared" si="21"/>
        <v>E-0,85</v>
      </c>
      <c r="AK31" s="13" t="str">
        <f t="shared" si="22"/>
        <v>E-0,70</v>
      </c>
      <c r="AL31" s="13" t="str">
        <f t="shared" si="23"/>
        <v>D-0,55</v>
      </c>
      <c r="AM31" s="13" t="str">
        <f t="shared" si="24"/>
        <v>D-0,55</v>
      </c>
      <c r="AN31" s="13" t="str">
        <f t="shared" si="25"/>
        <v>C-0,55</v>
      </c>
      <c r="AO31" s="13" t="str">
        <f t="shared" si="26"/>
        <v>C-0,55</v>
      </c>
      <c r="AP31" s="13" t="str">
        <f t="shared" si="27"/>
        <v>C-0,55</v>
      </c>
      <c r="AR31">
        <f t="shared" si="15"/>
        <v>6.87</v>
      </c>
      <c r="AS31">
        <f t="shared" si="16"/>
        <v>0</v>
      </c>
    </row>
    <row r="32" spans="1:45" ht="20.100000000000001" customHeight="1" x14ac:dyDescent="0.3">
      <c r="A32" s="273" t="s">
        <v>428</v>
      </c>
      <c r="B32" s="465" t="s">
        <v>523</v>
      </c>
      <c r="C32" s="464">
        <v>0.1</v>
      </c>
      <c r="D32" s="464">
        <v>1000</v>
      </c>
      <c r="E32" s="889">
        <f t="shared" si="28"/>
        <v>266.14885931675502</v>
      </c>
      <c r="F32" s="889"/>
      <c r="G32" s="464">
        <v>400</v>
      </c>
      <c r="H32" s="455">
        <f t="shared" si="9"/>
        <v>156.29783712804587</v>
      </c>
      <c r="I32" s="453">
        <f t="shared" si="29"/>
        <v>0</v>
      </c>
      <c r="J32" s="456">
        <f t="shared" si="6"/>
        <v>4.9929635950070104</v>
      </c>
      <c r="K32" s="77">
        <v>0</v>
      </c>
      <c r="L32" s="453">
        <f t="shared" si="30"/>
        <v>1112.5956742560918</v>
      </c>
      <c r="M32" s="476">
        <f t="shared" si="8"/>
        <v>22</v>
      </c>
      <c r="N32" s="477">
        <f t="shared" si="10"/>
        <v>0</v>
      </c>
      <c r="O32" s="271">
        <f t="shared" si="11"/>
        <v>0</v>
      </c>
      <c r="P32" s="271">
        <f t="shared" si="12"/>
        <v>0</v>
      </c>
      <c r="Q32" s="44"/>
      <c r="R32" s="898" t="s">
        <v>431</v>
      </c>
      <c r="S32" s="899"/>
      <c r="T32" s="899"/>
      <c r="U32" s="899"/>
      <c r="V32" s="899"/>
      <c r="W32" s="899"/>
      <c r="X32" s="899"/>
      <c r="Y32" s="899"/>
      <c r="Z32" s="899"/>
      <c r="AA32" s="900"/>
      <c r="AB32" s="99"/>
      <c r="AC32" s="3"/>
      <c r="AD32" s="213">
        <f t="shared" si="13"/>
        <v>400</v>
      </c>
      <c r="AE32" s="4"/>
      <c r="AF32" s="13">
        <f t="shared" si="17"/>
        <v>16</v>
      </c>
      <c r="AG32" s="13" t="str">
        <f t="shared" si="18"/>
        <v>651 a 700</v>
      </c>
      <c r="AH32" s="13">
        <f t="shared" si="19"/>
        <v>1.31</v>
      </c>
      <c r="AI32" s="13" t="str">
        <f t="shared" si="20"/>
        <v>F-1,00</v>
      </c>
      <c r="AJ32" s="13" t="str">
        <f t="shared" si="21"/>
        <v>E-1,00</v>
      </c>
      <c r="AK32" s="13" t="str">
        <f t="shared" si="22"/>
        <v>E-0,85</v>
      </c>
      <c r="AL32" s="13" t="str">
        <f t="shared" si="23"/>
        <v>E-0,70</v>
      </c>
      <c r="AM32" s="13" t="str">
        <f t="shared" si="24"/>
        <v>D-0,55</v>
      </c>
      <c r="AN32" s="13" t="str">
        <f t="shared" si="25"/>
        <v>D-0,55</v>
      </c>
      <c r="AO32" s="13" t="str">
        <f t="shared" si="26"/>
        <v>C-0,55</v>
      </c>
      <c r="AP32" s="13" t="str">
        <f t="shared" si="27"/>
        <v>C-0,55</v>
      </c>
      <c r="AR32">
        <f t="shared" si="15"/>
        <v>6.87</v>
      </c>
      <c r="AS32">
        <f t="shared" si="16"/>
        <v>0</v>
      </c>
    </row>
    <row r="33" spans="1:45" ht="20.100000000000001" customHeight="1" x14ac:dyDescent="0.3">
      <c r="A33" s="273" t="s">
        <v>428</v>
      </c>
      <c r="B33" s="465" t="s">
        <v>523</v>
      </c>
      <c r="C33" s="464">
        <v>0.1</v>
      </c>
      <c r="D33" s="464">
        <v>1000</v>
      </c>
      <c r="E33" s="889">
        <f t="shared" si="28"/>
        <v>266.14885931675502</v>
      </c>
      <c r="F33" s="889"/>
      <c r="G33" s="464">
        <v>400</v>
      </c>
      <c r="H33" s="455">
        <f t="shared" si="9"/>
        <v>156.29783712804587</v>
      </c>
      <c r="I33" s="453">
        <f t="shared" si="29"/>
        <v>0</v>
      </c>
      <c r="J33" s="456">
        <f t="shared" si="6"/>
        <v>4.9929635950070104</v>
      </c>
      <c r="K33" s="77">
        <v>0</v>
      </c>
      <c r="L33" s="453">
        <f t="shared" si="30"/>
        <v>1112.5956742560918</v>
      </c>
      <c r="M33" s="476">
        <f t="shared" si="8"/>
        <v>22</v>
      </c>
      <c r="N33" s="477">
        <f t="shared" si="10"/>
        <v>0</v>
      </c>
      <c r="O33" s="271">
        <f t="shared" si="11"/>
        <v>0</v>
      </c>
      <c r="P33" s="271">
        <f t="shared" si="12"/>
        <v>0</v>
      </c>
      <c r="Q33" s="44"/>
      <c r="R33" s="901" t="s">
        <v>618</v>
      </c>
      <c r="S33" s="902"/>
      <c r="T33" s="261" t="s">
        <v>619</v>
      </c>
      <c r="U33" s="261" t="s">
        <v>437</v>
      </c>
      <c r="V33" s="229" t="s">
        <v>438</v>
      </c>
      <c r="W33" s="229" t="s">
        <v>439</v>
      </c>
      <c r="X33" s="229"/>
      <c r="Y33" s="892" t="s">
        <v>436</v>
      </c>
      <c r="Z33" s="892"/>
      <c r="AA33" s="893"/>
      <c r="AB33" s="99"/>
      <c r="AC33" s="3"/>
      <c r="AD33" s="213">
        <f t="shared" si="13"/>
        <v>400</v>
      </c>
      <c r="AE33" s="4"/>
      <c r="AF33" s="13">
        <f t="shared" si="17"/>
        <v>16</v>
      </c>
      <c r="AG33" s="13" t="str">
        <f t="shared" si="18"/>
        <v>701 a 750</v>
      </c>
      <c r="AH33" s="13">
        <f t="shared" si="19"/>
        <v>1.31</v>
      </c>
      <c r="AI33" s="13" t="str">
        <f t="shared" si="20"/>
        <v>F-1,00</v>
      </c>
      <c r="AJ33" s="13" t="str">
        <f t="shared" si="21"/>
        <v>F-1,00</v>
      </c>
      <c r="AK33" s="13" t="str">
        <f t="shared" si="22"/>
        <v>E-0,85</v>
      </c>
      <c r="AL33" s="13" t="str">
        <f t="shared" si="23"/>
        <v>E-0,70</v>
      </c>
      <c r="AM33" s="13" t="str">
        <f t="shared" si="24"/>
        <v>E-0,70</v>
      </c>
      <c r="AN33" s="13" t="str">
        <f t="shared" si="25"/>
        <v>D-0,55</v>
      </c>
      <c r="AO33" s="13" t="str">
        <f t="shared" si="26"/>
        <v>D-0,55</v>
      </c>
      <c r="AP33" s="13" t="str">
        <f t="shared" si="27"/>
        <v>C-0,55</v>
      </c>
      <c r="AR33">
        <f t="shared" si="15"/>
        <v>6.87</v>
      </c>
      <c r="AS33">
        <f t="shared" si="16"/>
        <v>0</v>
      </c>
    </row>
    <row r="34" spans="1:45" ht="20.100000000000001" customHeight="1" x14ac:dyDescent="0.3">
      <c r="A34" s="273" t="s">
        <v>428</v>
      </c>
      <c r="B34" s="465" t="s">
        <v>523</v>
      </c>
      <c r="C34" s="464">
        <v>0.1</v>
      </c>
      <c r="D34" s="464">
        <v>1000</v>
      </c>
      <c r="E34" s="889">
        <f t="shared" si="28"/>
        <v>266.14885931675502</v>
      </c>
      <c r="F34" s="889"/>
      <c r="G34" s="464">
        <v>400</v>
      </c>
      <c r="H34" s="455">
        <f t="shared" si="9"/>
        <v>156.29783712804587</v>
      </c>
      <c r="I34" s="453">
        <f t="shared" si="29"/>
        <v>0</v>
      </c>
      <c r="J34" s="456">
        <f t="shared" si="6"/>
        <v>4.9929635950070104</v>
      </c>
      <c r="K34" s="77">
        <v>0</v>
      </c>
      <c r="L34" s="453">
        <f t="shared" si="30"/>
        <v>1112.5956742560918</v>
      </c>
      <c r="M34" s="476">
        <f t="shared" si="8"/>
        <v>22</v>
      </c>
      <c r="N34" s="477">
        <f t="shared" si="10"/>
        <v>0</v>
      </c>
      <c r="O34" s="271">
        <f t="shared" si="11"/>
        <v>0</v>
      </c>
      <c r="P34" s="271">
        <f t="shared" si="12"/>
        <v>0</v>
      </c>
      <c r="Q34" s="44"/>
      <c r="R34" s="894">
        <v>26</v>
      </c>
      <c r="S34" s="895"/>
      <c r="T34" s="9">
        <v>0.5</v>
      </c>
      <c r="U34" s="9">
        <v>4.43</v>
      </c>
      <c r="V34" s="9">
        <f>SUM(IF(M22=26,AS22,0)+IF(M23=26,AS23,0)+IF(M24=26,AS24,0)+IF(M25=26,AS25,0)+IF(M26=26,AS26,0)+IF(M27=26,AS27,0)++IF(M28=26,AS28,0)+IF(M29=26,AS29,0)+IF(M30=26,AS30,0)+IF(M31=26,AS31,0)+IF(M32=26,AS32,0)+IF(M33=26,AS33,0)+IF(M34=26,AS34,0)+IF(M35=26,AS35,0)+IF(M36=26,AS36,0)+IF(M37=26,AS37,0)+IF(M38=26,AS38,0)+IF(M39=26,AS39,0)+IF(M40=26,AS40,0)+IF(M41=26,AS41,0)+IF(M42=26,AS42,0)+IF(M43=26,AS43,0)+IF(M44=26,AS44,0)+IF(M45=26,AS45,0)+IF(M46=26,AS46,0)+IF(M47=26,AS47,0)+IF(M48=26,AS48,0)+IF(M49=26,AS49,0)+IF(M50=26,AS50,0)+IF(M51=26,AS51,0)+IF(M52=26,AS52,0)+IF(M53=26,AS53,0)+IF(M54=26,AS54,0)+IF(M55=26,AS55,0)+IF(M56=26,AS56,0)+IF(M57=26,AS57,0)+IF(M58=26,AS58,0)+IF(M59=26,AS59,0)+IF(M60=26,AS60,0)+IF(M61=26,AS61,0)+IF(M62=26,AS62,0)+IF(M63=26,AS63,0)+IF(M64=26,AS64,0)+IF(M65=26,AS65,0)+IF(M66=26,AS66,0)+IF(M67=26,AS67,0)+IF(M68=26,AS68,0)+IF(M69=26,AS69,0)+IF(M70=26,AS70,0)+IF(M71=26,AS71,0)+IF(M72=26,AS72,0)+IF(M73=26,AS73,0)+IF(M74=26,AS74,0)+IF(M75=26,AS75,0)+IF(M76=26,AS76,0)+IF(M77=26,AS77,0)+IF(M78=26,AS78,0)+IF(M79=26,AS79,0)+IF(M80=26,AS80,0))</f>
        <v>0</v>
      </c>
      <c r="W34" s="398">
        <v>1.2</v>
      </c>
      <c r="X34" s="212"/>
      <c r="Y34" s="896">
        <f>V34*W34</f>
        <v>0</v>
      </c>
      <c r="Z34" s="896"/>
      <c r="AA34" s="897"/>
      <c r="AB34" s="99"/>
      <c r="AC34" s="3"/>
      <c r="AD34" s="213">
        <f t="shared" si="13"/>
        <v>400</v>
      </c>
      <c r="AE34" s="4"/>
      <c r="AF34" s="13">
        <f t="shared" si="17"/>
        <v>16</v>
      </c>
      <c r="AG34" s="13" t="str">
        <f t="shared" si="18"/>
        <v>751 a 900</v>
      </c>
      <c r="AH34" s="13">
        <f t="shared" si="19"/>
        <v>1.31</v>
      </c>
      <c r="AI34" s="13" t="str">
        <f t="shared" si="20"/>
        <v>G-1,31</v>
      </c>
      <c r="AJ34" s="13" t="str">
        <f t="shared" si="21"/>
        <v>G-1,00</v>
      </c>
      <c r="AK34" s="13" t="str">
        <f t="shared" si="22"/>
        <v>F-0,85</v>
      </c>
      <c r="AL34" s="13" t="str">
        <f t="shared" si="23"/>
        <v>F-0,70</v>
      </c>
      <c r="AM34" s="13" t="str">
        <f t="shared" si="24"/>
        <v>E-0,70</v>
      </c>
      <c r="AN34" s="13" t="str">
        <f t="shared" si="25"/>
        <v>E-0,55</v>
      </c>
      <c r="AO34" s="13" t="str">
        <f t="shared" si="26"/>
        <v>D-0,55</v>
      </c>
      <c r="AP34" s="13" t="str">
        <f t="shared" si="27"/>
        <v>D-0,55</v>
      </c>
      <c r="AR34">
        <f t="shared" si="15"/>
        <v>6.87</v>
      </c>
      <c r="AS34">
        <f t="shared" si="16"/>
        <v>0</v>
      </c>
    </row>
    <row r="35" spans="1:45" ht="20.100000000000001" customHeight="1" x14ac:dyDescent="0.3">
      <c r="A35" s="273" t="s">
        <v>428</v>
      </c>
      <c r="B35" s="465" t="s">
        <v>523</v>
      </c>
      <c r="C35" s="464">
        <v>0.1</v>
      </c>
      <c r="D35" s="464">
        <v>1000</v>
      </c>
      <c r="E35" s="889">
        <f t="shared" si="28"/>
        <v>266.14885931675502</v>
      </c>
      <c r="F35" s="889"/>
      <c r="G35" s="464">
        <v>400</v>
      </c>
      <c r="H35" s="455">
        <f t="shared" si="9"/>
        <v>156.29783712804587</v>
      </c>
      <c r="I35" s="453">
        <f t="shared" si="29"/>
        <v>0</v>
      </c>
      <c r="J35" s="456">
        <f t="shared" si="6"/>
        <v>4.9929635950070104</v>
      </c>
      <c r="K35" s="77">
        <v>0</v>
      </c>
      <c r="L35" s="453">
        <f t="shared" si="30"/>
        <v>1112.5956742560918</v>
      </c>
      <c r="M35" s="476">
        <f t="shared" si="8"/>
        <v>22</v>
      </c>
      <c r="N35" s="477">
        <f t="shared" si="10"/>
        <v>0</v>
      </c>
      <c r="O35" s="271">
        <f t="shared" si="11"/>
        <v>0</v>
      </c>
      <c r="P35" s="271">
        <f t="shared" si="12"/>
        <v>0</v>
      </c>
      <c r="Q35" s="44"/>
      <c r="R35" s="894">
        <v>24</v>
      </c>
      <c r="S35" s="895"/>
      <c r="T35" s="9">
        <v>0.65</v>
      </c>
      <c r="U35" s="9">
        <v>5.65</v>
      </c>
      <c r="V35" s="9">
        <f>SUM(IF(M22=24,AS22,0)+IF(M23=24,AS23,0)+IF(M24=24,AS24,0)+IF(M25=24,AS25,0)+IF(M26=24,AS26,0)+IF(M27=24,AS27,0)+IF(M28=24,AS28,0)+IF(M29=24,AS29,0)+IF(M30=24,AS30,0)+IF(M31=24,AS31,0)+IF(M32=24,AS32,0)+IF(M33=24,AS33,0)+IF(M34=24,AS34,0)+IF(M35=24,AS35,0)+IF(M36=24,AS36,0)+IF(M37=24,AS37,0)+IF(M38=24,AS38,0)+IF(M39=24,AS39,0)+IF(M40=24,AS40,0)+IF(M41=24,AS41,0)+IF(M42=24,AS42,0)+IF(M43=24,AS43,0)+IF(M44=24,AS44,0)+IF(M45=24,AS45,0)+IF(M46=24,AS46,0)+IF(M47=24,AS47,0)+IF(M48=24,AS48,0)+IF(M49=24,AS49,0)+IF(M50=24,AS50,0)+IF(M51=24,AS51,0)+IF(M52=24,AS52,0)+IF(M53=24,AS53,0)+IF(M54=24,AS54,0)+IF(M55=24,AS55,0)+IF(M56=24,AS56,0)+IF(M57=24,AS57,0)+IF(M58=24,AS58,0)+IF(M59=24,AS59,0)+IF(M60=24,AS60,0)+IF(M61=24,AS61,0)+IF(M62=24,AS62,0)+IF(M63=24,AS63,0)+IF(M64=24,AS64,0)+IF(M65=24,AS65,0)+IF(M66=24,AS66,0)+IF(M67=24,AS67,0)+IF(M68=24,AS68,0)+IF(M69=24,AS69,0)+IF(M70=24,AS70,0)+IF(M71=24,AS71,0)+IF(M72=24,AS72,0)+IF(M73=24,AS73,0)+IF(M74=24,AS74,0)+IF(M75=24,AS75,0)+IF(M76=24,AS76,0)+IF(M77=24,AS77,0)+IF(M78=24,AS78,0)+IF(M79=24,AS79,0)+IF(M80=24,AS80,0))</f>
        <v>0</v>
      </c>
      <c r="W35" s="398">
        <v>1.2</v>
      </c>
      <c r="X35" s="212"/>
      <c r="Y35" s="896">
        <f t="shared" ref="Y35:Y39" si="31">V35*W35</f>
        <v>0</v>
      </c>
      <c r="Z35" s="896"/>
      <c r="AA35" s="897"/>
      <c r="AB35" s="99"/>
      <c r="AC35" s="3"/>
      <c r="AD35" s="213">
        <f t="shared" si="13"/>
        <v>400</v>
      </c>
      <c r="AE35" s="4"/>
      <c r="AF35" s="13" t="str">
        <f t="shared" si="17"/>
        <v>N/A</v>
      </c>
      <c r="AG35" s="13" t="str">
        <f t="shared" si="18"/>
        <v>901 a 1000</v>
      </c>
      <c r="AH35" s="13" t="str">
        <f t="shared" si="19"/>
        <v>N/A</v>
      </c>
      <c r="AI35" s="13" t="str">
        <f t="shared" si="20"/>
        <v>H-1,31</v>
      </c>
      <c r="AJ35" s="13" t="str">
        <f t="shared" si="21"/>
        <v>H-1,31</v>
      </c>
      <c r="AK35" s="13" t="str">
        <f t="shared" si="22"/>
        <v>G-1,00</v>
      </c>
      <c r="AL35" s="13" t="str">
        <f t="shared" si="23"/>
        <v>G-0,85</v>
      </c>
      <c r="AM35" s="13" t="str">
        <f t="shared" si="24"/>
        <v>F-0,70</v>
      </c>
      <c r="AN35" s="13" t="str">
        <f t="shared" si="25"/>
        <v>E-0,70</v>
      </c>
      <c r="AO35" s="13" t="str">
        <f t="shared" si="26"/>
        <v>E-0,55</v>
      </c>
      <c r="AP35" s="13" t="str">
        <f t="shared" si="27"/>
        <v>E-0,55</v>
      </c>
      <c r="AR35">
        <f t="shared" si="15"/>
        <v>6.87</v>
      </c>
      <c r="AS35">
        <f t="shared" si="16"/>
        <v>0</v>
      </c>
    </row>
    <row r="36" spans="1:45" ht="20.100000000000001" customHeight="1" x14ac:dyDescent="0.3">
      <c r="A36" s="273" t="s">
        <v>428</v>
      </c>
      <c r="B36" s="465" t="s">
        <v>523</v>
      </c>
      <c r="C36" s="466">
        <v>1</v>
      </c>
      <c r="D36" s="464">
        <v>1000</v>
      </c>
      <c r="E36" s="889">
        <f t="shared" si="28"/>
        <v>155.89304620553781</v>
      </c>
      <c r="F36" s="889"/>
      <c r="G36" s="464">
        <v>400</v>
      </c>
      <c r="H36" s="455">
        <f t="shared" si="9"/>
        <v>61.641825889714397</v>
      </c>
      <c r="I36" s="453">
        <f t="shared" si="29"/>
        <v>0</v>
      </c>
      <c r="J36" s="456">
        <f t="shared" si="6"/>
        <v>14.553053673011956</v>
      </c>
      <c r="K36" s="77">
        <v>0</v>
      </c>
      <c r="L36" s="453">
        <f t="shared" si="30"/>
        <v>923.28365177942874</v>
      </c>
      <c r="M36" s="476">
        <f t="shared" si="8"/>
        <v>22</v>
      </c>
      <c r="N36" s="477">
        <f t="shared" si="10"/>
        <v>0</v>
      </c>
      <c r="O36" s="271">
        <f t="shared" si="11"/>
        <v>0</v>
      </c>
      <c r="P36" s="271">
        <f t="shared" si="12"/>
        <v>0</v>
      </c>
      <c r="Q36" s="44"/>
      <c r="R36" s="894">
        <v>22</v>
      </c>
      <c r="S36" s="895"/>
      <c r="T36" s="262">
        <v>0.8</v>
      </c>
      <c r="U36" s="9">
        <v>6.87</v>
      </c>
      <c r="V36" s="9">
        <f>SUM(IF(M22=22,AS22,0)+IF(M23=22,AS23,0)+IF(M24=22,AS24,0)+IF(M25=22,AS25,0)+IF(M26=22,AS26,0)+IF(M27=22,AS27,0)+IF(M28=22,AS28,0)+IF(M29=22,AS29,0)++IF(M30=22,AS30,0)+IF(M31=22,AS31,0)+IF(M32=22,AS32,0)+IF(M33=22,AS33,0)+IF(M34=22,AS34,0)+IF(M35=22,AS35,0)+IF(M36=22,AS36,0)+IF(M37=22,AS37,0)+IF(M38=22,AS38,0)+IF(M39=22,AS39,0)+IF(M40=22,AS40,0)+IF(M41=22,AS41,0)+IF(M42=22,AS42,0)+IF(M43=22,AS43,0)+IF(M44=22,AS44,0)+IF(M45=22,AS45,0)+IF(M46=22,AS46,0)+IF(M47=22,AS47,0)+IF(M48=22,AS48,0)+IF(M49=22,AS49,0)+IF(M50=22,AS50,0)+IF(M51=22,AS51,0)+IF(M52=22,AS52,0)+IF(M53=22,AS53,0)+IF(M54=22,AS54,0)+IF(M55=22,AS55,0)+IF(M56=22,AS56,0)+IF(M57=22,AS57,0)+IF(M58=22,AS58,0)+IF(M59=22,AS59,0)+IF(M60=22,AS60,0)+IF(M61=22,AS61,0)+IF(M62=22,AS62,0)+IF(M63=22,AS63,0)+IF(M64=22,AS64,0)+IF(M65=22,AS65,0)+IF(M66=22,AS66,0)+IF(M67=22,AS67,0)+IF(M68=22,AS68,0)+IF(M69=22,AS69,0)+IF(M70=22,AS70,0)+IF(M71=22,AS71,0)+IF(M72=22,AS72,0)+IF(M73=22,AS73,0)+IF(M74=22,AS74,0)+IF(M75=22,AS75,0)+IF(M76=22,AS76,0)+IF(M77=22,AS77,0)+IF(M78=22,AS78,0)+IF(M79=22,AS79,0)+IF(M80=22,AS80,0))</f>
        <v>0</v>
      </c>
      <c r="W36" s="398">
        <v>1.2</v>
      </c>
      <c r="X36" s="9"/>
      <c r="Y36" s="896">
        <f t="shared" si="31"/>
        <v>0</v>
      </c>
      <c r="Z36" s="896"/>
      <c r="AA36" s="897"/>
      <c r="AB36" s="99"/>
      <c r="AC36" s="3"/>
      <c r="AD36" s="213">
        <f t="shared" si="13"/>
        <v>400</v>
      </c>
      <c r="AE36" s="4"/>
      <c r="AF36" s="13" t="str">
        <f t="shared" si="17"/>
        <v>N/A</v>
      </c>
      <c r="AG36" s="13" t="str">
        <f t="shared" si="18"/>
        <v>1001 a 1200</v>
      </c>
      <c r="AH36" s="13" t="str">
        <f t="shared" si="19"/>
        <v>N/A</v>
      </c>
      <c r="AI36" s="13" t="str">
        <f t="shared" si="20"/>
        <v>N/A</v>
      </c>
      <c r="AJ36" s="13" t="str">
        <f t="shared" si="21"/>
        <v>I-1,31</v>
      </c>
      <c r="AK36" s="13" t="str">
        <f t="shared" si="22"/>
        <v>H-1,00</v>
      </c>
      <c r="AL36" s="13" t="str">
        <f t="shared" si="23"/>
        <v>H-0,85</v>
      </c>
      <c r="AM36" s="13" t="str">
        <f t="shared" si="24"/>
        <v>G-0,85</v>
      </c>
      <c r="AN36" s="13" t="str">
        <f t="shared" si="25"/>
        <v>F-0,70</v>
      </c>
      <c r="AO36" s="13" t="str">
        <f t="shared" si="26"/>
        <v>F-0,70</v>
      </c>
      <c r="AP36" s="13" t="str">
        <f t="shared" si="27"/>
        <v>E-0,70</v>
      </c>
      <c r="AR36">
        <f t="shared" si="15"/>
        <v>6.87</v>
      </c>
      <c r="AS36">
        <f t="shared" si="16"/>
        <v>0</v>
      </c>
    </row>
    <row r="37" spans="1:45" ht="20.100000000000001" customHeight="1" x14ac:dyDescent="0.3">
      <c r="A37" s="273" t="s">
        <v>428</v>
      </c>
      <c r="B37" s="465" t="s">
        <v>523</v>
      </c>
      <c r="C37" s="466">
        <v>2</v>
      </c>
      <c r="D37" s="464">
        <v>1000</v>
      </c>
      <c r="E37" s="889">
        <f t="shared" si="28"/>
        <v>132.09168337175294</v>
      </c>
      <c r="F37" s="889"/>
      <c r="G37" s="464">
        <v>400</v>
      </c>
      <c r="H37" s="455">
        <f t="shared" si="9"/>
        <v>46.668689864481919</v>
      </c>
      <c r="I37" s="453">
        <f t="shared" si="29"/>
        <v>0</v>
      </c>
      <c r="J37" s="456">
        <f t="shared" si="6"/>
        <v>20.270136262399127</v>
      </c>
      <c r="K37" s="77">
        <v>0</v>
      </c>
      <c r="L37" s="453">
        <f t="shared" si="30"/>
        <v>893.33737972896381</v>
      </c>
      <c r="M37" s="476">
        <f t="shared" si="8"/>
        <v>22</v>
      </c>
      <c r="N37" s="477">
        <f t="shared" si="10"/>
        <v>0</v>
      </c>
      <c r="O37" s="271">
        <f t="shared" si="11"/>
        <v>0</v>
      </c>
      <c r="P37" s="271">
        <f t="shared" si="12"/>
        <v>0</v>
      </c>
      <c r="Q37" s="44"/>
      <c r="R37" s="894">
        <v>20</v>
      </c>
      <c r="S37" s="895"/>
      <c r="T37" s="262">
        <v>0.95</v>
      </c>
      <c r="U37" s="9">
        <v>8.08</v>
      </c>
      <c r="V37" s="9">
        <f>SUM(IF(M22=20,AS22,0)+IF(M23=20,AS23,0)+IF(M24=20,AS24,0)+IF(M25=20,AS25,0)+IF(M26=20,AS26,0)+IF(M27=20,AS27,0)+IF(M28=20,AS28,0)+IF(M29=20,AS29,0)+IF(M30=20,AS30,0)++IF(M31=20,AS31,0)+IF(M32=20,AS32,0)+IF(M33=20,AS33,0)+IF(M34=20,AS34,0)+IF(M35=20,AS35,0)+IF(M36=20,AS36,0)+IF(M37=20,AS37,0)+IF(M38=20,AS38,0)+IF(M39=20,AS39,0)+IF(M40=20,AS40,0)+IF(M41=20,AS41,0)+IF(M42=20,AS42,0)+IF(M43=20,AS43,0)+IF(M44=20,AS44,0)+IF(M45=20,AS45,0)+IF(M46=20,AS46,0)+IF(M47=20,AS47,0)+IF(M48=20,AS48,0)+IF(M49=20,AS49,0)+IF(M50=20,AS50,0)+IF(M51=20,AS51,0)+IF(M52=20,AS52,0)+IF(M53=20,AS53,0)+IF(M54=20,AS54,0)+IF(M55=20,AS55,0)+IF(M56=20,AS56,0)+IF(M57=20,AS57,0)+IF(M58=20,AS58,0)+IF(M59=20,AS59,0)+IF(M60=20,AS60,0)+IF(M61=20,AS61,0)+IF(M62=20,AS62,0)+IF(M63=20,AS63,0)+IF(M64=20,AS64,0)+IF(M65=20,AS65,0)+IF(M66=20,AS66,0)+IF(M67=20,AS67,0)+IF(M68=20,AS68,0)+IF(M69=20,AS69,0)+IF(M70=20,AS70,0)+IF(M71=20,AS71,0)+IF(M72=20,AS72,0)+IF(M73=20,AS73,0)+IF(M74=20,AS74,0)+IF(M75=20,AS75,0)+IF(M76=20,AS76,0)+IF(M77=20,AS77,0)+IF(M78=20,AS78,0)+IF(M79=20,AS79,0)+IF(M80=20,AS80,0))</f>
        <v>0</v>
      </c>
      <c r="W37" s="398">
        <v>1.2</v>
      </c>
      <c r="X37" s="9"/>
      <c r="Y37" s="896">
        <f t="shared" si="31"/>
        <v>0</v>
      </c>
      <c r="Z37" s="896"/>
      <c r="AA37" s="897"/>
      <c r="AB37" s="99"/>
      <c r="AC37" s="3"/>
      <c r="AD37" s="213">
        <f t="shared" si="13"/>
        <v>400</v>
      </c>
      <c r="AE37" s="4"/>
      <c r="AF37" s="13" t="str">
        <f t="shared" si="17"/>
        <v>N/A</v>
      </c>
      <c r="AG37" s="13" t="str">
        <f t="shared" si="18"/>
        <v>1201 a 1300</v>
      </c>
      <c r="AH37" s="13" t="str">
        <f t="shared" si="19"/>
        <v>N/A</v>
      </c>
      <c r="AI37" s="13" t="str">
        <f t="shared" si="20"/>
        <v>N/A</v>
      </c>
      <c r="AJ37" s="13" t="str">
        <f t="shared" si="21"/>
        <v>I-1,61 ou G*-1,61</v>
      </c>
      <c r="AK37" s="13" t="str">
        <f t="shared" si="22"/>
        <v>I-1,31 ou G*-1,31</v>
      </c>
      <c r="AL37" s="13" t="str">
        <f t="shared" si="23"/>
        <v>H-1,00 ou G*-1,00</v>
      </c>
      <c r="AM37" s="13" t="str">
        <f t="shared" si="24"/>
        <v>H-1,00 ou G*-1,00</v>
      </c>
      <c r="AN37" s="13" t="str">
        <f t="shared" si="25"/>
        <v>G-0,70</v>
      </c>
      <c r="AO37" s="13" t="str">
        <f t="shared" si="26"/>
        <v>F-0,70</v>
      </c>
      <c r="AP37" s="13" t="str">
        <f t="shared" si="27"/>
        <v>F-0,70</v>
      </c>
      <c r="AR37">
        <f t="shared" si="15"/>
        <v>6.87</v>
      </c>
      <c r="AS37">
        <f t="shared" si="16"/>
        <v>0</v>
      </c>
    </row>
    <row r="38" spans="1:45" ht="20.100000000000001" customHeight="1" x14ac:dyDescent="0.3">
      <c r="A38" s="273" t="s">
        <v>428</v>
      </c>
      <c r="B38" s="465" t="s">
        <v>523</v>
      </c>
      <c r="C38" s="466">
        <v>3</v>
      </c>
      <c r="D38" s="464">
        <v>1000</v>
      </c>
      <c r="E38" s="889">
        <f t="shared" si="28"/>
        <v>119.80469905263213</v>
      </c>
      <c r="F38" s="889"/>
      <c r="G38" s="464">
        <v>400</v>
      </c>
      <c r="H38" s="455">
        <f t="shared" si="9"/>
        <v>39.667852901138808</v>
      </c>
      <c r="I38" s="453">
        <f t="shared" si="29"/>
        <v>0</v>
      </c>
      <c r="J38" s="456">
        <f t="shared" si="6"/>
        <v>24.641089875749692</v>
      </c>
      <c r="K38" s="77">
        <v>0</v>
      </c>
      <c r="L38" s="453">
        <f t="shared" si="30"/>
        <v>879.33570580227763</v>
      </c>
      <c r="M38" s="476">
        <f t="shared" si="8"/>
        <v>22</v>
      </c>
      <c r="N38" s="477">
        <f t="shared" si="10"/>
        <v>0</v>
      </c>
      <c r="O38" s="271">
        <f t="shared" si="11"/>
        <v>0</v>
      </c>
      <c r="P38" s="271">
        <f t="shared" si="12"/>
        <v>0</v>
      </c>
      <c r="Q38" s="44"/>
      <c r="R38" s="894">
        <v>18</v>
      </c>
      <c r="S38" s="895"/>
      <c r="T38" s="262">
        <v>1.25</v>
      </c>
      <c r="U38" s="9">
        <v>10.53</v>
      </c>
      <c r="V38" s="9">
        <f>SUM(IF(M22=18,AS22,0)+IF(M23=18,AS23,0)+IF(M24=18,AS24,0)+IF(M25=18,AS25,0)+IF(M26=18,AS26,0)+IF(M27=18,AS27,0)+IF(M28=18,AS28,0)+IF(M29=18,AS29,0)+IF(M30=18,AS30,0)+IF(M31=18,AS31,0)++IF(M32=18,AS32,0)+IF(M33=18,AS33,0)+IF(M34=18,AS34,0)+IF(M35=18,AS35,0)+IF(M36=18,AS36,0)+IF(M37=18,AS37,0)+IF(M38=18,AS38,0)+IF(M39=18,AS39,0)+IF(M40=18,AS40,0)+IF(M41=18,AS41,0)+IF(M42=18,AS42,0)+IF(M43=18,AS43,0)+IF(M44=18,AS44,0)+IF(M45=18,AS45,0)+IF(M46=18,AS46,0)+IF(M47=18,AS47,0)+IF(M48=18,AS48,0)+IF(M49=18,AS49,0)+IF(M50=18,AS50,0)+IF(M51=18,AS51,0)+IF(M52=18,AS52,0)+IF(M53=18,AS53,0)+IF(M54=18,AS54,0)+IF(M55=18,AS55,0)+IF(M56=18,AS56,0)+IF(M57=18,AS57,0)+IF(M58=18,AS58,0)+IF(M59=18,AS59,0)+IF(M60=18,AS60,0)+IF(M61=18,AS61,0)+IF(M62=18,AS62,0)+IF(M63=18,AS63,0)+IF(M64=18,AS64,0)+IF(M65=18,AS65,0)+IF(M66=18,AS66,0)+IF(M67=18,AS67,0)+IF(M68=18,AS68,0)+IF(M69=18,AS69,0)+IF(M70=18,AS70,0)+IF(M71=18,AS71,0)+IF(M72=18,AS72,0)+IF(M73=18,AS73,0)+IF(M74=18,AS74,0)+IF(M75=18,AS75,0)+IF(M76=18,AS76,0)+IF(M77=18,AS77,0)+IF(M78=18,AS78,0)+IF(M79=18,AS79,0)+IF(M80=18,AS80,0))</f>
        <v>0</v>
      </c>
      <c r="W38" s="398">
        <v>1.2</v>
      </c>
      <c r="X38" s="9"/>
      <c r="Y38" s="896">
        <f t="shared" si="31"/>
        <v>0</v>
      </c>
      <c r="Z38" s="896"/>
      <c r="AA38" s="897"/>
      <c r="AB38" s="99"/>
      <c r="AC38" s="3"/>
      <c r="AD38" s="213">
        <f t="shared" si="13"/>
        <v>400</v>
      </c>
      <c r="AE38" s="4"/>
      <c r="AF38" s="13" t="str">
        <f t="shared" si="17"/>
        <v>N/A</v>
      </c>
      <c r="AG38" s="13" t="str">
        <f t="shared" si="18"/>
        <v>1301 a 1500</v>
      </c>
      <c r="AH38" s="13" t="str">
        <f t="shared" si="19"/>
        <v>N/A</v>
      </c>
      <c r="AI38" s="13" t="str">
        <f t="shared" si="20"/>
        <v>N/A</v>
      </c>
      <c r="AJ38" s="13" t="str">
        <f t="shared" si="21"/>
        <v>N/A</v>
      </c>
      <c r="AK38" s="13" t="str">
        <f t="shared" si="22"/>
        <v>I-1,31 ou G*-1,31</v>
      </c>
      <c r="AL38" s="13" t="str">
        <f t="shared" si="23"/>
        <v>I-1,00 ou G*-1,00</v>
      </c>
      <c r="AM38" s="13" t="str">
        <f t="shared" si="24"/>
        <v>H-1,00 ou G*-1,00</v>
      </c>
      <c r="AN38" s="13" t="str">
        <f t="shared" si="25"/>
        <v>G-0,85</v>
      </c>
      <c r="AO38" s="13" t="str">
        <f t="shared" si="26"/>
        <v>G-0,70</v>
      </c>
      <c r="AP38" s="13" t="str">
        <f t="shared" si="27"/>
        <v>F-0,70</v>
      </c>
      <c r="AR38">
        <f t="shared" si="15"/>
        <v>6.87</v>
      </c>
      <c r="AS38">
        <f t="shared" si="16"/>
        <v>0</v>
      </c>
    </row>
    <row r="39" spans="1:45" ht="20.100000000000001" customHeight="1" x14ac:dyDescent="0.3">
      <c r="A39" s="273" t="s">
        <v>428</v>
      </c>
      <c r="B39" s="465" t="s">
        <v>523</v>
      </c>
      <c r="C39" s="466">
        <v>4</v>
      </c>
      <c r="D39" s="464">
        <v>1000</v>
      </c>
      <c r="E39" s="889">
        <f t="shared" si="28"/>
        <v>111.75539215151441</v>
      </c>
      <c r="F39" s="889"/>
      <c r="G39" s="464">
        <v>400</v>
      </c>
      <c r="H39" s="455">
        <f t="shared" si="9"/>
        <v>35.35052373209092</v>
      </c>
      <c r="I39" s="453">
        <f t="shared" si="29"/>
        <v>0</v>
      </c>
      <c r="J39" s="456">
        <f t="shared" si="6"/>
        <v>28.318525995324773</v>
      </c>
      <c r="K39" s="77">
        <v>0</v>
      </c>
      <c r="L39" s="453">
        <f t="shared" si="30"/>
        <v>870.70104746418178</v>
      </c>
      <c r="M39" s="476">
        <f t="shared" si="8"/>
        <v>22</v>
      </c>
      <c r="N39" s="477">
        <f t="shared" si="10"/>
        <v>0</v>
      </c>
      <c r="O39" s="271">
        <f t="shared" si="11"/>
        <v>0</v>
      </c>
      <c r="P39" s="271">
        <f t="shared" si="12"/>
        <v>0</v>
      </c>
      <c r="Q39" s="44"/>
      <c r="R39" s="894">
        <v>16</v>
      </c>
      <c r="S39" s="895"/>
      <c r="T39" s="9">
        <f>1.52*1.05</f>
        <v>1.5960000000000001</v>
      </c>
      <c r="U39" s="262">
        <f>1.05*12.2</f>
        <v>12.81</v>
      </c>
      <c r="V39" s="9">
        <f>SUM(IF(M22=16,AS22,0)+IF(M23=16,AS23,0)+IF(M24=16,AS24,0)+IF(M25=16,AS25,0)+IF(M26=16,AS26,0)+IF(M27=16,AS27,0)+IF(M28=16,AS28,0)+IF(M29=16,AS29,0)+IF(M30=16,AS30,0)+IF(M31=16,AS31,0)+IF(M32=16,AS32,0)++IF(M33=16,AS33,0)+IF(M34=16,AS34,0)+IF(M35=16,AS35,0)+IF(M36=16,AS36,0)+IF(M37=16,AS37,0)+IF(M38=16,AS38,0)+IF(M39=16,AS39,0)+IF(M40=16,AS40,0)+IF(M41=16,AS41,0)+IF(M42=16,AS42,0)+IF(M43=16,AS43,0)+IF(M44=16,AS44,0)+IF(M45=16,AS45,0)+IF(M46=16,AS46,0)+IF(M47=16,AS47,0)+IF(M48=16,AS48,0)+IF(M49=16,AS49,0)+IF(M50=16,AS50,0)+IF(M51=16,AS51,0)+IF(M52=16,AS52,0)+IF(M53=16,AS53,0)+IF(M54=16,AS54,0)+IF(M55=16,AS55,0)+IF(M56=16,AS56,0)+IF(M57=16,AS57,0)+IF(M58=16,AS58,0)+IF(M59=16,AS59,0)+IF(M60=16,AS60,0)+IF(M61=16,AS61,0)+IF(M62=16,AS62,0)+IF(M63=16,AS63,0)+IF(M64=16,AS64,0)+IF(M65=16,AS65,0)+IF(M66=16,AS66,0)+IF(M67=16,AS67,0)+IF(M68=16,AS68,0)+IF(M69=16,AS69,0)+IF(M70=16,AS70,0)+IF(M71=16,AS71,0)+IF(M72=16,AS72,0)+IF(M73=16,AS73,0)+IF(M74=16,AS74,0)+IF(M75=16,AS75,0)+IF(M76=16,AS76,0)+IF(M77=16,AS77,0)+IF(M78=16,AS78,0)+IF(M79=16,AS79,0)+IF(M80=16,AS80,0))</f>
        <v>321.03914121456506</v>
      </c>
      <c r="W39" s="398">
        <v>1.2</v>
      </c>
      <c r="X39" s="9"/>
      <c r="Y39" s="896">
        <f t="shared" si="31"/>
        <v>385.24696945747809</v>
      </c>
      <c r="Z39" s="896"/>
      <c r="AA39" s="897"/>
      <c r="AB39" s="99"/>
      <c r="AC39" s="3"/>
      <c r="AD39" s="213">
        <f t="shared" si="13"/>
        <v>400</v>
      </c>
      <c r="AE39" s="4"/>
      <c r="AF39" s="13" t="str">
        <f t="shared" si="17"/>
        <v>N/A</v>
      </c>
      <c r="AG39" s="13" t="str">
        <f t="shared" si="18"/>
        <v>1501 a 1800</v>
      </c>
      <c r="AH39" s="13" t="str">
        <f t="shared" si="19"/>
        <v>N/A</v>
      </c>
      <c r="AI39" s="13" t="str">
        <f t="shared" si="20"/>
        <v>N/A</v>
      </c>
      <c r="AJ39" s="13" t="str">
        <f t="shared" si="21"/>
        <v>N/A</v>
      </c>
      <c r="AK39" s="13" t="str">
        <f t="shared" si="22"/>
        <v>J-1,61 ou H*-1,61</v>
      </c>
      <c r="AL39" s="13" t="str">
        <f t="shared" si="23"/>
        <v>J-1,31 ou H*-1,31</v>
      </c>
      <c r="AM39" s="13" t="str">
        <f t="shared" si="24"/>
        <v>I-1,00 ou G*-1,00</v>
      </c>
      <c r="AN39" s="13" t="str">
        <f t="shared" si="25"/>
        <v>H-0,85 ou G*-0,85</v>
      </c>
      <c r="AO39" s="13" t="str">
        <f t="shared" si="26"/>
        <v>H-0,85 ou G*-0,85</v>
      </c>
      <c r="AP39" s="13" t="str">
        <f t="shared" si="27"/>
        <v>H-0,70</v>
      </c>
      <c r="AR39">
        <f t="shared" si="15"/>
        <v>6.87</v>
      </c>
      <c r="AS39">
        <f t="shared" si="16"/>
        <v>0</v>
      </c>
    </row>
    <row r="40" spans="1:45" ht="20.100000000000001" customHeight="1" thickBot="1" x14ac:dyDescent="0.35">
      <c r="A40" s="273" t="s">
        <v>428</v>
      </c>
      <c r="B40" s="465" t="s">
        <v>523</v>
      </c>
      <c r="C40" s="466">
        <v>5</v>
      </c>
      <c r="D40" s="464">
        <v>1000</v>
      </c>
      <c r="E40" s="889">
        <f t="shared" si="28"/>
        <v>105.87095644746678</v>
      </c>
      <c r="F40" s="889"/>
      <c r="G40" s="464">
        <v>400</v>
      </c>
      <c r="H40" s="455">
        <f t="shared" si="9"/>
        <v>32.329541724930039</v>
      </c>
      <c r="I40" s="453">
        <f t="shared" si="29"/>
        <v>0</v>
      </c>
      <c r="J40" s="456">
        <f t="shared" si="6"/>
        <v>31.553965384352551</v>
      </c>
      <c r="K40" s="77">
        <v>0</v>
      </c>
      <c r="L40" s="453">
        <f t="shared" si="30"/>
        <v>864.65908344986008</v>
      </c>
      <c r="M40" s="476">
        <f t="shared" si="8"/>
        <v>22</v>
      </c>
      <c r="N40" s="477">
        <f t="shared" si="10"/>
        <v>0</v>
      </c>
      <c r="O40" s="271">
        <f t="shared" si="11"/>
        <v>0</v>
      </c>
      <c r="P40" s="271">
        <f t="shared" si="12"/>
        <v>0</v>
      </c>
      <c r="Q40" s="44"/>
      <c r="R40" s="952" t="s">
        <v>440</v>
      </c>
      <c r="S40" s="952"/>
      <c r="T40" s="952"/>
      <c r="U40" s="952"/>
      <c r="V40" s="952"/>
      <c r="W40" s="952"/>
      <c r="X40" s="397"/>
      <c r="Y40" s="906">
        <f>SUM(Y34:AA39)</f>
        <v>385.24696945747809</v>
      </c>
      <c r="Z40" s="906"/>
      <c r="AA40" s="906"/>
      <c r="AB40" s="99"/>
      <c r="AC40" s="3"/>
      <c r="AD40" s="213">
        <f t="shared" si="13"/>
        <v>400</v>
      </c>
      <c r="AE40" s="4"/>
      <c r="AF40" s="4"/>
      <c r="AG40" s="4"/>
      <c r="AH40" s="4"/>
      <c r="AI40" s="4"/>
      <c r="AJ40" s="5"/>
      <c r="AK40" s="5"/>
      <c r="AL40" s="6"/>
      <c r="AM40" s="7"/>
      <c r="AR40">
        <f t="shared" si="15"/>
        <v>6.87</v>
      </c>
      <c r="AS40">
        <f t="shared" si="16"/>
        <v>0</v>
      </c>
    </row>
    <row r="41" spans="1:45" ht="20.100000000000001" customHeight="1" x14ac:dyDescent="0.3">
      <c r="A41" s="273" t="s">
        <v>428</v>
      </c>
      <c r="B41" s="465" t="s">
        <v>524</v>
      </c>
      <c r="C41" s="466"/>
      <c r="D41" s="464">
        <v>1000</v>
      </c>
      <c r="E41" s="889">
        <f t="shared" si="28"/>
        <v>269.24694826892033</v>
      </c>
      <c r="F41" s="889"/>
      <c r="G41" s="464">
        <v>400</v>
      </c>
      <c r="H41" s="455">
        <f t="shared" si="9"/>
        <v>159.59589487869363</v>
      </c>
      <c r="I41" s="453">
        <f t="shared" si="29"/>
        <v>0</v>
      </c>
      <c r="J41" s="456">
        <f t="shared" si="6"/>
        <v>4.8787216286808741</v>
      </c>
      <c r="K41" s="77">
        <v>0</v>
      </c>
      <c r="L41" s="453">
        <f t="shared" si="30"/>
        <v>1119.1917897573871</v>
      </c>
      <c r="M41" s="476">
        <f t="shared" si="8"/>
        <v>22</v>
      </c>
      <c r="N41" s="477">
        <f t="shared" si="10"/>
        <v>0</v>
      </c>
      <c r="O41" s="271">
        <f t="shared" si="11"/>
        <v>0</v>
      </c>
      <c r="P41" s="271">
        <f t="shared" si="12"/>
        <v>0</v>
      </c>
      <c r="Q41" s="44"/>
      <c r="R41" s="953"/>
      <c r="S41" s="953"/>
      <c r="T41" s="953"/>
      <c r="U41" s="953"/>
      <c r="V41" s="953"/>
      <c r="W41" s="953"/>
      <c r="X41" s="44"/>
      <c r="Y41" s="906"/>
      <c r="Z41" s="906"/>
      <c r="AA41" s="906"/>
      <c r="AB41" s="99"/>
      <c r="AC41" s="3"/>
      <c r="AD41" s="213">
        <f t="shared" si="13"/>
        <v>400</v>
      </c>
      <c r="AE41" s="4"/>
      <c r="AF41" s="4"/>
      <c r="AG41" s="4"/>
      <c r="AH41" s="4"/>
      <c r="AI41" s="4"/>
      <c r="AJ41" s="5"/>
      <c r="AK41" s="5"/>
      <c r="AL41" s="6"/>
      <c r="AM41" s="7"/>
      <c r="AR41">
        <f t="shared" si="15"/>
        <v>6.87</v>
      </c>
      <c r="AS41">
        <f t="shared" si="16"/>
        <v>0</v>
      </c>
    </row>
    <row r="42" spans="1:45" ht="20.100000000000001" customHeight="1" thickBot="1" x14ac:dyDescent="0.35">
      <c r="A42" s="273" t="s">
        <v>428</v>
      </c>
      <c r="B42" s="465" t="s">
        <v>524</v>
      </c>
      <c r="C42" s="466"/>
      <c r="D42" s="464">
        <v>1000</v>
      </c>
      <c r="E42" s="889">
        <f t="shared" si="28"/>
        <v>269.24694826892033</v>
      </c>
      <c r="F42" s="889"/>
      <c r="G42" s="464">
        <v>400</v>
      </c>
      <c r="H42" s="455">
        <f t="shared" si="9"/>
        <v>159.59589487869363</v>
      </c>
      <c r="I42" s="453">
        <f t="shared" si="29"/>
        <v>0</v>
      </c>
      <c r="J42" s="456">
        <f t="shared" si="6"/>
        <v>4.8787216286808741</v>
      </c>
      <c r="K42" s="77">
        <v>0</v>
      </c>
      <c r="L42" s="453">
        <f t="shared" si="30"/>
        <v>1119.1917897573871</v>
      </c>
      <c r="M42" s="476">
        <f t="shared" si="8"/>
        <v>22</v>
      </c>
      <c r="N42" s="477">
        <f t="shared" si="10"/>
        <v>0</v>
      </c>
      <c r="O42" s="271">
        <f t="shared" si="11"/>
        <v>0</v>
      </c>
      <c r="P42" s="271">
        <f t="shared" si="12"/>
        <v>0</v>
      </c>
      <c r="Q42" s="44"/>
      <c r="R42" s="45"/>
      <c r="S42" s="45"/>
      <c r="T42" s="44"/>
      <c r="U42" s="45"/>
      <c r="V42" s="45"/>
      <c r="W42" s="45"/>
      <c r="X42" s="44"/>
      <c r="Y42" s="45"/>
      <c r="Z42" s="45"/>
      <c r="AA42" s="45"/>
      <c r="AB42" s="99"/>
      <c r="AC42" s="3"/>
      <c r="AD42" s="213">
        <f t="shared" si="13"/>
        <v>400</v>
      </c>
      <c r="AE42" s="4"/>
      <c r="AF42" s="4"/>
      <c r="AG42" s="4"/>
      <c r="AH42" s="4"/>
      <c r="AI42" s="4"/>
      <c r="AJ42" s="5"/>
      <c r="AK42" s="5"/>
      <c r="AL42" s="6"/>
      <c r="AM42" s="7"/>
      <c r="AR42">
        <f t="shared" si="15"/>
        <v>6.87</v>
      </c>
      <c r="AS42">
        <f t="shared" si="16"/>
        <v>0</v>
      </c>
    </row>
    <row r="43" spans="1:45" ht="20.100000000000001" customHeight="1" thickBot="1" x14ac:dyDescent="0.35">
      <c r="A43" s="273" t="s">
        <v>428</v>
      </c>
      <c r="B43" s="465" t="s">
        <v>524</v>
      </c>
      <c r="C43" s="466"/>
      <c r="D43" s="464">
        <v>1000</v>
      </c>
      <c r="E43" s="889">
        <f t="shared" si="28"/>
        <v>269.24694826892033</v>
      </c>
      <c r="F43" s="889"/>
      <c r="G43" s="464">
        <v>400</v>
      </c>
      <c r="H43" s="455">
        <f t="shared" si="9"/>
        <v>159.59589487869363</v>
      </c>
      <c r="I43" s="453">
        <f t="shared" si="29"/>
        <v>0</v>
      </c>
      <c r="J43" s="456">
        <f t="shared" si="6"/>
        <v>4.8787216286808741</v>
      </c>
      <c r="K43" s="77">
        <v>0</v>
      </c>
      <c r="L43" s="453">
        <f t="shared" si="30"/>
        <v>1119.1917897573871</v>
      </c>
      <c r="M43" s="476">
        <f t="shared" si="8"/>
        <v>22</v>
      </c>
      <c r="N43" s="477">
        <f t="shared" si="10"/>
        <v>0</v>
      </c>
      <c r="O43" s="271">
        <f t="shared" si="11"/>
        <v>0</v>
      </c>
      <c r="P43" s="271">
        <f t="shared" si="12"/>
        <v>0</v>
      </c>
      <c r="Q43" s="44"/>
      <c r="R43" s="831" t="s">
        <v>686</v>
      </c>
      <c r="S43" s="832"/>
      <c r="T43" s="832"/>
      <c r="U43" s="832"/>
      <c r="V43" s="832"/>
      <c r="W43" s="832"/>
      <c r="X43" s="832"/>
      <c r="Y43" s="832"/>
      <c r="Z43" s="832"/>
      <c r="AA43" s="833"/>
      <c r="AB43" s="99"/>
      <c r="AC43" s="3"/>
      <c r="AD43" s="213">
        <f t="shared" si="13"/>
        <v>400</v>
      </c>
      <c r="AE43" s="4"/>
      <c r="AF43" s="4"/>
      <c r="AG43" s="4"/>
      <c r="AH43" s="4"/>
      <c r="AI43" s="4"/>
      <c r="AJ43" s="5"/>
      <c r="AK43" s="5"/>
      <c r="AL43" s="6"/>
      <c r="AM43" s="7"/>
      <c r="AR43">
        <f t="shared" si="15"/>
        <v>6.87</v>
      </c>
      <c r="AS43">
        <f t="shared" si="16"/>
        <v>0</v>
      </c>
    </row>
    <row r="44" spans="1:45" ht="20.100000000000001" customHeight="1" x14ac:dyDescent="0.3">
      <c r="A44" s="273" t="s">
        <v>428</v>
      </c>
      <c r="B44" s="465" t="s">
        <v>524</v>
      </c>
      <c r="C44" s="466"/>
      <c r="D44" s="464">
        <v>1000</v>
      </c>
      <c r="E44" s="889">
        <f t="shared" si="28"/>
        <v>269.24694826892033</v>
      </c>
      <c r="F44" s="889"/>
      <c r="G44" s="464">
        <v>400</v>
      </c>
      <c r="H44" s="455">
        <f t="shared" si="9"/>
        <v>159.59589487869363</v>
      </c>
      <c r="I44" s="453">
        <f t="shared" si="29"/>
        <v>0</v>
      </c>
      <c r="J44" s="456">
        <f t="shared" si="6"/>
        <v>4.8787216286808741</v>
      </c>
      <c r="K44" s="77">
        <v>0</v>
      </c>
      <c r="L44" s="453">
        <f t="shared" si="30"/>
        <v>1119.1917897573871</v>
      </c>
      <c r="M44" s="476">
        <f t="shared" si="8"/>
        <v>22</v>
      </c>
      <c r="N44" s="477">
        <f t="shared" si="10"/>
        <v>0</v>
      </c>
      <c r="O44" s="271">
        <f t="shared" si="11"/>
        <v>0</v>
      </c>
      <c r="P44" s="271">
        <f t="shared" si="12"/>
        <v>0</v>
      </c>
      <c r="Q44" s="44"/>
      <c r="R44" s="904" t="s">
        <v>140</v>
      </c>
      <c r="S44" s="905"/>
      <c r="T44" s="354" t="s">
        <v>691</v>
      </c>
      <c r="U44" s="331" t="s">
        <v>692</v>
      </c>
      <c r="V44" s="331" t="s">
        <v>693</v>
      </c>
      <c r="W44" s="355"/>
      <c r="X44" s="331"/>
      <c r="Y44" s="356" t="s">
        <v>436</v>
      </c>
      <c r="Z44" s="357"/>
      <c r="AA44" s="358"/>
      <c r="AB44" s="99"/>
      <c r="AC44" s="3"/>
      <c r="AD44" s="213">
        <f t="shared" si="13"/>
        <v>400</v>
      </c>
      <c r="AE44" s="4"/>
      <c r="AF44" s="4"/>
      <c r="AG44" s="4"/>
      <c r="AH44" s="4"/>
      <c r="AI44" s="4"/>
      <c r="AJ44" s="5"/>
      <c r="AK44" s="5"/>
      <c r="AL44" s="6"/>
      <c r="AM44" s="7"/>
      <c r="AR44">
        <f t="shared" si="15"/>
        <v>6.87</v>
      </c>
      <c r="AS44">
        <f t="shared" si="16"/>
        <v>0</v>
      </c>
    </row>
    <row r="45" spans="1:45" ht="20.100000000000001" customHeight="1" x14ac:dyDescent="0.3">
      <c r="A45" s="273" t="s">
        <v>428</v>
      </c>
      <c r="B45" s="465" t="s">
        <v>524</v>
      </c>
      <c r="C45" s="466"/>
      <c r="D45" s="464">
        <v>1000</v>
      </c>
      <c r="E45" s="889">
        <f t="shared" si="28"/>
        <v>269.24694826892033</v>
      </c>
      <c r="F45" s="889"/>
      <c r="G45" s="464">
        <v>400</v>
      </c>
      <c r="H45" s="455">
        <f t="shared" si="9"/>
        <v>159.59589487869363</v>
      </c>
      <c r="I45" s="453">
        <f t="shared" si="29"/>
        <v>0</v>
      </c>
      <c r="J45" s="456">
        <f t="shared" si="6"/>
        <v>4.8787216286808741</v>
      </c>
      <c r="K45" s="77">
        <v>0</v>
      </c>
      <c r="L45" s="453">
        <f t="shared" si="30"/>
        <v>1119.1917897573871</v>
      </c>
      <c r="M45" s="476">
        <f t="shared" si="8"/>
        <v>22</v>
      </c>
      <c r="N45" s="477">
        <f t="shared" si="10"/>
        <v>0</v>
      </c>
      <c r="O45" s="271">
        <f t="shared" si="11"/>
        <v>0</v>
      </c>
      <c r="P45" s="271">
        <f t="shared" si="12"/>
        <v>0</v>
      </c>
      <c r="Q45" s="44"/>
      <c r="R45" s="874" t="s">
        <v>687</v>
      </c>
      <c r="S45" s="874"/>
      <c r="T45" s="9"/>
      <c r="U45" s="228"/>
      <c r="V45" s="228"/>
      <c r="W45" s="228"/>
      <c r="X45" s="212"/>
      <c r="Y45" s="903">
        <f>U45</f>
        <v>0</v>
      </c>
      <c r="Z45" s="903"/>
      <c r="AA45" s="903"/>
      <c r="AB45" s="99"/>
      <c r="AC45" s="3"/>
      <c r="AD45" s="213">
        <f t="shared" si="13"/>
        <v>400</v>
      </c>
      <c r="AE45" s="4"/>
      <c r="AF45" s="4"/>
      <c r="AG45" s="4"/>
      <c r="AH45" s="4"/>
      <c r="AI45" s="4"/>
      <c r="AJ45" s="5"/>
      <c r="AK45" s="5"/>
      <c r="AL45" s="6"/>
      <c r="AM45" s="7"/>
      <c r="AR45">
        <f t="shared" si="15"/>
        <v>6.87</v>
      </c>
      <c r="AS45">
        <f t="shared" si="16"/>
        <v>0</v>
      </c>
    </row>
    <row r="46" spans="1:45" ht="20.100000000000001" customHeight="1" x14ac:dyDescent="0.3">
      <c r="A46" s="273" t="s">
        <v>428</v>
      </c>
      <c r="B46" s="465" t="s">
        <v>524</v>
      </c>
      <c r="C46" s="466"/>
      <c r="D46" s="464">
        <v>1000</v>
      </c>
      <c r="E46" s="889">
        <f t="shared" si="28"/>
        <v>269.24694826892033</v>
      </c>
      <c r="F46" s="889"/>
      <c r="G46" s="464">
        <v>400</v>
      </c>
      <c r="H46" s="455">
        <f t="shared" si="9"/>
        <v>159.59589487869363</v>
      </c>
      <c r="I46" s="453">
        <f t="shared" si="29"/>
        <v>0</v>
      </c>
      <c r="J46" s="456">
        <f t="shared" si="6"/>
        <v>4.8787216286808741</v>
      </c>
      <c r="K46" s="77">
        <v>0</v>
      </c>
      <c r="L46" s="453">
        <f t="shared" si="30"/>
        <v>1119.1917897573871</v>
      </c>
      <c r="M46" s="476">
        <f t="shared" si="8"/>
        <v>22</v>
      </c>
      <c r="N46" s="477">
        <f t="shared" si="10"/>
        <v>0</v>
      </c>
      <c r="O46" s="271">
        <f t="shared" si="11"/>
        <v>0</v>
      </c>
      <c r="P46" s="271">
        <f t="shared" si="12"/>
        <v>0</v>
      </c>
      <c r="Q46" s="44"/>
      <c r="R46" s="874"/>
      <c r="S46" s="874"/>
      <c r="T46" s="9"/>
      <c r="U46" s="228"/>
      <c r="V46" s="228"/>
      <c r="W46" s="228"/>
      <c r="X46" s="212"/>
      <c r="Y46" s="903">
        <f t="shared" ref="Y46:Y49" si="32">U46</f>
        <v>0</v>
      </c>
      <c r="Z46" s="903"/>
      <c r="AA46" s="903"/>
      <c r="AB46" s="99"/>
      <c r="AC46" s="3"/>
      <c r="AD46" s="213">
        <f t="shared" si="13"/>
        <v>400</v>
      </c>
      <c r="AE46" s="4"/>
      <c r="AF46" s="4"/>
      <c r="AG46" s="4"/>
      <c r="AH46" s="4"/>
      <c r="AI46" s="4"/>
      <c r="AJ46" s="5"/>
      <c r="AK46" s="5"/>
      <c r="AL46" s="6"/>
      <c r="AM46" s="7"/>
      <c r="AR46">
        <f t="shared" si="15"/>
        <v>6.87</v>
      </c>
      <c r="AS46">
        <f t="shared" si="16"/>
        <v>0</v>
      </c>
    </row>
    <row r="47" spans="1:45" ht="20.100000000000001" customHeight="1" x14ac:dyDescent="0.3">
      <c r="A47" s="273" t="s">
        <v>428</v>
      </c>
      <c r="B47" s="465" t="s">
        <v>524</v>
      </c>
      <c r="C47" s="466"/>
      <c r="D47" s="464">
        <v>1000</v>
      </c>
      <c r="E47" s="889">
        <f t="shared" si="28"/>
        <v>269.24694826892033</v>
      </c>
      <c r="F47" s="889"/>
      <c r="G47" s="464">
        <v>400</v>
      </c>
      <c r="H47" s="455">
        <f t="shared" si="9"/>
        <v>159.59589487869363</v>
      </c>
      <c r="I47" s="453">
        <f t="shared" si="29"/>
        <v>0</v>
      </c>
      <c r="J47" s="456">
        <f t="shared" si="6"/>
        <v>4.8787216286808741</v>
      </c>
      <c r="K47" s="77">
        <v>0</v>
      </c>
      <c r="L47" s="453">
        <f t="shared" si="30"/>
        <v>1119.1917897573871</v>
      </c>
      <c r="M47" s="476">
        <f t="shared" si="8"/>
        <v>22</v>
      </c>
      <c r="N47" s="477">
        <f t="shared" si="10"/>
        <v>0</v>
      </c>
      <c r="O47" s="271">
        <f t="shared" si="11"/>
        <v>0</v>
      </c>
      <c r="P47" s="271">
        <f t="shared" si="12"/>
        <v>0</v>
      </c>
      <c r="Q47" s="44"/>
      <c r="R47" s="874"/>
      <c r="S47" s="874"/>
      <c r="T47" s="262"/>
      <c r="U47" s="228"/>
      <c r="V47" s="228"/>
      <c r="W47" s="228"/>
      <c r="X47" s="9"/>
      <c r="Y47" s="903">
        <f t="shared" si="32"/>
        <v>0</v>
      </c>
      <c r="Z47" s="903"/>
      <c r="AA47" s="903"/>
      <c r="AB47" s="99"/>
      <c r="AC47" s="3"/>
      <c r="AD47" s="213">
        <f t="shared" si="13"/>
        <v>400</v>
      </c>
      <c r="AE47" s="4"/>
      <c r="AF47" s="4"/>
      <c r="AG47" s="4"/>
      <c r="AH47" s="4"/>
      <c r="AI47" s="4"/>
      <c r="AJ47" s="5"/>
      <c r="AK47" s="5"/>
      <c r="AL47" s="6"/>
      <c r="AM47" s="7"/>
      <c r="AR47">
        <f t="shared" si="15"/>
        <v>6.87</v>
      </c>
      <c r="AS47">
        <f t="shared" si="16"/>
        <v>0</v>
      </c>
    </row>
    <row r="48" spans="1:45" ht="20.100000000000001" customHeight="1" x14ac:dyDescent="0.3">
      <c r="A48" s="273" t="s">
        <v>428</v>
      </c>
      <c r="B48" s="465" t="s">
        <v>524</v>
      </c>
      <c r="C48" s="466"/>
      <c r="D48" s="464">
        <v>1000</v>
      </c>
      <c r="E48" s="889">
        <f t="shared" si="28"/>
        <v>269.24694826892033</v>
      </c>
      <c r="F48" s="889"/>
      <c r="G48" s="464">
        <v>400</v>
      </c>
      <c r="H48" s="455">
        <f t="shared" si="9"/>
        <v>159.59589487869363</v>
      </c>
      <c r="I48" s="453">
        <f t="shared" si="29"/>
        <v>0</v>
      </c>
      <c r="J48" s="456">
        <f t="shared" si="6"/>
        <v>4.8787216286808741</v>
      </c>
      <c r="K48" s="77">
        <v>0</v>
      </c>
      <c r="L48" s="453">
        <f t="shared" si="30"/>
        <v>1119.1917897573871</v>
      </c>
      <c r="M48" s="476">
        <f t="shared" si="8"/>
        <v>22</v>
      </c>
      <c r="N48" s="477">
        <f t="shared" si="10"/>
        <v>0</v>
      </c>
      <c r="O48" s="271">
        <f t="shared" si="11"/>
        <v>0</v>
      </c>
      <c r="P48" s="271">
        <f t="shared" si="12"/>
        <v>0</v>
      </c>
      <c r="Q48" s="44"/>
      <c r="R48" s="874" t="s">
        <v>688</v>
      </c>
      <c r="S48" s="874"/>
      <c r="T48" s="262"/>
      <c r="U48" s="228"/>
      <c r="V48" s="228"/>
      <c r="W48" s="228"/>
      <c r="X48" s="9"/>
      <c r="Y48" s="903">
        <f t="shared" si="32"/>
        <v>0</v>
      </c>
      <c r="Z48" s="903"/>
      <c r="AA48" s="903"/>
      <c r="AB48" s="99"/>
      <c r="AC48" s="3"/>
      <c r="AD48" s="213">
        <f t="shared" si="13"/>
        <v>400</v>
      </c>
      <c r="AE48" s="4"/>
      <c r="AF48" s="4"/>
      <c r="AG48" s="4"/>
      <c r="AH48" s="4"/>
      <c r="AI48" s="4"/>
      <c r="AJ48" s="5"/>
      <c r="AK48" s="5"/>
      <c r="AL48" s="6"/>
      <c r="AM48" s="7"/>
      <c r="AR48">
        <f t="shared" si="15"/>
        <v>6.87</v>
      </c>
      <c r="AS48">
        <f t="shared" si="16"/>
        <v>0</v>
      </c>
    </row>
    <row r="49" spans="1:45" ht="20.100000000000001" customHeight="1" x14ac:dyDescent="0.3">
      <c r="A49" s="330" t="s">
        <v>428</v>
      </c>
      <c r="B49" s="465" t="s">
        <v>524</v>
      </c>
      <c r="C49" s="467"/>
      <c r="D49" s="464">
        <v>1000</v>
      </c>
      <c r="E49" s="907">
        <f t="shared" si="28"/>
        <v>269.24694826892033</v>
      </c>
      <c r="F49" s="907"/>
      <c r="G49" s="464">
        <v>400</v>
      </c>
      <c r="H49" s="455">
        <f t="shared" si="9"/>
        <v>159.59589487869363</v>
      </c>
      <c r="I49" s="457">
        <f t="shared" si="29"/>
        <v>0</v>
      </c>
      <c r="J49" s="456">
        <f t="shared" si="6"/>
        <v>4.8787216286808741</v>
      </c>
      <c r="K49" s="77">
        <v>0</v>
      </c>
      <c r="L49" s="457">
        <f t="shared" si="30"/>
        <v>1119.1917897573871</v>
      </c>
      <c r="M49" s="476">
        <f t="shared" si="8"/>
        <v>22</v>
      </c>
      <c r="N49" s="477">
        <f t="shared" si="10"/>
        <v>0</v>
      </c>
      <c r="O49" s="271">
        <f t="shared" si="11"/>
        <v>0</v>
      </c>
      <c r="P49" s="271">
        <f t="shared" si="12"/>
        <v>0</v>
      </c>
      <c r="Q49" s="44"/>
      <c r="R49" s="874" t="s">
        <v>688</v>
      </c>
      <c r="S49" s="874"/>
      <c r="T49" s="262"/>
      <c r="U49" s="228"/>
      <c r="V49" s="228"/>
      <c r="W49" s="228"/>
      <c r="X49" s="9"/>
      <c r="Y49" s="903">
        <f t="shared" si="32"/>
        <v>0</v>
      </c>
      <c r="Z49" s="903"/>
      <c r="AA49" s="903"/>
      <c r="AB49" s="99"/>
      <c r="AC49" s="3"/>
      <c r="AD49" s="213">
        <f t="shared" si="13"/>
        <v>400</v>
      </c>
      <c r="AE49" s="4"/>
      <c r="AF49" s="4"/>
      <c r="AG49" s="4"/>
      <c r="AH49" s="4"/>
      <c r="AI49" s="4"/>
      <c r="AJ49" s="5"/>
      <c r="AK49" s="5"/>
      <c r="AL49" s="6"/>
      <c r="AM49" s="7"/>
      <c r="AR49">
        <f t="shared" si="15"/>
        <v>6.87</v>
      </c>
      <c r="AS49">
        <f t="shared" si="16"/>
        <v>0</v>
      </c>
    </row>
    <row r="50" spans="1:45" ht="20.100000000000001" customHeight="1" x14ac:dyDescent="0.3">
      <c r="A50" s="38" t="s">
        <v>428</v>
      </c>
      <c r="B50" s="465" t="s">
        <v>524</v>
      </c>
      <c r="C50" s="466"/>
      <c r="D50" s="464">
        <v>1000</v>
      </c>
      <c r="E50" s="889">
        <f t="shared" si="28"/>
        <v>269.24694826892033</v>
      </c>
      <c r="F50" s="889"/>
      <c r="G50" s="464">
        <v>400</v>
      </c>
      <c r="H50" s="455">
        <f t="shared" si="9"/>
        <v>159.59589487869363</v>
      </c>
      <c r="I50" s="453">
        <f t="shared" si="29"/>
        <v>0</v>
      </c>
      <c r="J50" s="456">
        <f t="shared" si="6"/>
        <v>4.8787216286808741</v>
      </c>
      <c r="K50" s="77">
        <v>0</v>
      </c>
      <c r="L50" s="453">
        <f t="shared" si="30"/>
        <v>1119.1917897573871</v>
      </c>
      <c r="M50" s="476">
        <f t="shared" si="8"/>
        <v>22</v>
      </c>
      <c r="N50" s="477">
        <f t="shared" si="10"/>
        <v>0</v>
      </c>
      <c r="O50" s="271">
        <f t="shared" si="11"/>
        <v>0</v>
      </c>
      <c r="P50" s="271">
        <f t="shared" si="12"/>
        <v>0</v>
      </c>
      <c r="Q50" s="359"/>
      <c r="R50" s="874" t="s">
        <v>688</v>
      </c>
      <c r="S50" s="874"/>
      <c r="T50" s="329"/>
      <c r="U50" s="329"/>
      <c r="V50" s="329"/>
      <c r="W50" s="329"/>
      <c r="X50" s="229"/>
      <c r="Y50" s="332"/>
      <c r="Z50" s="332"/>
      <c r="AA50" s="332"/>
      <c r="AB50" s="99"/>
      <c r="AC50" s="3"/>
      <c r="AD50" s="213">
        <f t="shared" si="13"/>
        <v>400</v>
      </c>
      <c r="AE50" s="4"/>
      <c r="AF50" s="4"/>
      <c r="AG50" s="4"/>
      <c r="AH50" s="4"/>
      <c r="AI50" s="4"/>
      <c r="AJ50" s="5"/>
      <c r="AK50" s="5"/>
      <c r="AL50" s="6"/>
      <c r="AM50" s="7"/>
      <c r="AR50">
        <f t="shared" si="15"/>
        <v>6.87</v>
      </c>
      <c r="AS50">
        <f t="shared" si="16"/>
        <v>0</v>
      </c>
    </row>
    <row r="51" spans="1:45" ht="20.100000000000001" customHeight="1" x14ac:dyDescent="0.3">
      <c r="A51" s="38" t="s">
        <v>428</v>
      </c>
      <c r="B51" s="465" t="s">
        <v>524</v>
      </c>
      <c r="C51" s="466"/>
      <c r="D51" s="464">
        <v>1000</v>
      </c>
      <c r="E51" s="889">
        <f t="shared" si="28"/>
        <v>269.24694826892033</v>
      </c>
      <c r="F51" s="889"/>
      <c r="G51" s="464">
        <v>400</v>
      </c>
      <c r="H51" s="455">
        <f t="shared" si="9"/>
        <v>159.59589487869363</v>
      </c>
      <c r="I51" s="453">
        <f t="shared" si="29"/>
        <v>0</v>
      </c>
      <c r="J51" s="456">
        <f t="shared" si="6"/>
        <v>4.8787216286808741</v>
      </c>
      <c r="K51" s="77">
        <v>0</v>
      </c>
      <c r="L51" s="453">
        <f t="shared" si="30"/>
        <v>1119.1917897573871</v>
      </c>
      <c r="M51" s="476">
        <f t="shared" si="8"/>
        <v>22</v>
      </c>
      <c r="N51" s="477">
        <f t="shared" si="10"/>
        <v>0</v>
      </c>
      <c r="O51" s="271">
        <f t="shared" si="11"/>
        <v>0</v>
      </c>
      <c r="P51" s="271">
        <f t="shared" si="12"/>
        <v>0</v>
      </c>
      <c r="Q51" s="348"/>
      <c r="R51" s="908"/>
      <c r="S51" s="908"/>
      <c r="T51" s="329"/>
      <c r="U51" s="329"/>
      <c r="V51" s="329"/>
      <c r="W51" s="329"/>
      <c r="X51" s="229"/>
      <c r="Y51" s="332"/>
      <c r="Z51" s="332"/>
      <c r="AA51" s="332"/>
      <c r="AB51" s="99"/>
      <c r="AC51" s="3"/>
      <c r="AD51" s="213">
        <f t="shared" si="13"/>
        <v>400</v>
      </c>
      <c r="AE51" s="4"/>
      <c r="AF51" s="4"/>
      <c r="AG51" s="4"/>
      <c r="AH51" s="4"/>
      <c r="AI51" s="4"/>
      <c r="AJ51" s="5"/>
      <c r="AK51" s="5"/>
      <c r="AL51" s="6"/>
      <c r="AM51" s="7"/>
      <c r="AR51">
        <f t="shared" si="15"/>
        <v>6.87</v>
      </c>
      <c r="AS51">
        <f t="shared" si="16"/>
        <v>0</v>
      </c>
    </row>
    <row r="52" spans="1:45" ht="20.100000000000001" customHeight="1" x14ac:dyDescent="0.3">
      <c r="A52" s="38" t="s">
        <v>428</v>
      </c>
      <c r="B52" s="465" t="s">
        <v>524</v>
      </c>
      <c r="C52" s="466"/>
      <c r="D52" s="464">
        <v>1000</v>
      </c>
      <c r="E52" s="889">
        <f t="shared" ref="E52:E80" si="33">IF(H52&gt;0,1.3*((H52*G52)^0.625)/((H52+G52)^0.25),G52)</f>
        <v>269.24694826892033</v>
      </c>
      <c r="F52" s="889"/>
      <c r="G52" s="464">
        <v>400</v>
      </c>
      <c r="H52" s="455">
        <f t="shared" si="9"/>
        <v>159.59589487869363</v>
      </c>
      <c r="I52" s="453">
        <f t="shared" ref="I52:I80" si="34">(IF(B52="E",C52,$H$18))*K52</f>
        <v>0</v>
      </c>
      <c r="J52" s="456">
        <f t="shared" si="6"/>
        <v>4.8787216286808741</v>
      </c>
      <c r="K52" s="77">
        <v>0</v>
      </c>
      <c r="L52" s="453">
        <f t="shared" ref="L52:L80" si="35">SUM(2*H52,2*G52)</f>
        <v>1119.1917897573871</v>
      </c>
      <c r="M52" s="476">
        <f t="shared" si="8"/>
        <v>22</v>
      </c>
      <c r="N52" s="477">
        <f t="shared" si="10"/>
        <v>0</v>
      </c>
      <c r="O52" s="271">
        <f t="shared" si="11"/>
        <v>0</v>
      </c>
      <c r="P52" s="271">
        <f t="shared" si="12"/>
        <v>0</v>
      </c>
      <c r="Q52" s="348"/>
      <c r="R52" s="908"/>
      <c r="S52" s="908"/>
      <c r="T52" s="9"/>
      <c r="U52" s="9"/>
      <c r="V52" s="9"/>
      <c r="W52" s="9"/>
      <c r="X52" s="9"/>
      <c r="Y52" s="9"/>
      <c r="Z52" s="38"/>
      <c r="AA52" s="38"/>
      <c r="AB52" s="99"/>
      <c r="AC52" s="3"/>
      <c r="AD52" s="213">
        <f t="shared" si="13"/>
        <v>400</v>
      </c>
      <c r="AE52" s="4"/>
      <c r="AF52" s="4"/>
      <c r="AG52" s="4"/>
      <c r="AH52" s="4"/>
      <c r="AI52" s="4"/>
      <c r="AJ52" s="5"/>
      <c r="AK52" s="5"/>
      <c r="AL52" s="6"/>
      <c r="AM52" s="7"/>
      <c r="AR52">
        <f t="shared" si="15"/>
        <v>6.87</v>
      </c>
      <c r="AS52">
        <f t="shared" si="16"/>
        <v>0</v>
      </c>
    </row>
    <row r="53" spans="1:45" ht="20.100000000000001" customHeight="1" x14ac:dyDescent="0.3">
      <c r="A53" s="38" t="s">
        <v>428</v>
      </c>
      <c r="B53" s="465" t="s">
        <v>524</v>
      </c>
      <c r="C53" s="466"/>
      <c r="D53" s="464">
        <v>1000</v>
      </c>
      <c r="E53" s="889">
        <f t="shared" si="33"/>
        <v>269.24694826892033</v>
      </c>
      <c r="F53" s="889"/>
      <c r="G53" s="464">
        <v>400</v>
      </c>
      <c r="H53" s="455">
        <f t="shared" si="9"/>
        <v>159.59589487869363</v>
      </c>
      <c r="I53" s="453">
        <f t="shared" si="34"/>
        <v>0</v>
      </c>
      <c r="J53" s="456">
        <f t="shared" si="6"/>
        <v>4.8787216286808741</v>
      </c>
      <c r="K53" s="77">
        <v>0</v>
      </c>
      <c r="L53" s="453">
        <f t="shared" si="35"/>
        <v>1119.1917897573871</v>
      </c>
      <c r="M53" s="476">
        <f t="shared" si="8"/>
        <v>22</v>
      </c>
      <c r="N53" s="477">
        <f t="shared" si="10"/>
        <v>0</v>
      </c>
      <c r="O53" s="271">
        <f t="shared" si="11"/>
        <v>0</v>
      </c>
      <c r="P53" s="271">
        <f t="shared" si="12"/>
        <v>0</v>
      </c>
      <c r="Q53" s="349"/>
      <c r="R53" s="908"/>
      <c r="S53" s="908"/>
      <c r="T53" s="333"/>
      <c r="U53" s="333"/>
      <c r="V53" s="333"/>
      <c r="W53" s="333"/>
      <c r="X53" s="333"/>
      <c r="Y53" s="333"/>
      <c r="Z53" s="333"/>
      <c r="AA53" s="333"/>
      <c r="AB53" s="99"/>
      <c r="AC53" s="3"/>
      <c r="AD53" s="213">
        <f t="shared" si="13"/>
        <v>400</v>
      </c>
      <c r="AE53" s="4"/>
      <c r="AF53" s="4"/>
      <c r="AG53" s="4"/>
      <c r="AH53" s="4"/>
      <c r="AI53" s="4"/>
      <c r="AJ53" s="5"/>
      <c r="AK53" s="5"/>
      <c r="AL53" s="6"/>
      <c r="AM53" s="7"/>
      <c r="AR53">
        <f t="shared" si="15"/>
        <v>6.87</v>
      </c>
      <c r="AS53">
        <f t="shared" si="16"/>
        <v>0</v>
      </c>
    </row>
    <row r="54" spans="1:45" ht="20.100000000000001" customHeight="1" x14ac:dyDescent="0.3">
      <c r="A54" s="38" t="s">
        <v>428</v>
      </c>
      <c r="B54" s="465" t="s">
        <v>524</v>
      </c>
      <c r="C54" s="466"/>
      <c r="D54" s="464">
        <v>1000</v>
      </c>
      <c r="E54" s="889">
        <f t="shared" si="33"/>
        <v>269.24694826892033</v>
      </c>
      <c r="F54" s="889"/>
      <c r="G54" s="464">
        <v>400</v>
      </c>
      <c r="H54" s="455">
        <f t="shared" si="9"/>
        <v>159.59589487869363</v>
      </c>
      <c r="I54" s="453">
        <f t="shared" si="34"/>
        <v>0</v>
      </c>
      <c r="J54" s="456">
        <f t="shared" si="6"/>
        <v>4.8787216286808741</v>
      </c>
      <c r="K54" s="77">
        <v>0</v>
      </c>
      <c r="L54" s="453">
        <f t="shared" si="35"/>
        <v>1119.1917897573871</v>
      </c>
      <c r="M54" s="476">
        <f t="shared" si="8"/>
        <v>22</v>
      </c>
      <c r="N54" s="477">
        <f t="shared" si="10"/>
        <v>0</v>
      </c>
      <c r="O54" s="271">
        <f t="shared" si="11"/>
        <v>0</v>
      </c>
      <c r="P54" s="271">
        <f t="shared" si="12"/>
        <v>0</v>
      </c>
      <c r="Q54" s="349"/>
      <c r="R54" s="908"/>
      <c r="S54" s="908"/>
      <c r="T54" s="333"/>
      <c r="U54" s="333"/>
      <c r="V54" s="333"/>
      <c r="W54" s="333"/>
      <c r="X54" s="333"/>
      <c r="Y54" s="333"/>
      <c r="Z54" s="333"/>
      <c r="AA54" s="333"/>
      <c r="AB54" s="99"/>
      <c r="AC54" s="3"/>
      <c r="AD54" s="213">
        <f t="shared" si="13"/>
        <v>400</v>
      </c>
      <c r="AE54" s="4"/>
      <c r="AF54" s="4"/>
      <c r="AG54" s="4"/>
      <c r="AH54" s="4"/>
      <c r="AI54" s="4"/>
      <c r="AJ54" s="5"/>
      <c r="AK54" s="5"/>
      <c r="AL54" s="6"/>
      <c r="AM54" s="7"/>
      <c r="AR54">
        <f t="shared" si="15"/>
        <v>6.87</v>
      </c>
      <c r="AS54">
        <f t="shared" si="16"/>
        <v>0</v>
      </c>
    </row>
    <row r="55" spans="1:45" ht="20.100000000000001" customHeight="1" x14ac:dyDescent="0.3">
      <c r="A55" s="38" t="s">
        <v>428</v>
      </c>
      <c r="B55" s="465" t="s">
        <v>524</v>
      </c>
      <c r="C55" s="466"/>
      <c r="D55" s="464">
        <v>1000</v>
      </c>
      <c r="E55" s="889">
        <f t="shared" si="33"/>
        <v>269.24694826892033</v>
      </c>
      <c r="F55" s="889"/>
      <c r="G55" s="464">
        <v>400</v>
      </c>
      <c r="H55" s="455">
        <f t="shared" si="9"/>
        <v>159.59589487869363</v>
      </c>
      <c r="I55" s="453">
        <f t="shared" si="34"/>
        <v>0</v>
      </c>
      <c r="J55" s="456">
        <f t="shared" si="6"/>
        <v>4.8787216286808741</v>
      </c>
      <c r="K55" s="77">
        <v>0</v>
      </c>
      <c r="L55" s="453">
        <f t="shared" si="35"/>
        <v>1119.1917897573871</v>
      </c>
      <c r="M55" s="476">
        <f t="shared" si="8"/>
        <v>22</v>
      </c>
      <c r="N55" s="477">
        <f t="shared" si="10"/>
        <v>0</v>
      </c>
      <c r="O55" s="271">
        <f t="shared" si="11"/>
        <v>0</v>
      </c>
      <c r="P55" s="271">
        <f t="shared" si="12"/>
        <v>0</v>
      </c>
      <c r="Q55" s="349"/>
      <c r="R55" s="908"/>
      <c r="S55" s="908"/>
      <c r="T55" s="333"/>
      <c r="U55" s="333"/>
      <c r="V55" s="333"/>
      <c r="W55" s="333"/>
      <c r="X55" s="333"/>
      <c r="Y55" s="333"/>
      <c r="Z55" s="333"/>
      <c r="AA55" s="333"/>
      <c r="AB55" s="99"/>
      <c r="AC55" s="3"/>
      <c r="AD55" s="213">
        <f t="shared" si="13"/>
        <v>400</v>
      </c>
      <c r="AE55" s="4"/>
      <c r="AF55" s="4"/>
      <c r="AG55" s="4"/>
      <c r="AH55" s="4"/>
      <c r="AI55" s="4"/>
      <c r="AJ55" s="5"/>
      <c r="AK55" s="5"/>
      <c r="AL55" s="6"/>
      <c r="AM55" s="7"/>
      <c r="AR55">
        <f t="shared" si="15"/>
        <v>6.87</v>
      </c>
      <c r="AS55">
        <f t="shared" si="16"/>
        <v>0</v>
      </c>
    </row>
    <row r="56" spans="1:45" ht="20.100000000000001" customHeight="1" x14ac:dyDescent="0.3">
      <c r="A56" s="38" t="s">
        <v>428</v>
      </c>
      <c r="B56" s="465" t="s">
        <v>524</v>
      </c>
      <c r="C56" s="466"/>
      <c r="D56" s="464">
        <v>1000</v>
      </c>
      <c r="E56" s="889">
        <f t="shared" si="33"/>
        <v>269.24694826892033</v>
      </c>
      <c r="F56" s="889"/>
      <c r="G56" s="464">
        <v>400</v>
      </c>
      <c r="H56" s="455">
        <f t="shared" si="9"/>
        <v>159.59589487869363</v>
      </c>
      <c r="I56" s="453">
        <f t="shared" si="34"/>
        <v>0</v>
      </c>
      <c r="J56" s="456">
        <f t="shared" si="6"/>
        <v>4.8787216286808741</v>
      </c>
      <c r="K56" s="77">
        <v>0</v>
      </c>
      <c r="L56" s="453">
        <f t="shared" si="35"/>
        <v>1119.1917897573871</v>
      </c>
      <c r="M56" s="476">
        <f t="shared" si="8"/>
        <v>22</v>
      </c>
      <c r="N56" s="477">
        <f t="shared" si="10"/>
        <v>0</v>
      </c>
      <c r="O56" s="271">
        <f t="shared" si="11"/>
        <v>0</v>
      </c>
      <c r="P56" s="271">
        <f t="shared" si="12"/>
        <v>0</v>
      </c>
      <c r="Q56" s="350"/>
      <c r="R56" s="908"/>
      <c r="S56" s="908"/>
      <c r="T56" s="228"/>
      <c r="U56" s="334"/>
      <c r="V56" s="335"/>
      <c r="W56" s="228"/>
      <c r="X56" s="228"/>
      <c r="Y56" s="228"/>
      <c r="Z56" s="228"/>
      <c r="AA56" s="228"/>
      <c r="AB56" s="29"/>
      <c r="AD56" s="213">
        <f t="shared" si="13"/>
        <v>400</v>
      </c>
      <c r="AR56">
        <f t="shared" si="15"/>
        <v>6.87</v>
      </c>
      <c r="AS56">
        <f t="shared" si="16"/>
        <v>0</v>
      </c>
    </row>
    <row r="57" spans="1:45" ht="20.100000000000001" customHeight="1" x14ac:dyDescent="0.3">
      <c r="A57" s="38" t="s">
        <v>428</v>
      </c>
      <c r="B57" s="465" t="s">
        <v>524</v>
      </c>
      <c r="C57" s="466"/>
      <c r="D57" s="464">
        <v>1000</v>
      </c>
      <c r="E57" s="889">
        <f t="shared" si="33"/>
        <v>269.24694826892033</v>
      </c>
      <c r="F57" s="889"/>
      <c r="G57" s="464">
        <v>400</v>
      </c>
      <c r="H57" s="455">
        <f t="shared" si="9"/>
        <v>159.59589487869363</v>
      </c>
      <c r="I57" s="453">
        <f t="shared" si="34"/>
        <v>0</v>
      </c>
      <c r="J57" s="456">
        <f t="shared" si="6"/>
        <v>4.8787216286808741</v>
      </c>
      <c r="K57" s="77">
        <v>0</v>
      </c>
      <c r="L57" s="453">
        <f t="shared" si="35"/>
        <v>1119.1917897573871</v>
      </c>
      <c r="M57" s="476">
        <f t="shared" si="8"/>
        <v>22</v>
      </c>
      <c r="N57" s="477">
        <f t="shared" si="10"/>
        <v>0</v>
      </c>
      <c r="O57" s="271">
        <f t="shared" si="11"/>
        <v>0</v>
      </c>
      <c r="P57" s="271">
        <f t="shared" si="12"/>
        <v>0</v>
      </c>
      <c r="Q57" s="351"/>
      <c r="R57" s="908"/>
      <c r="S57" s="908"/>
      <c r="T57" s="76"/>
      <c r="U57" s="77"/>
      <c r="V57" s="77"/>
      <c r="W57" s="228"/>
      <c r="X57" s="228"/>
      <c r="Y57" s="228"/>
      <c r="Z57" s="228"/>
      <c r="AA57" s="38"/>
      <c r="AB57" s="29"/>
      <c r="AD57" s="213">
        <f t="shared" si="13"/>
        <v>400</v>
      </c>
      <c r="AR57">
        <f t="shared" si="15"/>
        <v>6.87</v>
      </c>
      <c r="AS57">
        <f t="shared" si="16"/>
        <v>0</v>
      </c>
    </row>
    <row r="58" spans="1:45" ht="20.100000000000001" customHeight="1" x14ac:dyDescent="0.3">
      <c r="A58" s="38" t="s">
        <v>428</v>
      </c>
      <c r="B58" s="465" t="s">
        <v>524</v>
      </c>
      <c r="C58" s="466"/>
      <c r="D58" s="464">
        <v>1000</v>
      </c>
      <c r="E58" s="889">
        <f t="shared" si="33"/>
        <v>269.24694826892033</v>
      </c>
      <c r="F58" s="889"/>
      <c r="G58" s="464">
        <v>400</v>
      </c>
      <c r="H58" s="455">
        <f t="shared" si="9"/>
        <v>159.59589487869363</v>
      </c>
      <c r="I58" s="453">
        <f t="shared" si="34"/>
        <v>0</v>
      </c>
      <c r="J58" s="456">
        <f t="shared" si="6"/>
        <v>4.8787216286808741</v>
      </c>
      <c r="K58" s="77">
        <v>0</v>
      </c>
      <c r="L58" s="453">
        <f t="shared" si="35"/>
        <v>1119.1917897573871</v>
      </c>
      <c r="M58" s="476">
        <f t="shared" si="8"/>
        <v>22</v>
      </c>
      <c r="N58" s="477">
        <f t="shared" si="10"/>
        <v>0</v>
      </c>
      <c r="O58" s="271">
        <f t="shared" si="11"/>
        <v>0</v>
      </c>
      <c r="P58" s="271">
        <f t="shared" si="12"/>
        <v>0</v>
      </c>
      <c r="Q58" s="352"/>
      <c r="R58" s="874" t="s">
        <v>688</v>
      </c>
      <c r="S58" s="874"/>
      <c r="T58" s="336"/>
      <c r="U58" s="336"/>
      <c r="V58" s="336"/>
      <c r="W58" s="336"/>
      <c r="X58" s="336"/>
      <c r="Y58" s="336"/>
      <c r="Z58" s="336"/>
      <c r="AA58" s="336"/>
      <c r="AB58" s="29"/>
      <c r="AD58" s="213">
        <f t="shared" si="13"/>
        <v>400</v>
      </c>
      <c r="AR58">
        <f t="shared" si="15"/>
        <v>6.87</v>
      </c>
      <c r="AS58">
        <f t="shared" si="16"/>
        <v>0</v>
      </c>
    </row>
    <row r="59" spans="1:45" ht="20.100000000000001" customHeight="1" x14ac:dyDescent="0.3">
      <c r="A59" s="38" t="s">
        <v>428</v>
      </c>
      <c r="B59" s="465" t="s">
        <v>524</v>
      </c>
      <c r="C59" s="466"/>
      <c r="D59" s="464">
        <v>1000</v>
      </c>
      <c r="E59" s="889">
        <f t="shared" si="33"/>
        <v>269.24694826892033</v>
      </c>
      <c r="F59" s="889"/>
      <c r="G59" s="464">
        <v>400</v>
      </c>
      <c r="H59" s="455">
        <f t="shared" si="9"/>
        <v>159.59589487869363</v>
      </c>
      <c r="I59" s="453">
        <f t="shared" si="34"/>
        <v>0</v>
      </c>
      <c r="J59" s="456">
        <f t="shared" si="6"/>
        <v>4.8787216286808741</v>
      </c>
      <c r="K59" s="77">
        <v>0</v>
      </c>
      <c r="L59" s="453">
        <f t="shared" si="35"/>
        <v>1119.1917897573871</v>
      </c>
      <c r="M59" s="476">
        <f t="shared" si="8"/>
        <v>22</v>
      </c>
      <c r="N59" s="477">
        <f t="shared" si="10"/>
        <v>0</v>
      </c>
      <c r="O59" s="271">
        <f t="shared" si="11"/>
        <v>0</v>
      </c>
      <c r="P59" s="271">
        <f t="shared" si="12"/>
        <v>0</v>
      </c>
      <c r="Q59" s="353"/>
      <c r="R59" s="874" t="s">
        <v>689</v>
      </c>
      <c r="S59" s="874"/>
      <c r="T59" s="337"/>
      <c r="U59" s="9"/>
      <c r="V59" s="9"/>
      <c r="W59" s="338"/>
      <c r="X59" s="338"/>
      <c r="Y59" s="338"/>
      <c r="Z59" s="338"/>
      <c r="AA59" s="212"/>
      <c r="AB59" s="29"/>
      <c r="AD59" s="213">
        <f t="shared" si="13"/>
        <v>400</v>
      </c>
      <c r="AR59">
        <f t="shared" si="15"/>
        <v>6.87</v>
      </c>
      <c r="AS59">
        <f t="shared" si="16"/>
        <v>0</v>
      </c>
    </row>
    <row r="60" spans="1:45" ht="20.100000000000001" customHeight="1" x14ac:dyDescent="0.3">
      <c r="A60" s="38" t="s">
        <v>428</v>
      </c>
      <c r="B60" s="465" t="s">
        <v>524</v>
      </c>
      <c r="C60" s="466"/>
      <c r="D60" s="464">
        <v>1000</v>
      </c>
      <c r="E60" s="889">
        <f t="shared" si="33"/>
        <v>269.24694826892033</v>
      </c>
      <c r="F60" s="889"/>
      <c r="G60" s="464">
        <v>400</v>
      </c>
      <c r="H60" s="455">
        <f t="shared" si="9"/>
        <v>159.59589487869363</v>
      </c>
      <c r="I60" s="453">
        <f t="shared" si="34"/>
        <v>0</v>
      </c>
      <c r="J60" s="456">
        <f t="shared" si="6"/>
        <v>4.8787216286808741</v>
      </c>
      <c r="K60" s="77">
        <v>0</v>
      </c>
      <c r="L60" s="453">
        <f t="shared" si="35"/>
        <v>1119.1917897573871</v>
      </c>
      <c r="M60" s="476">
        <f t="shared" si="8"/>
        <v>22</v>
      </c>
      <c r="N60" s="477">
        <f t="shared" si="10"/>
        <v>0</v>
      </c>
      <c r="O60" s="271">
        <f t="shared" si="11"/>
        <v>0</v>
      </c>
      <c r="P60" s="271">
        <f t="shared" si="12"/>
        <v>0</v>
      </c>
      <c r="Q60" s="353"/>
      <c r="R60" s="874" t="s">
        <v>690</v>
      </c>
      <c r="S60" s="874"/>
      <c r="T60" s="337"/>
      <c r="U60" s="9"/>
      <c r="V60" s="9"/>
      <c r="W60" s="338"/>
      <c r="X60" s="338"/>
      <c r="Y60" s="338"/>
      <c r="Z60" s="338"/>
      <c r="AA60" s="212"/>
      <c r="AB60" s="29"/>
      <c r="AD60" s="213">
        <f t="shared" si="13"/>
        <v>400</v>
      </c>
      <c r="AR60">
        <f t="shared" si="15"/>
        <v>6.87</v>
      </c>
      <c r="AS60">
        <f t="shared" si="16"/>
        <v>0</v>
      </c>
    </row>
    <row r="61" spans="1:45" ht="20.100000000000001" customHeight="1" x14ac:dyDescent="0.3">
      <c r="A61" s="38" t="s">
        <v>428</v>
      </c>
      <c r="B61" s="465" t="s">
        <v>524</v>
      </c>
      <c r="C61" s="466"/>
      <c r="D61" s="464">
        <v>1000</v>
      </c>
      <c r="E61" s="889">
        <f t="shared" si="33"/>
        <v>269.24694826892033</v>
      </c>
      <c r="F61" s="889"/>
      <c r="G61" s="464">
        <v>400</v>
      </c>
      <c r="H61" s="455">
        <f t="shared" si="9"/>
        <v>159.59589487869363</v>
      </c>
      <c r="I61" s="453">
        <f t="shared" si="34"/>
        <v>0</v>
      </c>
      <c r="J61" s="456">
        <f t="shared" si="6"/>
        <v>4.8787216286808741</v>
      </c>
      <c r="K61" s="77">
        <v>0</v>
      </c>
      <c r="L61" s="453">
        <f t="shared" si="35"/>
        <v>1119.1917897573871</v>
      </c>
      <c r="M61" s="476">
        <f t="shared" si="8"/>
        <v>22</v>
      </c>
      <c r="N61" s="477">
        <f t="shared" si="10"/>
        <v>0</v>
      </c>
      <c r="O61" s="271">
        <f t="shared" si="11"/>
        <v>0</v>
      </c>
      <c r="P61" s="271">
        <f t="shared" si="12"/>
        <v>0</v>
      </c>
      <c r="Q61" s="348"/>
      <c r="R61" s="9"/>
      <c r="S61" s="9"/>
      <c r="T61" s="9"/>
      <c r="U61" s="9"/>
      <c r="V61" s="9"/>
      <c r="W61" s="339"/>
      <c r="X61" s="339"/>
      <c r="Y61" s="339"/>
      <c r="Z61" s="339"/>
      <c r="AA61" s="310"/>
      <c r="AB61" s="29"/>
      <c r="AD61" s="213">
        <f t="shared" si="13"/>
        <v>400</v>
      </c>
      <c r="AR61">
        <f t="shared" si="15"/>
        <v>6.87</v>
      </c>
      <c r="AS61">
        <f t="shared" si="16"/>
        <v>0</v>
      </c>
    </row>
    <row r="62" spans="1:45" ht="20.100000000000001" customHeight="1" x14ac:dyDescent="0.3">
      <c r="A62" s="38" t="s">
        <v>428</v>
      </c>
      <c r="B62" s="465" t="s">
        <v>524</v>
      </c>
      <c r="C62" s="466"/>
      <c r="D62" s="464">
        <v>1000</v>
      </c>
      <c r="E62" s="889">
        <f t="shared" si="33"/>
        <v>269.24694826892033</v>
      </c>
      <c r="F62" s="889"/>
      <c r="G62" s="464">
        <v>400</v>
      </c>
      <c r="H62" s="455">
        <f t="shared" si="9"/>
        <v>159.59589487869363</v>
      </c>
      <c r="I62" s="453">
        <f t="shared" si="34"/>
        <v>0</v>
      </c>
      <c r="J62" s="456">
        <f t="shared" si="6"/>
        <v>4.8787216286808741</v>
      </c>
      <c r="K62" s="77">
        <v>0</v>
      </c>
      <c r="L62" s="453">
        <f t="shared" si="35"/>
        <v>1119.1917897573871</v>
      </c>
      <c r="M62" s="476">
        <f t="shared" si="8"/>
        <v>22</v>
      </c>
      <c r="N62" s="477">
        <f t="shared" si="10"/>
        <v>0</v>
      </c>
      <c r="O62" s="271">
        <f t="shared" si="11"/>
        <v>0</v>
      </c>
      <c r="P62" s="271">
        <f t="shared" si="12"/>
        <v>0</v>
      </c>
      <c r="Q62" s="54"/>
      <c r="R62" s="9"/>
      <c r="S62" s="9"/>
      <c r="T62" s="9"/>
      <c r="U62" s="9"/>
      <c r="V62" s="9"/>
      <c r="W62" s="339"/>
      <c r="X62" s="339"/>
      <c r="Y62" s="339"/>
      <c r="Z62" s="339"/>
      <c r="AA62" s="310"/>
      <c r="AB62" s="29"/>
      <c r="AD62" s="213">
        <f t="shared" si="13"/>
        <v>400</v>
      </c>
      <c r="AR62">
        <f t="shared" si="15"/>
        <v>6.87</v>
      </c>
      <c r="AS62">
        <f t="shared" si="16"/>
        <v>0</v>
      </c>
    </row>
    <row r="63" spans="1:45" ht="20.100000000000001" customHeight="1" x14ac:dyDescent="0.3">
      <c r="A63" s="38" t="s">
        <v>428</v>
      </c>
      <c r="B63" s="465" t="s">
        <v>524</v>
      </c>
      <c r="C63" s="466"/>
      <c r="D63" s="464">
        <v>1000</v>
      </c>
      <c r="E63" s="889">
        <f t="shared" si="33"/>
        <v>269.24694826892033</v>
      </c>
      <c r="F63" s="889"/>
      <c r="G63" s="464">
        <v>400</v>
      </c>
      <c r="H63" s="455">
        <f t="shared" si="9"/>
        <v>159.59589487869363</v>
      </c>
      <c r="I63" s="453">
        <f t="shared" si="34"/>
        <v>0</v>
      </c>
      <c r="J63" s="456">
        <f t="shared" si="6"/>
        <v>4.8787216286808741</v>
      </c>
      <c r="K63" s="77">
        <v>0</v>
      </c>
      <c r="L63" s="453">
        <f t="shared" si="35"/>
        <v>1119.1917897573871</v>
      </c>
      <c r="M63" s="476">
        <f t="shared" si="8"/>
        <v>22</v>
      </c>
      <c r="N63" s="477">
        <f t="shared" si="10"/>
        <v>0</v>
      </c>
      <c r="O63" s="271">
        <f t="shared" si="11"/>
        <v>0</v>
      </c>
      <c r="P63" s="271">
        <f t="shared" si="12"/>
        <v>0</v>
      </c>
      <c r="Q63" s="54"/>
      <c r="R63" s="9"/>
      <c r="S63" s="9"/>
      <c r="T63" s="9"/>
      <c r="U63" s="9"/>
      <c r="V63" s="9"/>
      <c r="W63" s="339"/>
      <c r="X63" s="339"/>
      <c r="Y63" s="339"/>
      <c r="Z63" s="339"/>
      <c r="AA63" s="310"/>
      <c r="AB63" s="29"/>
      <c r="AD63" s="213">
        <f t="shared" si="13"/>
        <v>400</v>
      </c>
      <c r="AR63">
        <f t="shared" si="15"/>
        <v>6.87</v>
      </c>
      <c r="AS63">
        <f t="shared" si="16"/>
        <v>0</v>
      </c>
    </row>
    <row r="64" spans="1:45" ht="20.100000000000001" customHeight="1" x14ac:dyDescent="0.3">
      <c r="A64" s="38" t="s">
        <v>428</v>
      </c>
      <c r="B64" s="465" t="s">
        <v>524</v>
      </c>
      <c r="C64" s="466"/>
      <c r="D64" s="464">
        <v>1000</v>
      </c>
      <c r="E64" s="889">
        <f t="shared" si="33"/>
        <v>269.24694826892033</v>
      </c>
      <c r="F64" s="889"/>
      <c r="G64" s="464">
        <v>400</v>
      </c>
      <c r="H64" s="455">
        <f t="shared" si="9"/>
        <v>159.59589487869363</v>
      </c>
      <c r="I64" s="453">
        <f t="shared" si="34"/>
        <v>0</v>
      </c>
      <c r="J64" s="456">
        <f t="shared" si="6"/>
        <v>4.8787216286808741</v>
      </c>
      <c r="K64" s="77">
        <v>0</v>
      </c>
      <c r="L64" s="453">
        <f t="shared" si="35"/>
        <v>1119.1917897573871</v>
      </c>
      <c r="M64" s="476">
        <f t="shared" si="8"/>
        <v>22</v>
      </c>
      <c r="N64" s="477">
        <f t="shared" si="10"/>
        <v>0</v>
      </c>
      <c r="O64" s="271">
        <f t="shared" si="11"/>
        <v>0</v>
      </c>
      <c r="P64" s="271">
        <f t="shared" si="12"/>
        <v>0</v>
      </c>
      <c r="Q64" s="53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29"/>
      <c r="AD64" s="213">
        <f t="shared" si="13"/>
        <v>400</v>
      </c>
      <c r="AR64">
        <f t="shared" si="15"/>
        <v>6.87</v>
      </c>
      <c r="AS64">
        <f t="shared" si="16"/>
        <v>0</v>
      </c>
    </row>
    <row r="65" spans="1:45" ht="20.100000000000001" customHeight="1" x14ac:dyDescent="0.3">
      <c r="A65" s="38" t="s">
        <v>428</v>
      </c>
      <c r="B65" s="465" t="s">
        <v>524</v>
      </c>
      <c r="C65" s="466"/>
      <c r="D65" s="464">
        <v>1000</v>
      </c>
      <c r="E65" s="889">
        <f t="shared" si="33"/>
        <v>269.24694826892033</v>
      </c>
      <c r="F65" s="889"/>
      <c r="G65" s="464">
        <v>400</v>
      </c>
      <c r="H65" s="455">
        <f t="shared" si="9"/>
        <v>159.59589487869363</v>
      </c>
      <c r="I65" s="453">
        <f t="shared" si="34"/>
        <v>0</v>
      </c>
      <c r="J65" s="456">
        <f t="shared" si="6"/>
        <v>4.8787216286808741</v>
      </c>
      <c r="K65" s="77">
        <v>0</v>
      </c>
      <c r="L65" s="453">
        <f t="shared" si="35"/>
        <v>1119.1917897573871</v>
      </c>
      <c r="M65" s="476">
        <f t="shared" si="8"/>
        <v>22</v>
      </c>
      <c r="N65" s="477">
        <f t="shared" si="10"/>
        <v>0</v>
      </c>
      <c r="O65" s="271">
        <f t="shared" si="11"/>
        <v>0</v>
      </c>
      <c r="P65" s="271">
        <f t="shared" si="12"/>
        <v>0</v>
      </c>
      <c r="Q65" s="54"/>
      <c r="R65" s="9"/>
      <c r="S65" s="9"/>
      <c r="T65" s="9"/>
      <c r="U65" s="9"/>
      <c r="V65" s="9"/>
      <c r="W65" s="228"/>
      <c r="X65" s="228"/>
      <c r="Y65" s="228"/>
      <c r="Z65" s="228"/>
      <c r="AA65" s="26"/>
      <c r="AB65" s="29"/>
      <c r="AD65" s="213">
        <f t="shared" si="13"/>
        <v>400</v>
      </c>
      <c r="AR65">
        <f t="shared" si="15"/>
        <v>6.87</v>
      </c>
      <c r="AS65">
        <f t="shared" si="16"/>
        <v>0</v>
      </c>
    </row>
    <row r="66" spans="1:45" ht="20.100000000000001" customHeight="1" x14ac:dyDescent="0.3">
      <c r="A66" s="38" t="s">
        <v>428</v>
      </c>
      <c r="B66" s="465" t="s">
        <v>524</v>
      </c>
      <c r="C66" s="466"/>
      <c r="D66" s="464">
        <v>1000</v>
      </c>
      <c r="E66" s="889">
        <f t="shared" si="33"/>
        <v>269.24694826892033</v>
      </c>
      <c r="F66" s="889"/>
      <c r="G66" s="464">
        <v>400</v>
      </c>
      <c r="H66" s="455">
        <f t="shared" si="9"/>
        <v>159.59589487869363</v>
      </c>
      <c r="I66" s="453">
        <f t="shared" si="34"/>
        <v>0</v>
      </c>
      <c r="J66" s="456">
        <f t="shared" si="6"/>
        <v>4.8787216286808741</v>
      </c>
      <c r="K66" s="77">
        <v>0</v>
      </c>
      <c r="L66" s="453">
        <f t="shared" si="35"/>
        <v>1119.1917897573871</v>
      </c>
      <c r="M66" s="476">
        <f t="shared" si="8"/>
        <v>22</v>
      </c>
      <c r="N66" s="477">
        <f t="shared" si="10"/>
        <v>0</v>
      </c>
      <c r="O66" s="271">
        <f t="shared" si="11"/>
        <v>0</v>
      </c>
      <c r="P66" s="271">
        <f t="shared" si="12"/>
        <v>0</v>
      </c>
      <c r="Q66" s="344"/>
      <c r="R66" s="78"/>
      <c r="S66" s="78"/>
      <c r="T66" s="78"/>
      <c r="U66" s="78"/>
      <c r="V66" s="78"/>
      <c r="W66" s="78"/>
      <c r="X66" s="78"/>
      <c r="Y66" s="78"/>
      <c r="Z66" s="14"/>
      <c r="AA66" s="14"/>
      <c r="AB66" s="29"/>
      <c r="AD66" s="213">
        <f t="shared" si="13"/>
        <v>400</v>
      </c>
      <c r="AR66">
        <f t="shared" si="15"/>
        <v>6.87</v>
      </c>
      <c r="AS66">
        <f t="shared" si="16"/>
        <v>0</v>
      </c>
    </row>
    <row r="67" spans="1:45" ht="20.100000000000001" customHeight="1" x14ac:dyDescent="0.3">
      <c r="A67" s="38" t="s">
        <v>428</v>
      </c>
      <c r="B67" s="465" t="s">
        <v>524</v>
      </c>
      <c r="C67" s="466"/>
      <c r="D67" s="464">
        <v>1000</v>
      </c>
      <c r="E67" s="889">
        <f t="shared" si="33"/>
        <v>269.24694826892033</v>
      </c>
      <c r="F67" s="889"/>
      <c r="G67" s="464">
        <v>400</v>
      </c>
      <c r="H67" s="455">
        <f t="shared" si="9"/>
        <v>159.59589487869363</v>
      </c>
      <c r="I67" s="453">
        <f t="shared" si="34"/>
        <v>0</v>
      </c>
      <c r="J67" s="456">
        <f t="shared" si="6"/>
        <v>4.8787216286808741</v>
      </c>
      <c r="K67" s="77">
        <v>0</v>
      </c>
      <c r="L67" s="453">
        <f t="shared" si="35"/>
        <v>1119.1917897573871</v>
      </c>
      <c r="M67" s="476">
        <f t="shared" si="8"/>
        <v>22</v>
      </c>
      <c r="N67" s="477">
        <f t="shared" si="10"/>
        <v>0</v>
      </c>
      <c r="O67" s="271">
        <f t="shared" si="11"/>
        <v>0</v>
      </c>
      <c r="P67" s="271">
        <f t="shared" si="12"/>
        <v>0</v>
      </c>
      <c r="Q67" s="54"/>
      <c r="R67" s="9"/>
      <c r="S67" s="9"/>
      <c r="T67" s="9"/>
      <c r="U67" s="9"/>
      <c r="V67" s="9"/>
      <c r="W67" s="9"/>
      <c r="X67" s="9"/>
      <c r="Y67" s="9"/>
      <c r="Z67" s="9"/>
      <c r="AA67" s="9"/>
      <c r="AB67" s="29"/>
      <c r="AD67" s="213">
        <f t="shared" si="13"/>
        <v>400</v>
      </c>
      <c r="AR67">
        <f t="shared" si="15"/>
        <v>6.87</v>
      </c>
      <c r="AS67">
        <f t="shared" si="16"/>
        <v>0</v>
      </c>
    </row>
    <row r="68" spans="1:45" ht="20.100000000000001" customHeight="1" x14ac:dyDescent="0.3">
      <c r="A68" s="38" t="s">
        <v>428</v>
      </c>
      <c r="B68" s="465" t="s">
        <v>524</v>
      </c>
      <c r="C68" s="466"/>
      <c r="D68" s="464">
        <v>1000</v>
      </c>
      <c r="E68" s="889">
        <f t="shared" si="33"/>
        <v>269.24694826892033</v>
      </c>
      <c r="F68" s="889"/>
      <c r="G68" s="464">
        <v>400</v>
      </c>
      <c r="H68" s="455">
        <f t="shared" si="9"/>
        <v>159.59589487869363</v>
      </c>
      <c r="I68" s="453">
        <f t="shared" si="34"/>
        <v>0</v>
      </c>
      <c r="J68" s="456">
        <f t="shared" si="6"/>
        <v>4.8787216286808741</v>
      </c>
      <c r="K68" s="77">
        <v>0</v>
      </c>
      <c r="L68" s="453">
        <f t="shared" si="35"/>
        <v>1119.1917897573871</v>
      </c>
      <c r="M68" s="476">
        <f t="shared" si="8"/>
        <v>22</v>
      </c>
      <c r="N68" s="477">
        <f t="shared" si="10"/>
        <v>0</v>
      </c>
      <c r="O68" s="271">
        <f t="shared" si="11"/>
        <v>0</v>
      </c>
      <c r="P68" s="271">
        <f t="shared" si="12"/>
        <v>0</v>
      </c>
      <c r="Q68" s="343"/>
      <c r="R68" s="333"/>
      <c r="S68" s="333"/>
      <c r="T68" s="333"/>
      <c r="U68" s="333"/>
      <c r="V68" s="333"/>
      <c r="W68" s="333"/>
      <c r="X68" s="333"/>
      <c r="Y68" s="333"/>
      <c r="Z68" s="333"/>
      <c r="AA68" s="333"/>
      <c r="AB68" s="29"/>
      <c r="AD68" s="213">
        <f t="shared" si="13"/>
        <v>400</v>
      </c>
      <c r="AR68">
        <f t="shared" si="15"/>
        <v>6.87</v>
      </c>
      <c r="AS68">
        <f t="shared" si="16"/>
        <v>0</v>
      </c>
    </row>
    <row r="69" spans="1:45" ht="20.100000000000001" customHeight="1" x14ac:dyDescent="0.3">
      <c r="A69" s="38" t="s">
        <v>428</v>
      </c>
      <c r="B69" s="465" t="s">
        <v>524</v>
      </c>
      <c r="C69" s="466"/>
      <c r="D69" s="464">
        <v>1000</v>
      </c>
      <c r="E69" s="889">
        <f t="shared" si="33"/>
        <v>269.24694826892033</v>
      </c>
      <c r="F69" s="889"/>
      <c r="G69" s="464">
        <v>400</v>
      </c>
      <c r="H69" s="455">
        <f t="shared" si="9"/>
        <v>159.59589487869363</v>
      </c>
      <c r="I69" s="453">
        <f t="shared" si="34"/>
        <v>0</v>
      </c>
      <c r="J69" s="456">
        <f t="shared" si="6"/>
        <v>4.8787216286808741</v>
      </c>
      <c r="K69" s="77">
        <v>0</v>
      </c>
      <c r="L69" s="453">
        <f t="shared" si="35"/>
        <v>1119.1917897573871</v>
      </c>
      <c r="M69" s="476">
        <f t="shared" si="8"/>
        <v>22</v>
      </c>
      <c r="N69" s="477">
        <f t="shared" si="10"/>
        <v>0</v>
      </c>
      <c r="O69" s="271">
        <f t="shared" si="11"/>
        <v>0</v>
      </c>
      <c r="P69" s="271">
        <f t="shared" si="12"/>
        <v>0</v>
      </c>
      <c r="Q69" s="343"/>
      <c r="R69" s="333"/>
      <c r="S69" s="333"/>
      <c r="T69" s="333"/>
      <c r="U69" s="333"/>
      <c r="V69" s="333"/>
      <c r="W69" s="333"/>
      <c r="X69" s="333"/>
      <c r="Y69" s="333"/>
      <c r="Z69" s="333"/>
      <c r="AA69" s="333"/>
      <c r="AB69" s="29"/>
      <c r="AD69" s="213">
        <f t="shared" si="13"/>
        <v>400</v>
      </c>
      <c r="AR69">
        <f t="shared" si="15"/>
        <v>6.87</v>
      </c>
      <c r="AS69">
        <f t="shared" si="16"/>
        <v>0</v>
      </c>
    </row>
    <row r="70" spans="1:45" ht="20.100000000000001" customHeight="1" x14ac:dyDescent="0.3">
      <c r="A70" s="38" t="s">
        <v>428</v>
      </c>
      <c r="B70" s="465" t="s">
        <v>524</v>
      </c>
      <c r="C70" s="466"/>
      <c r="D70" s="464">
        <v>1000</v>
      </c>
      <c r="E70" s="889">
        <f t="shared" si="33"/>
        <v>269.24694826892033</v>
      </c>
      <c r="F70" s="889"/>
      <c r="G70" s="464">
        <v>400</v>
      </c>
      <c r="H70" s="455">
        <f t="shared" si="9"/>
        <v>159.59589487869363</v>
      </c>
      <c r="I70" s="453">
        <f t="shared" si="34"/>
        <v>0</v>
      </c>
      <c r="J70" s="456">
        <f t="shared" si="6"/>
        <v>4.8787216286808741</v>
      </c>
      <c r="K70" s="77">
        <v>0</v>
      </c>
      <c r="L70" s="453">
        <f t="shared" si="35"/>
        <v>1119.1917897573871</v>
      </c>
      <c r="M70" s="476">
        <f t="shared" si="8"/>
        <v>22</v>
      </c>
      <c r="N70" s="477">
        <f t="shared" si="10"/>
        <v>0</v>
      </c>
      <c r="O70" s="271">
        <f t="shared" si="11"/>
        <v>0</v>
      </c>
      <c r="P70" s="271">
        <f t="shared" si="12"/>
        <v>0</v>
      </c>
      <c r="Q70" s="343"/>
      <c r="R70" s="333"/>
      <c r="S70" s="333"/>
      <c r="T70" s="333"/>
      <c r="U70" s="333"/>
      <c r="V70" s="333"/>
      <c r="W70" s="333"/>
      <c r="X70" s="333"/>
      <c r="Y70" s="333"/>
      <c r="Z70" s="333"/>
      <c r="AA70" s="333"/>
      <c r="AB70" s="29"/>
      <c r="AD70" s="213">
        <f t="shared" si="13"/>
        <v>400</v>
      </c>
      <c r="AR70">
        <f t="shared" si="15"/>
        <v>6.87</v>
      </c>
      <c r="AS70">
        <f t="shared" si="16"/>
        <v>0</v>
      </c>
    </row>
    <row r="71" spans="1:45" ht="20.100000000000001" customHeight="1" x14ac:dyDescent="0.3">
      <c r="A71" s="38" t="s">
        <v>428</v>
      </c>
      <c r="B71" s="465" t="s">
        <v>524</v>
      </c>
      <c r="C71" s="466"/>
      <c r="D71" s="466">
        <v>1000</v>
      </c>
      <c r="E71" s="889">
        <f t="shared" si="33"/>
        <v>269.24694826892033</v>
      </c>
      <c r="F71" s="889"/>
      <c r="G71" s="464">
        <v>400</v>
      </c>
      <c r="H71" s="455">
        <f t="shared" si="9"/>
        <v>159.59589487869363</v>
      </c>
      <c r="I71" s="453">
        <f t="shared" si="34"/>
        <v>0</v>
      </c>
      <c r="J71" s="456">
        <f t="shared" si="6"/>
        <v>4.8787216286808741</v>
      </c>
      <c r="K71" s="77">
        <v>0</v>
      </c>
      <c r="L71" s="453">
        <f t="shared" si="35"/>
        <v>1119.1917897573871</v>
      </c>
      <c r="M71" s="476">
        <f t="shared" si="8"/>
        <v>22</v>
      </c>
      <c r="N71" s="477">
        <f t="shared" si="10"/>
        <v>0</v>
      </c>
      <c r="O71" s="271">
        <f t="shared" si="11"/>
        <v>0</v>
      </c>
      <c r="P71" s="271">
        <f t="shared" si="12"/>
        <v>0</v>
      </c>
      <c r="Q71" s="345"/>
      <c r="R71" s="340"/>
      <c r="S71" s="335"/>
      <c r="T71" s="335"/>
      <c r="U71" s="334"/>
      <c r="V71" s="228"/>
      <c r="W71" s="228"/>
      <c r="X71" s="228"/>
      <c r="Y71" s="228"/>
      <c r="Z71" s="228"/>
      <c r="AA71" s="228"/>
      <c r="AB71" s="29"/>
      <c r="AD71" s="213">
        <f t="shared" si="13"/>
        <v>400</v>
      </c>
      <c r="AR71">
        <f t="shared" si="15"/>
        <v>6.87</v>
      </c>
      <c r="AS71">
        <f t="shared" si="16"/>
        <v>0</v>
      </c>
    </row>
    <row r="72" spans="1:45" ht="20.100000000000001" customHeight="1" x14ac:dyDescent="0.3">
      <c r="A72" s="38" t="s">
        <v>428</v>
      </c>
      <c r="B72" s="465" t="s">
        <v>524</v>
      </c>
      <c r="C72" s="466"/>
      <c r="D72" s="466">
        <v>1000</v>
      </c>
      <c r="E72" s="889">
        <f t="shared" si="33"/>
        <v>269.24694826892033</v>
      </c>
      <c r="F72" s="889"/>
      <c r="G72" s="464">
        <v>400</v>
      </c>
      <c r="H72" s="455">
        <f t="shared" si="9"/>
        <v>159.59589487869363</v>
      </c>
      <c r="I72" s="453">
        <f t="shared" si="34"/>
        <v>0</v>
      </c>
      <c r="J72" s="456">
        <f t="shared" si="6"/>
        <v>4.8787216286808741</v>
      </c>
      <c r="K72" s="77">
        <v>0</v>
      </c>
      <c r="L72" s="453">
        <f t="shared" si="35"/>
        <v>1119.1917897573871</v>
      </c>
      <c r="M72" s="476">
        <f t="shared" si="8"/>
        <v>22</v>
      </c>
      <c r="N72" s="477">
        <f t="shared" si="10"/>
        <v>0</v>
      </c>
      <c r="O72" s="271">
        <f t="shared" si="11"/>
        <v>0</v>
      </c>
      <c r="P72" s="271">
        <f t="shared" si="12"/>
        <v>0</v>
      </c>
      <c r="Q72" s="346"/>
      <c r="R72" s="77"/>
      <c r="S72" s="77"/>
      <c r="T72" s="77"/>
      <c r="U72" s="9"/>
      <c r="V72" s="228"/>
      <c r="W72" s="228"/>
      <c r="X72" s="228"/>
      <c r="Y72" s="228"/>
      <c r="Z72" s="86"/>
      <c r="AA72" s="86"/>
      <c r="AB72" s="29"/>
      <c r="AD72" s="213">
        <f t="shared" si="13"/>
        <v>400</v>
      </c>
      <c r="AR72">
        <f t="shared" si="15"/>
        <v>6.87</v>
      </c>
      <c r="AS72">
        <f t="shared" si="16"/>
        <v>0</v>
      </c>
    </row>
    <row r="73" spans="1:45" ht="20.100000000000001" customHeight="1" x14ac:dyDescent="0.3">
      <c r="A73" s="38" t="s">
        <v>428</v>
      </c>
      <c r="B73" s="465" t="s">
        <v>524</v>
      </c>
      <c r="C73" s="466"/>
      <c r="D73" s="466">
        <v>1000</v>
      </c>
      <c r="E73" s="889">
        <f t="shared" si="33"/>
        <v>269.24694826892033</v>
      </c>
      <c r="F73" s="889"/>
      <c r="G73" s="464">
        <v>400</v>
      </c>
      <c r="H73" s="455">
        <f t="shared" si="9"/>
        <v>159.59589487869363</v>
      </c>
      <c r="I73" s="453">
        <f t="shared" si="34"/>
        <v>0</v>
      </c>
      <c r="J73" s="456">
        <f t="shared" si="6"/>
        <v>4.8787216286808741</v>
      </c>
      <c r="K73" s="77">
        <v>0</v>
      </c>
      <c r="L73" s="453">
        <f t="shared" si="35"/>
        <v>1119.1917897573871</v>
      </c>
      <c r="M73" s="476">
        <f t="shared" si="8"/>
        <v>22</v>
      </c>
      <c r="N73" s="477">
        <f t="shared" si="10"/>
        <v>0</v>
      </c>
      <c r="O73" s="271">
        <f t="shared" si="11"/>
        <v>0</v>
      </c>
      <c r="P73" s="271">
        <f t="shared" si="12"/>
        <v>0</v>
      </c>
      <c r="Q73" s="347"/>
      <c r="R73" s="341"/>
      <c r="S73" s="341"/>
      <c r="T73" s="341"/>
      <c r="U73" s="341"/>
      <c r="V73" s="341"/>
      <c r="W73" s="341"/>
      <c r="X73" s="341"/>
      <c r="Y73" s="341"/>
      <c r="Z73" s="341"/>
      <c r="AA73" s="341"/>
      <c r="AB73" s="29"/>
      <c r="AD73" s="213">
        <f t="shared" si="13"/>
        <v>400</v>
      </c>
      <c r="AR73">
        <f t="shared" si="15"/>
        <v>6.87</v>
      </c>
      <c r="AS73">
        <f t="shared" si="16"/>
        <v>0</v>
      </c>
    </row>
    <row r="74" spans="1:45" ht="20.100000000000001" customHeight="1" x14ac:dyDescent="0.3">
      <c r="A74" s="38" t="s">
        <v>428</v>
      </c>
      <c r="B74" s="465" t="s">
        <v>524</v>
      </c>
      <c r="C74" s="466"/>
      <c r="D74" s="466">
        <v>1000</v>
      </c>
      <c r="E74" s="889">
        <f t="shared" si="33"/>
        <v>269.24694826892033</v>
      </c>
      <c r="F74" s="889"/>
      <c r="G74" s="464">
        <v>400</v>
      </c>
      <c r="H74" s="455">
        <f t="shared" si="9"/>
        <v>159.59589487869363</v>
      </c>
      <c r="I74" s="453">
        <f t="shared" si="34"/>
        <v>0</v>
      </c>
      <c r="J74" s="456">
        <f t="shared" si="6"/>
        <v>4.8787216286808741</v>
      </c>
      <c r="K74" s="77">
        <v>0</v>
      </c>
      <c r="L74" s="453">
        <f t="shared" si="35"/>
        <v>1119.1917897573871</v>
      </c>
      <c r="M74" s="476">
        <f t="shared" si="8"/>
        <v>22</v>
      </c>
      <c r="N74" s="477">
        <f t="shared" si="10"/>
        <v>0</v>
      </c>
      <c r="O74" s="271">
        <f t="shared" si="11"/>
        <v>0</v>
      </c>
      <c r="P74" s="271">
        <f t="shared" si="12"/>
        <v>0</v>
      </c>
      <c r="Q74" s="308"/>
      <c r="R74" s="96"/>
      <c r="S74" s="9"/>
      <c r="T74" s="9"/>
      <c r="U74" s="9"/>
      <c r="V74" s="338"/>
      <c r="W74" s="338"/>
      <c r="X74" s="338"/>
      <c r="Y74" s="338"/>
      <c r="Z74" s="342"/>
      <c r="AA74" s="342"/>
      <c r="AB74" s="29"/>
      <c r="AD74" s="213">
        <f t="shared" si="13"/>
        <v>400</v>
      </c>
      <c r="AR74">
        <f t="shared" si="15"/>
        <v>6.87</v>
      </c>
      <c r="AS74">
        <f t="shared" si="16"/>
        <v>0</v>
      </c>
    </row>
    <row r="75" spans="1:45" ht="20.100000000000001" customHeight="1" x14ac:dyDescent="0.3">
      <c r="A75" s="38" t="s">
        <v>428</v>
      </c>
      <c r="B75" s="465" t="s">
        <v>524</v>
      </c>
      <c r="C75" s="466"/>
      <c r="D75" s="466">
        <v>1000</v>
      </c>
      <c r="E75" s="889">
        <f t="shared" si="33"/>
        <v>269.24694826892033</v>
      </c>
      <c r="F75" s="889"/>
      <c r="G75" s="464">
        <v>400</v>
      </c>
      <c r="H75" s="455">
        <f t="shared" si="9"/>
        <v>159.59589487869363</v>
      </c>
      <c r="I75" s="453">
        <f t="shared" si="34"/>
        <v>0</v>
      </c>
      <c r="J75" s="456">
        <f t="shared" si="6"/>
        <v>4.8787216286808741</v>
      </c>
      <c r="K75" s="77">
        <v>0</v>
      </c>
      <c r="L75" s="453">
        <f t="shared" si="35"/>
        <v>1119.1917897573871</v>
      </c>
      <c r="M75" s="476">
        <f t="shared" si="8"/>
        <v>22</v>
      </c>
      <c r="N75" s="477">
        <f t="shared" si="10"/>
        <v>0</v>
      </c>
      <c r="O75" s="271">
        <f t="shared" si="11"/>
        <v>0</v>
      </c>
      <c r="P75" s="271">
        <f t="shared" si="12"/>
        <v>0</v>
      </c>
      <c r="Q75" s="54"/>
      <c r="R75" s="9"/>
      <c r="S75" s="9"/>
      <c r="T75" s="9"/>
      <c r="U75" s="9"/>
      <c r="V75" s="338"/>
      <c r="W75" s="338"/>
      <c r="X75" s="338"/>
      <c r="Y75" s="338"/>
      <c r="Z75" s="342"/>
      <c r="AA75" s="342"/>
      <c r="AB75" s="29"/>
      <c r="AD75" s="213">
        <f t="shared" si="13"/>
        <v>400</v>
      </c>
      <c r="AR75">
        <f t="shared" si="15"/>
        <v>6.87</v>
      </c>
      <c r="AS75">
        <f t="shared" si="16"/>
        <v>0</v>
      </c>
    </row>
    <row r="76" spans="1:45" ht="20.100000000000001" customHeight="1" x14ac:dyDescent="0.3">
      <c r="A76" s="38" t="s">
        <v>428</v>
      </c>
      <c r="B76" s="465" t="s">
        <v>524</v>
      </c>
      <c r="C76" s="466"/>
      <c r="D76" s="466">
        <v>1000</v>
      </c>
      <c r="E76" s="889">
        <f t="shared" si="33"/>
        <v>269.24694826892033</v>
      </c>
      <c r="F76" s="889"/>
      <c r="G76" s="464">
        <v>400</v>
      </c>
      <c r="H76" s="455">
        <f t="shared" si="9"/>
        <v>159.59589487869363</v>
      </c>
      <c r="I76" s="453">
        <f t="shared" si="34"/>
        <v>0</v>
      </c>
      <c r="J76" s="456">
        <f t="shared" si="6"/>
        <v>4.8787216286808741</v>
      </c>
      <c r="K76" s="77">
        <v>0</v>
      </c>
      <c r="L76" s="453">
        <f t="shared" si="35"/>
        <v>1119.1917897573871</v>
      </c>
      <c r="M76" s="476">
        <f t="shared" si="8"/>
        <v>22</v>
      </c>
      <c r="N76" s="477">
        <f t="shared" si="10"/>
        <v>0</v>
      </c>
      <c r="O76" s="271">
        <f t="shared" si="11"/>
        <v>0</v>
      </c>
      <c r="P76" s="271">
        <f t="shared" si="12"/>
        <v>0</v>
      </c>
      <c r="Q76" s="53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29"/>
      <c r="AD76" s="213">
        <f t="shared" si="13"/>
        <v>400</v>
      </c>
      <c r="AR76">
        <f t="shared" si="15"/>
        <v>6.87</v>
      </c>
      <c r="AS76">
        <f t="shared" si="16"/>
        <v>0</v>
      </c>
    </row>
    <row r="77" spans="1:45" ht="20.100000000000001" customHeight="1" x14ac:dyDescent="0.3">
      <c r="A77" s="38" t="s">
        <v>428</v>
      </c>
      <c r="B77" s="465" t="s">
        <v>524</v>
      </c>
      <c r="C77" s="466"/>
      <c r="D77" s="466">
        <v>1000</v>
      </c>
      <c r="E77" s="889">
        <f t="shared" si="33"/>
        <v>269.24694826892033</v>
      </c>
      <c r="F77" s="889"/>
      <c r="G77" s="464">
        <v>400</v>
      </c>
      <c r="H77" s="455">
        <f t="shared" si="9"/>
        <v>159.59589487869363</v>
      </c>
      <c r="I77" s="453">
        <f t="shared" si="34"/>
        <v>0</v>
      </c>
      <c r="J77" s="456">
        <f t="shared" si="6"/>
        <v>4.8787216286808741</v>
      </c>
      <c r="K77" s="77">
        <v>0</v>
      </c>
      <c r="L77" s="453">
        <f t="shared" si="35"/>
        <v>1119.1917897573871</v>
      </c>
      <c r="M77" s="476">
        <f t="shared" si="8"/>
        <v>22</v>
      </c>
      <c r="N77" s="477">
        <f t="shared" si="10"/>
        <v>0</v>
      </c>
      <c r="O77" s="271">
        <f t="shared" si="11"/>
        <v>0</v>
      </c>
      <c r="P77" s="271">
        <f t="shared" si="12"/>
        <v>0</v>
      </c>
      <c r="Q77" s="54"/>
      <c r="R77" s="9"/>
      <c r="S77" s="9"/>
      <c r="T77" s="9"/>
      <c r="U77" s="9"/>
      <c r="V77" s="9"/>
      <c r="W77" s="9"/>
      <c r="X77" s="9"/>
      <c r="Y77" s="9"/>
      <c r="Z77" s="9"/>
      <c r="AA77" s="9"/>
      <c r="AB77" s="29"/>
      <c r="AD77" s="213">
        <f t="shared" si="13"/>
        <v>400</v>
      </c>
      <c r="AR77">
        <f t="shared" si="15"/>
        <v>6.87</v>
      </c>
      <c r="AS77">
        <f t="shared" si="16"/>
        <v>0</v>
      </c>
    </row>
    <row r="78" spans="1:45" ht="20.100000000000001" customHeight="1" x14ac:dyDescent="0.3">
      <c r="A78" s="38" t="s">
        <v>428</v>
      </c>
      <c r="B78" s="465" t="s">
        <v>524</v>
      </c>
      <c r="C78" s="466"/>
      <c r="D78" s="466">
        <v>1000</v>
      </c>
      <c r="E78" s="889">
        <f t="shared" si="33"/>
        <v>269.24694826892033</v>
      </c>
      <c r="F78" s="889"/>
      <c r="G78" s="464">
        <v>400</v>
      </c>
      <c r="H78" s="455">
        <f t="shared" si="9"/>
        <v>159.59589487869363</v>
      </c>
      <c r="I78" s="453">
        <f t="shared" si="34"/>
        <v>0</v>
      </c>
      <c r="J78" s="456">
        <f t="shared" si="6"/>
        <v>4.8787216286808741</v>
      </c>
      <c r="K78" s="77">
        <v>0</v>
      </c>
      <c r="L78" s="453">
        <f t="shared" si="35"/>
        <v>1119.1917897573871</v>
      </c>
      <c r="M78" s="476">
        <f t="shared" si="8"/>
        <v>22</v>
      </c>
      <c r="N78" s="477">
        <f t="shared" si="10"/>
        <v>0</v>
      </c>
      <c r="O78" s="271">
        <f t="shared" si="11"/>
        <v>0</v>
      </c>
      <c r="P78" s="271">
        <f t="shared" si="12"/>
        <v>0</v>
      </c>
      <c r="Q78" s="53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29"/>
      <c r="AD78" s="213">
        <f t="shared" si="13"/>
        <v>400</v>
      </c>
      <c r="AR78">
        <f t="shared" si="15"/>
        <v>6.87</v>
      </c>
      <c r="AS78">
        <f t="shared" si="16"/>
        <v>0</v>
      </c>
    </row>
    <row r="79" spans="1:45" ht="20.100000000000001" customHeight="1" x14ac:dyDescent="0.3">
      <c r="A79" s="38" t="s">
        <v>428</v>
      </c>
      <c r="B79" s="465" t="s">
        <v>524</v>
      </c>
      <c r="C79" s="466"/>
      <c r="D79" s="466">
        <v>1000</v>
      </c>
      <c r="E79" s="889">
        <f t="shared" si="33"/>
        <v>260.34147436675869</v>
      </c>
      <c r="F79" s="889"/>
      <c r="G79" s="464">
        <v>500</v>
      </c>
      <c r="H79" s="455">
        <f t="shared" si="9"/>
        <v>126.58492378524669</v>
      </c>
      <c r="I79" s="453">
        <f t="shared" si="34"/>
        <v>0</v>
      </c>
      <c r="J79" s="456">
        <f t="shared" si="6"/>
        <v>5.2182021311930828</v>
      </c>
      <c r="K79" s="77">
        <v>0</v>
      </c>
      <c r="L79" s="453">
        <f t="shared" si="35"/>
        <v>1253.1698475704934</v>
      </c>
      <c r="M79" s="476">
        <f t="shared" si="8"/>
        <v>20</v>
      </c>
      <c r="N79" s="477">
        <f t="shared" si="10"/>
        <v>0</v>
      </c>
      <c r="O79" s="271">
        <f t="shared" si="11"/>
        <v>0</v>
      </c>
      <c r="P79" s="271">
        <f t="shared" si="12"/>
        <v>0</v>
      </c>
      <c r="Q79" s="343"/>
      <c r="R79" s="333"/>
      <c r="S79" s="333"/>
      <c r="T79" s="333"/>
      <c r="U79" s="333"/>
      <c r="V79" s="333"/>
      <c r="W79" s="333"/>
      <c r="X79" s="333"/>
      <c r="Y79" s="333"/>
      <c r="Z79" s="333"/>
      <c r="AA79" s="333"/>
      <c r="AB79" s="29"/>
      <c r="AD79" s="213">
        <f t="shared" si="13"/>
        <v>500</v>
      </c>
      <c r="AR79">
        <f t="shared" si="15"/>
        <v>8.08</v>
      </c>
      <c r="AS79">
        <f t="shared" si="16"/>
        <v>0</v>
      </c>
    </row>
    <row r="80" spans="1:45" ht="20.100000000000001" customHeight="1" thickBot="1" x14ac:dyDescent="0.35">
      <c r="A80" s="38" t="s">
        <v>428</v>
      </c>
      <c r="B80" s="465" t="s">
        <v>524</v>
      </c>
      <c r="C80" s="466"/>
      <c r="D80" s="466">
        <v>1000</v>
      </c>
      <c r="E80" s="889">
        <f t="shared" si="33"/>
        <v>260.34147436675869</v>
      </c>
      <c r="F80" s="889"/>
      <c r="G80" s="464">
        <v>500</v>
      </c>
      <c r="H80" s="455">
        <f t="shared" si="9"/>
        <v>126.58492378524669</v>
      </c>
      <c r="I80" s="453">
        <f t="shared" si="34"/>
        <v>0</v>
      </c>
      <c r="J80" s="456">
        <f t="shared" si="6"/>
        <v>5.2182021311930828</v>
      </c>
      <c r="K80" s="77">
        <v>0</v>
      </c>
      <c r="L80" s="453">
        <f t="shared" si="35"/>
        <v>1253.1698475704934</v>
      </c>
      <c r="M80" s="476">
        <f t="shared" si="8"/>
        <v>20</v>
      </c>
      <c r="N80" s="477">
        <f t="shared" si="10"/>
        <v>0</v>
      </c>
      <c r="O80" s="271">
        <f t="shared" si="11"/>
        <v>0</v>
      </c>
      <c r="P80" s="271">
        <f t="shared" si="12"/>
        <v>0</v>
      </c>
      <c r="Q80" s="343"/>
      <c r="R80" s="333"/>
      <c r="S80" s="333"/>
      <c r="T80" s="333"/>
      <c r="U80" s="333"/>
      <c r="V80" s="333"/>
      <c r="W80" s="333"/>
      <c r="X80" s="333"/>
      <c r="Y80" s="333"/>
      <c r="Z80" s="333"/>
      <c r="AA80" s="333"/>
      <c r="AB80" s="29"/>
      <c r="AD80" s="213">
        <f t="shared" si="13"/>
        <v>500</v>
      </c>
      <c r="AR80">
        <f t="shared" si="15"/>
        <v>8.08</v>
      </c>
      <c r="AS80">
        <f t="shared" si="16"/>
        <v>0</v>
      </c>
    </row>
    <row r="81" spans="1:49" s="264" customFormat="1" ht="20.100000000000001" customHeight="1" x14ac:dyDescent="0.3">
      <c r="A81" s="921" t="s">
        <v>470</v>
      </c>
      <c r="B81" s="922"/>
      <c r="C81" s="922"/>
      <c r="D81" s="922"/>
      <c r="E81" s="922"/>
      <c r="F81" s="922"/>
      <c r="G81" s="922"/>
      <c r="H81" s="922"/>
      <c r="I81" s="922"/>
      <c r="J81" s="922"/>
      <c r="K81" s="922"/>
      <c r="L81" s="923"/>
      <c r="M81" s="282"/>
      <c r="N81" s="282"/>
      <c r="O81" s="282"/>
      <c r="P81" s="282"/>
      <c r="Q81" s="282"/>
    </row>
    <row r="82" spans="1:49" ht="15" customHeight="1" x14ac:dyDescent="0.3">
      <c r="A82" s="917" t="s">
        <v>534</v>
      </c>
      <c r="B82" s="918"/>
      <c r="C82" s="266" t="s">
        <v>526</v>
      </c>
      <c r="D82" s="266" t="s">
        <v>527</v>
      </c>
      <c r="E82" s="924" t="s">
        <v>528</v>
      </c>
      <c r="F82" s="924"/>
      <c r="G82" s="266" t="s">
        <v>529</v>
      </c>
      <c r="H82" s="266" t="s">
        <v>530</v>
      </c>
      <c r="I82" s="266" t="s">
        <v>724</v>
      </c>
      <c r="J82" s="266" t="s">
        <v>531</v>
      </c>
      <c r="K82" s="266" t="s">
        <v>532</v>
      </c>
      <c r="L82" s="267" t="s">
        <v>533</v>
      </c>
      <c r="M82" s="29"/>
      <c r="N82" s="29"/>
      <c r="O82" s="29"/>
      <c r="P82" s="29"/>
      <c r="Q82" s="29"/>
    </row>
    <row r="83" spans="1:49" ht="15" customHeight="1" thickBot="1" x14ac:dyDescent="0.35">
      <c r="A83" s="919"/>
      <c r="B83" s="920"/>
      <c r="C83" s="268">
        <f>LARGE(C22:C80,1)</f>
        <v>5</v>
      </c>
      <c r="D83" s="256">
        <f>LARGE(D22:D51,1)</f>
        <v>10000</v>
      </c>
      <c r="E83" s="916">
        <f>MEDIAN(E22:F80)</f>
        <v>269.24694826892033</v>
      </c>
      <c r="F83" s="916"/>
      <c r="G83" s="256">
        <f>LARGE(G22:G51,1)</f>
        <v>500</v>
      </c>
      <c r="H83" s="268">
        <f>LARGE(H22:H51,1)</f>
        <v>753.08017648151861</v>
      </c>
      <c r="I83" s="269">
        <f>SUM(I22:I51)</f>
        <v>1</v>
      </c>
      <c r="J83" s="268">
        <f>LARGE(J22:J51,1)</f>
        <v>31.553965384352551</v>
      </c>
      <c r="K83" s="265">
        <f>SUM(K22:K51)</f>
        <v>10</v>
      </c>
      <c r="L83" s="270"/>
      <c r="M83" s="29"/>
      <c r="N83" s="29"/>
      <c r="O83" s="29"/>
      <c r="P83" s="29"/>
      <c r="Q83" s="29"/>
    </row>
    <row r="84" spans="1:49" x14ac:dyDescent="0.3">
      <c r="A84" s="29"/>
      <c r="B84" s="29"/>
      <c r="C84" s="29"/>
      <c r="D84" s="9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AE84" s="3"/>
      <c r="AF84" s="3"/>
      <c r="AG84" s="3"/>
      <c r="AH84" s="3"/>
      <c r="AI84" s="3"/>
      <c r="AJ84" s="3"/>
      <c r="AK84" s="3"/>
      <c r="AL84" s="3"/>
      <c r="AM84" s="3"/>
    </row>
    <row r="85" spans="1:49" x14ac:dyDescent="0.3">
      <c r="A85" s="29"/>
      <c r="B85" s="29"/>
      <c r="C85" s="29"/>
      <c r="D85" s="9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</row>
    <row r="95" spans="1:49" x14ac:dyDescent="0.3">
      <c r="AD95" s="909" t="s">
        <v>441</v>
      </c>
      <c r="AE95" s="909"/>
      <c r="AF95" s="909"/>
      <c r="AG95" s="909"/>
      <c r="AH95" s="909"/>
      <c r="AI95" s="909"/>
      <c r="AJ95" s="909"/>
      <c r="AK95" s="909"/>
      <c r="AL95" s="909"/>
      <c r="AM95" s="909"/>
      <c r="AN95" s="909"/>
      <c r="AO95" s="909"/>
      <c r="AP95" s="909"/>
      <c r="AQ95" s="909"/>
      <c r="AR95" s="909"/>
      <c r="AS95" s="909"/>
      <c r="AT95" s="909"/>
      <c r="AU95" s="909"/>
      <c r="AV95" s="909"/>
      <c r="AW95" s="909"/>
    </row>
    <row r="96" spans="1:49" x14ac:dyDescent="0.3">
      <c r="AD96" s="909"/>
      <c r="AE96" s="909"/>
      <c r="AF96" s="909"/>
      <c r="AG96" s="909"/>
      <c r="AH96" s="909"/>
      <c r="AI96" s="909"/>
      <c r="AJ96" s="909"/>
      <c r="AK96" s="909"/>
      <c r="AL96" s="909"/>
      <c r="AM96" s="909"/>
      <c r="AN96" s="909"/>
      <c r="AO96" s="909"/>
      <c r="AP96" s="909"/>
      <c r="AQ96" s="909"/>
      <c r="AR96" s="909"/>
      <c r="AS96" s="909"/>
      <c r="AT96" s="909"/>
      <c r="AU96" s="909"/>
      <c r="AV96" s="909"/>
      <c r="AW96" s="909"/>
    </row>
    <row r="97" spans="30:49" x14ac:dyDescent="0.3">
      <c r="AD97" s="910" t="s">
        <v>409</v>
      </c>
      <c r="AE97" s="910"/>
      <c r="AF97" s="910"/>
      <c r="AG97" s="910"/>
      <c r="AH97" s="910"/>
      <c r="AI97" s="910"/>
      <c r="AJ97" s="910"/>
      <c r="AK97" s="910"/>
      <c r="AL97" s="910"/>
      <c r="AM97" s="910"/>
      <c r="AN97" s="910"/>
      <c r="AO97" s="910"/>
      <c r="AP97" s="910"/>
      <c r="AQ97" s="910"/>
      <c r="AR97" s="910"/>
      <c r="AS97" s="910"/>
      <c r="AT97" s="910"/>
      <c r="AU97" s="910"/>
      <c r="AV97" s="910"/>
      <c r="AW97" s="910"/>
    </row>
    <row r="98" spans="30:49" x14ac:dyDescent="0.3">
      <c r="AD98" s="14"/>
      <c r="AE98" s="18" t="s">
        <v>410</v>
      </c>
      <c r="AF98" s="18" t="s">
        <v>411</v>
      </c>
      <c r="AG98" s="18" t="s">
        <v>412</v>
      </c>
      <c r="AH98" s="18" t="s">
        <v>398</v>
      </c>
      <c r="AI98" s="18" t="s">
        <v>403</v>
      </c>
      <c r="AJ98" s="18" t="s">
        <v>408</v>
      </c>
      <c r="AK98" s="18" t="s">
        <v>413</v>
      </c>
      <c r="AL98" s="18" t="s">
        <v>414</v>
      </c>
      <c r="AM98" s="18" t="s">
        <v>415</v>
      </c>
      <c r="AN98" s="14"/>
      <c r="AO98" s="14"/>
      <c r="AP98" s="14"/>
      <c r="AQ98" s="14"/>
      <c r="AR98" s="14"/>
      <c r="AS98" s="14"/>
      <c r="AT98" s="14"/>
      <c r="AU98" s="14"/>
      <c r="AV98" s="14"/>
      <c r="AW98" s="14"/>
    </row>
    <row r="99" spans="30:49" x14ac:dyDescent="0.3">
      <c r="AD99" s="189" t="s">
        <v>442</v>
      </c>
      <c r="AE99" s="38">
        <v>2.8</v>
      </c>
      <c r="AF99" s="38">
        <v>2.5</v>
      </c>
      <c r="AG99" s="38">
        <v>6</v>
      </c>
      <c r="AH99" s="38">
        <v>6</v>
      </c>
      <c r="AI99" s="38">
        <v>10</v>
      </c>
      <c r="AJ99" s="38">
        <v>14</v>
      </c>
      <c r="AK99" s="38">
        <v>14</v>
      </c>
      <c r="AL99" s="38"/>
      <c r="AM99" s="38">
        <v>18</v>
      </c>
      <c r="AN99" s="14"/>
      <c r="AO99" s="14"/>
      <c r="AP99" s="14"/>
      <c r="AQ99" s="14"/>
      <c r="AR99" s="14"/>
      <c r="AS99" s="14"/>
      <c r="AT99" s="14"/>
      <c r="AU99" s="14"/>
      <c r="AV99" s="14"/>
      <c r="AW99" s="14"/>
    </row>
    <row r="100" spans="30:49" x14ac:dyDescent="0.3">
      <c r="AD100" s="189" t="s">
        <v>443</v>
      </c>
      <c r="AE100" s="38">
        <v>6</v>
      </c>
      <c r="AF100" s="38">
        <v>16</v>
      </c>
      <c r="AG100" s="38">
        <v>20</v>
      </c>
      <c r="AH100" s="38">
        <v>20</v>
      </c>
      <c r="AI100" s="38">
        <v>25</v>
      </c>
      <c r="AJ100" s="38">
        <v>45</v>
      </c>
      <c r="AK100" s="38">
        <v>60</v>
      </c>
      <c r="AL100" s="38"/>
      <c r="AM100" s="38">
        <v>60</v>
      </c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</row>
    <row r="102" spans="30:49" x14ac:dyDescent="0.3">
      <c r="AD102" t="s">
        <v>410</v>
      </c>
      <c r="AE102" s="49">
        <v>2.8</v>
      </c>
      <c r="AF102" s="49">
        <v>6</v>
      </c>
      <c r="AG102" s="49">
        <f>MEDIAN(AE102:AF102)</f>
        <v>4.4000000000000004</v>
      </c>
    </row>
    <row r="103" spans="30:49" x14ac:dyDescent="0.3">
      <c r="AD103" t="s">
        <v>411</v>
      </c>
      <c r="AE103" s="49">
        <v>2.5</v>
      </c>
      <c r="AF103" s="49">
        <v>16</v>
      </c>
      <c r="AG103" s="49">
        <f t="shared" ref="AG103:AG110" si="36">MEDIAN(AE103:AF103)</f>
        <v>9.25</v>
      </c>
    </row>
    <row r="104" spans="30:49" x14ac:dyDescent="0.3">
      <c r="AD104" t="s">
        <v>412</v>
      </c>
      <c r="AE104" s="49">
        <v>6</v>
      </c>
      <c r="AF104" s="49">
        <v>20</v>
      </c>
      <c r="AG104" s="49">
        <f t="shared" si="36"/>
        <v>13</v>
      </c>
    </row>
    <row r="105" spans="30:49" x14ac:dyDescent="0.3">
      <c r="AD105" t="s">
        <v>398</v>
      </c>
      <c r="AE105" s="49">
        <v>6</v>
      </c>
      <c r="AF105" s="49">
        <v>20</v>
      </c>
      <c r="AG105" s="49">
        <f t="shared" si="36"/>
        <v>13</v>
      </c>
    </row>
    <row r="106" spans="30:49" x14ac:dyDescent="0.3">
      <c r="AD106" t="s">
        <v>403</v>
      </c>
      <c r="AE106" s="49">
        <v>10</v>
      </c>
      <c r="AF106" s="49">
        <v>25</v>
      </c>
      <c r="AG106" s="49">
        <f t="shared" si="36"/>
        <v>17.5</v>
      </c>
    </row>
    <row r="107" spans="30:49" x14ac:dyDescent="0.3">
      <c r="AD107" t="s">
        <v>408</v>
      </c>
      <c r="AE107" s="49">
        <v>14</v>
      </c>
      <c r="AF107" s="49">
        <v>45</v>
      </c>
      <c r="AG107" s="49">
        <f t="shared" si="36"/>
        <v>29.5</v>
      </c>
    </row>
    <row r="108" spans="30:49" x14ac:dyDescent="0.3">
      <c r="AD108" t="s">
        <v>413</v>
      </c>
      <c r="AE108" s="49">
        <v>14</v>
      </c>
      <c r="AF108" s="49">
        <v>60</v>
      </c>
      <c r="AG108" s="49">
        <f t="shared" si="36"/>
        <v>37</v>
      </c>
    </row>
    <row r="109" spans="30:49" x14ac:dyDescent="0.3">
      <c r="AD109" t="s">
        <v>414</v>
      </c>
      <c r="AE109" s="49"/>
      <c r="AF109" s="49"/>
      <c r="AG109" s="49"/>
    </row>
    <row r="110" spans="30:49" x14ac:dyDescent="0.3">
      <c r="AD110" t="s">
        <v>415</v>
      </c>
      <c r="AE110" s="49">
        <v>18</v>
      </c>
      <c r="AF110" s="49">
        <v>60</v>
      </c>
      <c r="AG110" s="49">
        <f t="shared" si="36"/>
        <v>39</v>
      </c>
    </row>
    <row r="112" spans="30:49" x14ac:dyDescent="0.3">
      <c r="AD112" s="909" t="s">
        <v>441</v>
      </c>
      <c r="AE112" s="909"/>
      <c r="AF112" s="909"/>
      <c r="AG112" s="909"/>
      <c r="AH112" s="909"/>
      <c r="AI112" s="909"/>
      <c r="AJ112" s="909"/>
      <c r="AK112" s="909"/>
      <c r="AL112" s="909"/>
      <c r="AM112" s="909"/>
      <c r="AN112" s="909"/>
      <c r="AO112" s="909"/>
      <c r="AP112" s="909"/>
      <c r="AQ112" s="909"/>
      <c r="AR112" s="909"/>
      <c r="AS112" s="909"/>
      <c r="AT112" s="909"/>
      <c r="AU112" s="909"/>
      <c r="AV112" s="909"/>
      <c r="AW112" s="909"/>
    </row>
    <row r="113" spans="30:49" x14ac:dyDescent="0.3">
      <c r="AD113" s="909"/>
      <c r="AE113" s="909"/>
      <c r="AF113" s="909"/>
      <c r="AG113" s="909"/>
      <c r="AH113" s="909"/>
      <c r="AI113" s="909"/>
      <c r="AJ113" s="909"/>
      <c r="AK113" s="909"/>
      <c r="AL113" s="909"/>
      <c r="AM113" s="909"/>
      <c r="AN113" s="909"/>
      <c r="AO113" s="909"/>
      <c r="AP113" s="909"/>
      <c r="AQ113" s="909"/>
      <c r="AR113" s="909"/>
      <c r="AS113" s="909"/>
      <c r="AT113" s="909"/>
      <c r="AU113" s="909"/>
      <c r="AV113" s="909"/>
      <c r="AW113" s="909"/>
    </row>
    <row r="114" spans="30:49" x14ac:dyDescent="0.3">
      <c r="AD114" s="910" t="s">
        <v>574</v>
      </c>
      <c r="AE114" s="910"/>
      <c r="AF114" s="910"/>
      <c r="AG114" s="910"/>
      <c r="AH114" s="910"/>
      <c r="AI114" s="910"/>
      <c r="AJ114" s="910"/>
      <c r="AK114" s="910"/>
      <c r="AL114" s="910"/>
      <c r="AM114" s="910"/>
      <c r="AN114" s="910"/>
      <c r="AO114" s="910"/>
      <c r="AP114" s="910"/>
      <c r="AQ114" s="910"/>
      <c r="AR114" s="910"/>
      <c r="AS114" s="910"/>
      <c r="AT114" s="910"/>
      <c r="AU114" s="910"/>
      <c r="AV114" s="910"/>
      <c r="AW114" s="910"/>
    </row>
    <row r="115" spans="30:49" x14ac:dyDescent="0.3">
      <c r="AD115" s="14"/>
      <c r="AE115" s="18">
        <v>32</v>
      </c>
      <c r="AF115" s="18">
        <v>30</v>
      </c>
      <c r="AG115" s="18">
        <v>28</v>
      </c>
      <c r="AH115" s="18">
        <v>26</v>
      </c>
      <c r="AI115" s="18">
        <v>24</v>
      </c>
      <c r="AJ115" s="18">
        <v>22</v>
      </c>
      <c r="AK115" s="18">
        <v>20</v>
      </c>
      <c r="AL115" s="18">
        <v>19</v>
      </c>
      <c r="AM115" s="18">
        <v>18</v>
      </c>
      <c r="AN115" s="18">
        <v>16</v>
      </c>
      <c r="AO115" s="18">
        <v>14</v>
      </c>
      <c r="AP115" s="18">
        <v>13</v>
      </c>
      <c r="AQ115" s="18">
        <v>12</v>
      </c>
      <c r="AR115" s="18"/>
      <c r="AS115" s="14"/>
      <c r="AT115" s="14"/>
      <c r="AU115" s="14"/>
      <c r="AV115" s="14"/>
      <c r="AW115" s="14"/>
    </row>
    <row r="116" spans="30:49" x14ac:dyDescent="0.3">
      <c r="AD116" s="189" t="s">
        <v>575</v>
      </c>
      <c r="AE116" s="38">
        <v>0.3</v>
      </c>
      <c r="AF116" s="38">
        <v>0.35</v>
      </c>
      <c r="AG116" s="38">
        <v>0.43</v>
      </c>
      <c r="AH116" s="38">
        <v>0.5</v>
      </c>
      <c r="AI116" s="38">
        <v>0.65</v>
      </c>
      <c r="AJ116" s="38">
        <v>0.8</v>
      </c>
      <c r="AK116" s="38">
        <v>0.95</v>
      </c>
      <c r="AL116" s="38">
        <v>1.1100000000000001</v>
      </c>
      <c r="AM116" s="38">
        <v>1.25</v>
      </c>
      <c r="AN116" s="13">
        <v>1.55</v>
      </c>
      <c r="AO116" s="13">
        <v>1.95</v>
      </c>
      <c r="AP116" s="13">
        <v>2.2999999999999998</v>
      </c>
      <c r="AQ116" s="13">
        <v>2.7</v>
      </c>
      <c r="AR116" s="14"/>
      <c r="AS116" s="14"/>
      <c r="AT116" s="14"/>
      <c r="AU116" s="14"/>
      <c r="AV116" s="14"/>
      <c r="AW116" s="14"/>
    </row>
    <row r="117" spans="30:49" x14ac:dyDescent="0.3">
      <c r="AD117" s="189" t="s">
        <v>576</v>
      </c>
      <c r="AE117" s="38">
        <v>2.4</v>
      </c>
      <c r="AF117" s="38">
        <v>2.8</v>
      </c>
      <c r="AG117" s="38">
        <v>3.44</v>
      </c>
      <c r="AH117" s="38">
        <v>4</v>
      </c>
      <c r="AI117" s="38">
        <v>5.2</v>
      </c>
      <c r="AJ117" s="38">
        <v>6.4</v>
      </c>
      <c r="AK117" s="38">
        <v>7.6</v>
      </c>
      <c r="AL117" s="38">
        <v>8.8800000000000008</v>
      </c>
      <c r="AM117" s="38">
        <v>10</v>
      </c>
      <c r="AN117" s="13">
        <v>12.4</v>
      </c>
      <c r="AO117" s="13">
        <v>15.6</v>
      </c>
      <c r="AP117" s="13">
        <v>18.399999999999999</v>
      </c>
      <c r="AQ117" s="13">
        <v>21.6</v>
      </c>
      <c r="AR117" s="14"/>
      <c r="AS117" s="14"/>
      <c r="AT117" s="14"/>
      <c r="AU117" s="14"/>
      <c r="AV117" s="14"/>
      <c r="AW117" s="14"/>
    </row>
    <row r="119" spans="30:49" x14ac:dyDescent="0.3">
      <c r="AD119" t="s">
        <v>432</v>
      </c>
      <c r="AE119" s="49">
        <v>4</v>
      </c>
    </row>
    <row r="120" spans="30:49" x14ac:dyDescent="0.3">
      <c r="AD120" t="s">
        <v>434</v>
      </c>
      <c r="AE120" s="49">
        <v>5.2</v>
      </c>
    </row>
    <row r="121" spans="30:49" x14ac:dyDescent="0.3">
      <c r="AD121" t="s">
        <v>435</v>
      </c>
      <c r="AE121" s="49">
        <v>6.4</v>
      </c>
    </row>
    <row r="122" spans="30:49" x14ac:dyDescent="0.3">
      <c r="AD122" t="s">
        <v>433</v>
      </c>
      <c r="AE122" s="49">
        <v>7.6</v>
      </c>
    </row>
    <row r="123" spans="30:49" ht="15" thickBot="1" x14ac:dyDescent="0.35"/>
    <row r="124" spans="30:49" x14ac:dyDescent="0.3">
      <c r="AD124" s="911" t="s">
        <v>444</v>
      </c>
      <c r="AE124" s="912"/>
      <c r="AF124" s="912"/>
      <c r="AG124" s="912"/>
      <c r="AH124" s="912"/>
      <c r="AI124" s="912"/>
      <c r="AJ124" s="912"/>
      <c r="AK124" s="912"/>
      <c r="AL124" s="912"/>
      <c r="AM124" s="912"/>
      <c r="AN124" s="912"/>
      <c r="AO124" s="912"/>
      <c r="AP124" s="912"/>
      <c r="AQ124" s="912"/>
      <c r="AR124" s="912"/>
      <c r="AS124" s="912"/>
      <c r="AT124" s="912"/>
      <c r="AU124" s="912"/>
      <c r="AV124" s="912"/>
      <c r="AW124" s="913"/>
    </row>
    <row r="125" spans="30:49" x14ac:dyDescent="0.3">
      <c r="AD125" s="914"/>
      <c r="AE125" s="909"/>
      <c r="AF125" s="909"/>
      <c r="AG125" s="909"/>
      <c r="AH125" s="909"/>
      <c r="AI125" s="909"/>
      <c r="AJ125" s="909"/>
      <c r="AK125" s="909"/>
      <c r="AL125" s="909"/>
      <c r="AM125" s="909"/>
      <c r="AN125" s="909"/>
      <c r="AO125" s="909"/>
      <c r="AP125" s="909"/>
      <c r="AQ125" s="909"/>
      <c r="AR125" s="909"/>
      <c r="AS125" s="909"/>
      <c r="AT125" s="909"/>
      <c r="AU125" s="909"/>
      <c r="AV125" s="909"/>
      <c r="AW125" s="915"/>
    </row>
    <row r="126" spans="30:49" x14ac:dyDescent="0.3">
      <c r="AD126" s="925" t="s">
        <v>460</v>
      </c>
      <c r="AE126" s="910"/>
      <c r="AF126" s="910"/>
      <c r="AG126" s="910"/>
      <c r="AH126" s="910"/>
      <c r="AI126" s="910"/>
      <c r="AJ126" s="910"/>
      <c r="AK126" s="910"/>
      <c r="AL126" s="910"/>
      <c r="AM126" s="910"/>
      <c r="AN126" s="910"/>
      <c r="AO126" s="910"/>
      <c r="AP126" s="910"/>
      <c r="AQ126" s="910"/>
      <c r="AR126" s="910"/>
      <c r="AS126" s="910"/>
      <c r="AT126" s="910"/>
      <c r="AU126" s="910"/>
      <c r="AV126" s="910"/>
      <c r="AW126" s="926"/>
    </row>
    <row r="127" spans="30:49" x14ac:dyDescent="0.3">
      <c r="AD127" s="802" t="s">
        <v>445</v>
      </c>
      <c r="AE127" s="713"/>
      <c r="AF127" s="713"/>
      <c r="AG127" s="713"/>
      <c r="AH127" s="713"/>
      <c r="AI127" s="713"/>
      <c r="AK127" s="927" t="s">
        <v>470</v>
      </c>
      <c r="AL127" s="928"/>
      <c r="AM127" s="928"/>
      <c r="AN127" s="929"/>
      <c r="AW127" s="108"/>
    </row>
    <row r="128" spans="30:49" x14ac:dyDescent="0.3">
      <c r="AD128" s="230" t="s">
        <v>447</v>
      </c>
      <c r="AE128" s="930" t="s">
        <v>2</v>
      </c>
      <c r="AF128" s="930"/>
      <c r="AG128" s="930"/>
      <c r="AH128" s="930"/>
      <c r="AI128" s="38" t="s">
        <v>452</v>
      </c>
      <c r="AK128" s="245" t="s">
        <v>493</v>
      </c>
      <c r="AL128" s="237"/>
      <c r="AM128" s="237"/>
      <c r="AN128" s="238"/>
      <c r="AP128" s="931"/>
      <c r="AQ128" s="931"/>
      <c r="AR128" s="931"/>
      <c r="AS128" s="931"/>
      <c r="AT128" s="931"/>
      <c r="AU128" s="931"/>
      <c r="AV128" s="931"/>
      <c r="AW128" s="932"/>
    </row>
    <row r="129" spans="30:49" x14ac:dyDescent="0.3">
      <c r="AD129" s="243" t="s">
        <v>450</v>
      </c>
      <c r="AE129" s="933" t="s">
        <v>456</v>
      </c>
      <c r="AF129" s="933"/>
      <c r="AG129" s="933"/>
      <c r="AH129" s="933"/>
      <c r="AI129" s="253">
        <f>(((AI130+5.5)^2.0743124)/((AI130+305.5)^0.531))*3.3*10^-9</f>
        <v>1.4435813594664075E-5</v>
      </c>
      <c r="AK129" s="246"/>
      <c r="AL129" s="222"/>
      <c r="AM129" s="222"/>
      <c r="AN129" s="239"/>
      <c r="AP129" s="931"/>
      <c r="AQ129" s="931"/>
      <c r="AR129" s="931"/>
      <c r="AS129" s="931"/>
      <c r="AT129" s="931"/>
      <c r="AU129" s="931"/>
      <c r="AV129" s="931"/>
      <c r="AW129" s="932"/>
    </row>
    <row r="130" spans="30:49" x14ac:dyDescent="0.3">
      <c r="AD130" s="244" t="s">
        <v>455</v>
      </c>
      <c r="AE130" s="934" t="s">
        <v>457</v>
      </c>
      <c r="AF130" s="934"/>
      <c r="AG130" s="934"/>
      <c r="AH130" s="934"/>
      <c r="AI130" s="260">
        <f>B16+273.15</f>
        <v>286.14999999999998</v>
      </c>
      <c r="AK130" s="246"/>
      <c r="AL130" s="222"/>
      <c r="AM130" s="222"/>
      <c r="AN130" s="239"/>
      <c r="AP130" s="931"/>
      <c r="AQ130" s="931"/>
      <c r="AR130" s="931"/>
      <c r="AS130" s="931"/>
      <c r="AT130" s="931"/>
      <c r="AU130" s="931"/>
      <c r="AV130" s="931"/>
      <c r="AW130" s="932"/>
    </row>
    <row r="131" spans="30:49" x14ac:dyDescent="0.3">
      <c r="AD131" s="39"/>
      <c r="AE131" s="930"/>
      <c r="AF131" s="930"/>
      <c r="AG131" s="930"/>
      <c r="AH131" s="930"/>
      <c r="AI131" s="14"/>
      <c r="AK131" s="221"/>
      <c r="AL131" s="222"/>
      <c r="AM131" s="222"/>
      <c r="AN131" s="239"/>
      <c r="AP131" s="931"/>
      <c r="AQ131" s="931"/>
      <c r="AR131" s="931"/>
      <c r="AS131" s="931"/>
      <c r="AT131" s="931"/>
      <c r="AU131" s="931"/>
      <c r="AV131" s="931"/>
      <c r="AW131" s="932"/>
    </row>
    <row r="132" spans="30:49" x14ac:dyDescent="0.3">
      <c r="AD132" s="39"/>
      <c r="AE132" s="930"/>
      <c r="AF132" s="930"/>
      <c r="AG132" s="930"/>
      <c r="AH132" s="930"/>
      <c r="AI132" s="14"/>
      <c r="AK132" s="240"/>
      <c r="AL132" s="241"/>
      <c r="AM132" s="241"/>
      <c r="AN132" s="242"/>
      <c r="AP132" s="931"/>
      <c r="AQ132" s="931"/>
      <c r="AR132" s="931"/>
      <c r="AS132" s="931"/>
      <c r="AT132" s="931"/>
      <c r="AU132" s="931"/>
      <c r="AV132" s="931"/>
      <c r="AW132" s="932"/>
    </row>
    <row r="133" spans="30:49" ht="15" thickBot="1" x14ac:dyDescent="0.35">
      <c r="AD133" s="122"/>
      <c r="AE133" s="109"/>
      <c r="AF133" s="109"/>
      <c r="AG133" s="109"/>
      <c r="AH133" s="109"/>
      <c r="AI133" s="109"/>
      <c r="AJ133" s="109"/>
      <c r="AK133" s="109"/>
      <c r="AL133" s="109"/>
      <c r="AM133" s="109"/>
      <c r="AN133" s="109"/>
      <c r="AO133" s="109"/>
      <c r="AP133" s="109"/>
      <c r="AQ133" s="109"/>
      <c r="AR133" s="109"/>
      <c r="AS133" s="109"/>
      <c r="AT133" s="109"/>
      <c r="AU133" s="109"/>
      <c r="AV133" s="109"/>
      <c r="AW133" s="123"/>
    </row>
    <row r="134" spans="30:49" x14ac:dyDescent="0.3">
      <c r="AD134" s="925" t="s">
        <v>459</v>
      </c>
      <c r="AE134" s="910"/>
      <c r="AF134" s="910"/>
      <c r="AG134" s="910"/>
      <c r="AH134" s="910"/>
      <c r="AI134" s="910"/>
      <c r="AJ134" s="910"/>
      <c r="AK134" s="910"/>
      <c r="AL134" s="910"/>
      <c r="AM134" s="910"/>
      <c r="AN134" s="910"/>
      <c r="AO134" s="910"/>
      <c r="AP134" s="910"/>
      <c r="AQ134" s="910"/>
      <c r="AR134" s="910"/>
      <c r="AS134" s="910"/>
      <c r="AT134" s="910"/>
      <c r="AU134" s="910"/>
      <c r="AV134" s="910"/>
      <c r="AW134" s="926"/>
    </row>
    <row r="135" spans="30:49" x14ac:dyDescent="0.3">
      <c r="AD135" s="802" t="s">
        <v>445</v>
      </c>
      <c r="AE135" s="713"/>
      <c r="AF135" s="713"/>
      <c r="AG135" s="713"/>
      <c r="AH135" s="713"/>
      <c r="AI135" s="713"/>
      <c r="AK135" s="927" t="s">
        <v>470</v>
      </c>
      <c r="AL135" s="928"/>
      <c r="AM135" s="928"/>
      <c r="AN135" s="929"/>
      <c r="AW135" s="108"/>
    </row>
    <row r="136" spans="30:49" x14ac:dyDescent="0.3">
      <c r="AD136" s="230" t="s">
        <v>447</v>
      </c>
      <c r="AE136" s="930" t="s">
        <v>2</v>
      </c>
      <c r="AF136" s="930"/>
      <c r="AG136" s="930"/>
      <c r="AH136" s="930"/>
      <c r="AI136" s="38" t="s">
        <v>452</v>
      </c>
      <c r="AK136" s="245"/>
      <c r="AL136" s="237"/>
      <c r="AM136" s="237"/>
      <c r="AN136" s="238"/>
      <c r="AP136" s="931"/>
      <c r="AQ136" s="931"/>
      <c r="AR136" s="931"/>
      <c r="AS136" s="931"/>
      <c r="AT136" s="931"/>
      <c r="AU136" s="931"/>
      <c r="AV136" s="931"/>
      <c r="AW136" s="932"/>
    </row>
    <row r="137" spans="30:49" x14ac:dyDescent="0.3">
      <c r="AD137" s="230" t="s">
        <v>453</v>
      </c>
      <c r="AE137" s="713" t="s">
        <v>454</v>
      </c>
      <c r="AF137" s="713"/>
      <c r="AG137" s="713"/>
      <c r="AH137" s="713"/>
      <c r="AI137" s="251">
        <f>(AI139*AI140)/AI142</f>
        <v>462263.26713769883</v>
      </c>
      <c r="AK137" s="246"/>
      <c r="AL137" s="222"/>
      <c r="AM137" s="222"/>
      <c r="AN137" s="239"/>
      <c r="AP137" s="931"/>
      <c r="AQ137" s="931"/>
      <c r="AR137" s="931"/>
      <c r="AS137" s="931"/>
      <c r="AT137" s="931"/>
      <c r="AU137" s="931"/>
      <c r="AV137" s="931"/>
      <c r="AW137" s="932"/>
    </row>
    <row r="138" spans="30:49" x14ac:dyDescent="0.3">
      <c r="AD138" s="230" t="s">
        <v>446</v>
      </c>
      <c r="AE138" s="713" t="s">
        <v>472</v>
      </c>
      <c r="AF138" s="713"/>
      <c r="AG138" s="713"/>
      <c r="AH138" s="713"/>
      <c r="AI138" s="248">
        <f>AI198</f>
        <v>1.0667653501891912</v>
      </c>
      <c r="AK138" s="246"/>
      <c r="AL138" s="222"/>
      <c r="AM138" s="222"/>
      <c r="AN138" s="239"/>
      <c r="AP138" s="931"/>
      <c r="AQ138" s="931"/>
      <c r="AR138" s="931"/>
      <c r="AS138" s="931"/>
      <c r="AT138" s="931"/>
      <c r="AU138" s="931"/>
      <c r="AV138" s="931"/>
      <c r="AW138" s="932"/>
    </row>
    <row r="139" spans="30:49" x14ac:dyDescent="0.3">
      <c r="AD139" s="39" t="s">
        <v>448</v>
      </c>
      <c r="AE139" s="935" t="s">
        <v>509</v>
      </c>
      <c r="AF139" s="936"/>
      <c r="AG139" s="936"/>
      <c r="AH139" s="937"/>
      <c r="AI139" s="260">
        <f>B15</f>
        <v>10</v>
      </c>
      <c r="AK139" s="221"/>
      <c r="AL139" s="222"/>
      <c r="AM139" s="222"/>
      <c r="AN139" s="239"/>
      <c r="AP139" s="931"/>
      <c r="AQ139" s="931"/>
      <c r="AR139" s="931"/>
      <c r="AS139" s="931"/>
      <c r="AT139" s="931"/>
      <c r="AU139" s="931"/>
      <c r="AV139" s="931"/>
      <c r="AW139" s="932"/>
    </row>
    <row r="140" spans="30:49" x14ac:dyDescent="0.3">
      <c r="AD140" s="39" t="s">
        <v>449</v>
      </c>
      <c r="AE140" s="935" t="s">
        <v>508</v>
      </c>
      <c r="AF140" s="936"/>
      <c r="AG140" s="936"/>
      <c r="AH140" s="937"/>
      <c r="AI140" s="260">
        <f>E22/1000</f>
        <v>0.66731463560602244</v>
      </c>
      <c r="AK140" s="240"/>
      <c r="AL140" s="241"/>
      <c r="AM140" s="241"/>
      <c r="AN140" s="242"/>
      <c r="AP140" s="931"/>
      <c r="AQ140" s="931"/>
      <c r="AR140" s="931"/>
      <c r="AS140" s="931"/>
      <c r="AT140" s="931"/>
      <c r="AU140" s="931"/>
      <c r="AV140" s="931"/>
      <c r="AW140" s="932"/>
    </row>
    <row r="141" spans="30:49" x14ac:dyDescent="0.3">
      <c r="AD141" s="230" t="s">
        <v>505</v>
      </c>
      <c r="AE141" s="935" t="s">
        <v>506</v>
      </c>
      <c r="AF141" s="936"/>
      <c r="AG141" s="936"/>
      <c r="AH141" s="937"/>
      <c r="AI141" s="260" t="s">
        <v>507</v>
      </c>
      <c r="AK141" s="222"/>
      <c r="AL141" s="222"/>
      <c r="AM141" s="222"/>
      <c r="AN141" s="222"/>
      <c r="AP141" s="257"/>
      <c r="AQ141" s="257"/>
      <c r="AR141" s="257"/>
      <c r="AS141" s="257"/>
      <c r="AT141" s="257"/>
      <c r="AU141" s="257"/>
      <c r="AV141" s="257"/>
      <c r="AW141" s="258"/>
    </row>
    <row r="142" spans="30:49" ht="15" thickBot="1" x14ac:dyDescent="0.35">
      <c r="AD142" s="39" t="s">
        <v>450</v>
      </c>
      <c r="AE142" s="935" t="s">
        <v>451</v>
      </c>
      <c r="AF142" s="936"/>
      <c r="AG142" s="936"/>
      <c r="AH142" s="937"/>
      <c r="AI142" s="260">
        <f>AI129</f>
        <v>1.4435813594664075E-5</v>
      </c>
      <c r="AJ142" s="109"/>
      <c r="AK142" s="109"/>
      <c r="AL142" s="109"/>
      <c r="AM142" s="109"/>
      <c r="AN142" s="109"/>
      <c r="AO142" s="109"/>
      <c r="AP142" s="109"/>
      <c r="AQ142" s="109"/>
      <c r="AR142" s="109"/>
      <c r="AS142" s="109"/>
      <c r="AT142" s="109"/>
      <c r="AU142" s="109"/>
      <c r="AV142" s="109"/>
      <c r="AW142" s="123"/>
    </row>
    <row r="143" spans="30:49" x14ac:dyDescent="0.3">
      <c r="AD143" s="925" t="s">
        <v>458</v>
      </c>
      <c r="AE143" s="910"/>
      <c r="AF143" s="910"/>
      <c r="AG143" s="910"/>
      <c r="AH143" s="910"/>
      <c r="AI143" s="910"/>
      <c r="AJ143" s="910"/>
      <c r="AK143" s="910"/>
      <c r="AL143" s="910"/>
      <c r="AM143" s="910"/>
      <c r="AN143" s="910"/>
      <c r="AO143" s="910"/>
      <c r="AP143" s="910"/>
      <c r="AQ143" s="910"/>
      <c r="AR143" s="910"/>
      <c r="AS143" s="910"/>
      <c r="AT143" s="910"/>
      <c r="AU143" s="910"/>
      <c r="AV143" s="910"/>
      <c r="AW143" s="926"/>
    </row>
    <row r="144" spans="30:49" x14ac:dyDescent="0.3">
      <c r="AD144" s="802" t="s">
        <v>445</v>
      </c>
      <c r="AE144" s="713"/>
      <c r="AF144" s="713"/>
      <c r="AG144" s="713"/>
      <c r="AH144" s="713"/>
      <c r="AI144" s="713"/>
      <c r="AJ144" s="222"/>
      <c r="AK144" s="927" t="s">
        <v>470</v>
      </c>
      <c r="AL144" s="928"/>
      <c r="AM144" s="928"/>
      <c r="AN144" s="929"/>
      <c r="AO144" s="222"/>
      <c r="AP144" s="222"/>
      <c r="AQ144" s="222"/>
      <c r="AR144" s="222"/>
      <c r="AS144" s="222"/>
      <c r="AT144" s="222"/>
      <c r="AU144" s="222"/>
      <c r="AV144" s="222"/>
      <c r="AW144" s="233"/>
    </row>
    <row r="145" spans="30:49" x14ac:dyDescent="0.3">
      <c r="AD145" s="230" t="s">
        <v>447</v>
      </c>
      <c r="AE145" s="930" t="s">
        <v>2</v>
      </c>
      <c r="AF145" s="930"/>
      <c r="AG145" s="930"/>
      <c r="AH145" s="930"/>
      <c r="AI145" s="38" t="s">
        <v>452</v>
      </c>
      <c r="AJ145" s="222"/>
      <c r="AK145" s="236"/>
      <c r="AL145" s="237"/>
      <c r="AM145" s="237"/>
      <c r="AN145" s="238"/>
      <c r="AO145" s="222"/>
      <c r="AP145" s="931"/>
      <c r="AQ145" s="931"/>
      <c r="AR145" s="931"/>
      <c r="AS145" s="931"/>
      <c r="AT145" s="931"/>
      <c r="AU145" s="931"/>
      <c r="AV145" s="931"/>
      <c r="AW145" s="932"/>
    </row>
    <row r="146" spans="30:49" x14ac:dyDescent="0.3">
      <c r="AD146" s="230" t="s">
        <v>461</v>
      </c>
      <c r="AE146" s="713" t="s">
        <v>469</v>
      </c>
      <c r="AF146" s="713"/>
      <c r="AG146" s="713"/>
      <c r="AH146" s="713"/>
      <c r="AI146" s="188">
        <f>0.0055*(1+(20000*(AI147/AI148))+((10^6)/(AI149))^(1/3))</f>
        <v>25.15068018990074</v>
      </c>
      <c r="AJ146" s="222">
        <f>0.0055*(1+(20000*((AI147/1000)/AI148))+((10^6)/(AI149))^(1/3))</f>
        <v>3.7751286758973226E-2</v>
      </c>
      <c r="AK146" s="221"/>
      <c r="AL146" s="222"/>
      <c r="AM146" s="222"/>
      <c r="AN146" s="239"/>
      <c r="AO146" s="222"/>
      <c r="AP146" s="931"/>
      <c r="AQ146" s="931"/>
      <c r="AR146" s="931"/>
      <c r="AS146" s="931"/>
      <c r="AT146" s="931"/>
      <c r="AU146" s="931"/>
      <c r="AV146" s="931"/>
      <c r="AW146" s="932"/>
    </row>
    <row r="147" spans="30:49" x14ac:dyDescent="0.3">
      <c r="AD147" s="230" t="s">
        <v>462</v>
      </c>
      <c r="AE147" s="713" t="s">
        <v>471</v>
      </c>
      <c r="AF147" s="713"/>
      <c r="AG147" s="713"/>
      <c r="AH147" s="713"/>
      <c r="AI147" s="188">
        <f>B18</f>
        <v>0.1525</v>
      </c>
      <c r="AJ147" s="222"/>
      <c r="AK147" s="221"/>
      <c r="AL147" s="222"/>
      <c r="AM147" s="222"/>
      <c r="AN147" s="239"/>
      <c r="AO147" s="222"/>
      <c r="AP147" s="931"/>
      <c r="AQ147" s="931"/>
      <c r="AR147" s="931"/>
      <c r="AS147" s="931"/>
      <c r="AT147" s="931"/>
      <c r="AU147" s="931"/>
      <c r="AV147" s="931"/>
      <c r="AW147" s="932"/>
    </row>
    <row r="148" spans="30:49" x14ac:dyDescent="0.3">
      <c r="AD148" s="39" t="s">
        <v>449</v>
      </c>
      <c r="AE148" s="935" t="s">
        <v>463</v>
      </c>
      <c r="AF148" s="936"/>
      <c r="AG148" s="936"/>
      <c r="AH148" s="937"/>
      <c r="AI148" s="188">
        <f>AI140</f>
        <v>0.66731463560602244</v>
      </c>
      <c r="AJ148" s="222"/>
      <c r="AK148" s="221"/>
      <c r="AL148" s="222"/>
      <c r="AM148" s="222"/>
      <c r="AN148" s="239"/>
      <c r="AO148" s="222"/>
      <c r="AP148" s="931"/>
      <c r="AQ148" s="931"/>
      <c r="AR148" s="931"/>
      <c r="AS148" s="931"/>
      <c r="AT148" s="931"/>
      <c r="AU148" s="931"/>
      <c r="AV148" s="931"/>
      <c r="AW148" s="932"/>
    </row>
    <row r="149" spans="30:49" x14ac:dyDescent="0.3">
      <c r="AD149" s="39" t="s">
        <v>453</v>
      </c>
      <c r="AE149" s="935" t="s">
        <v>454</v>
      </c>
      <c r="AF149" s="936"/>
      <c r="AG149" s="936"/>
      <c r="AH149" s="937"/>
      <c r="AI149" s="115">
        <f>AI137</f>
        <v>462263.26713769883</v>
      </c>
      <c r="AJ149" s="222"/>
      <c r="AK149" s="240"/>
      <c r="AL149" s="241"/>
      <c r="AM149" s="241"/>
      <c r="AN149" s="242"/>
      <c r="AO149" s="222"/>
      <c r="AP149" s="931"/>
      <c r="AQ149" s="931"/>
      <c r="AR149" s="931"/>
      <c r="AS149" s="931"/>
      <c r="AT149" s="931"/>
      <c r="AU149" s="931"/>
      <c r="AV149" s="931"/>
      <c r="AW149" s="932"/>
    </row>
    <row r="150" spans="30:49" ht="15" thickBot="1" x14ac:dyDescent="0.35">
      <c r="AD150" s="183"/>
      <c r="AE150" s="942"/>
      <c r="AF150" s="943"/>
      <c r="AG150" s="943"/>
      <c r="AH150" s="944"/>
      <c r="AI150" s="255"/>
      <c r="AJ150" s="222"/>
      <c r="AK150" s="222"/>
      <c r="AL150" s="222"/>
      <c r="AM150" s="222"/>
      <c r="AN150" s="222"/>
      <c r="AO150" s="222"/>
      <c r="AP150" s="222"/>
      <c r="AQ150" s="222"/>
      <c r="AR150" s="222"/>
      <c r="AS150" s="222"/>
      <c r="AT150" s="222"/>
      <c r="AU150" s="222"/>
      <c r="AV150" s="222"/>
      <c r="AW150" s="233"/>
    </row>
    <row r="151" spans="30:49" x14ac:dyDescent="0.3">
      <c r="AD151" s="939" t="s">
        <v>473</v>
      </c>
      <c r="AE151" s="940"/>
      <c r="AF151" s="940"/>
      <c r="AG151" s="940"/>
      <c r="AH151" s="940"/>
      <c r="AI151" s="940"/>
      <c r="AJ151" s="940"/>
      <c r="AK151" s="940"/>
      <c r="AL151" s="940"/>
      <c r="AM151" s="940"/>
      <c r="AN151" s="940"/>
      <c r="AO151" s="940"/>
      <c r="AP151" s="940"/>
      <c r="AQ151" s="940"/>
      <c r="AR151" s="940"/>
      <c r="AS151" s="940"/>
      <c r="AT151" s="940"/>
      <c r="AU151" s="940"/>
      <c r="AV151" s="940"/>
      <c r="AW151" s="941"/>
    </row>
    <row r="152" spans="30:49" x14ac:dyDescent="0.3">
      <c r="AD152" s="802" t="s">
        <v>445</v>
      </c>
      <c r="AE152" s="713"/>
      <c r="AF152" s="713"/>
      <c r="AG152" s="713"/>
      <c r="AH152" s="713"/>
      <c r="AI152" s="713"/>
      <c r="AK152" s="927" t="s">
        <v>470</v>
      </c>
      <c r="AL152" s="928"/>
      <c r="AM152" s="928"/>
      <c r="AN152" s="929"/>
      <c r="AW152" s="108"/>
    </row>
    <row r="153" spans="30:49" x14ac:dyDescent="0.3">
      <c r="AD153" s="230" t="s">
        <v>447</v>
      </c>
      <c r="AE153" s="930" t="s">
        <v>2</v>
      </c>
      <c r="AF153" s="930"/>
      <c r="AG153" s="930"/>
      <c r="AH153" s="930"/>
      <c r="AI153" s="38" t="s">
        <v>452</v>
      </c>
      <c r="AK153" s="236" t="s">
        <v>481</v>
      </c>
      <c r="AL153" s="237"/>
      <c r="AM153" s="237"/>
      <c r="AN153" s="238"/>
      <c r="AP153" s="931"/>
      <c r="AQ153" s="931"/>
      <c r="AR153" s="931"/>
      <c r="AS153" s="931"/>
      <c r="AT153" s="931"/>
      <c r="AU153" s="931"/>
      <c r="AV153" s="931"/>
      <c r="AW153" s="932"/>
    </row>
    <row r="154" spans="30:49" x14ac:dyDescent="0.3">
      <c r="AD154" s="230" t="s">
        <v>464</v>
      </c>
      <c r="AE154" s="713" t="s">
        <v>480</v>
      </c>
      <c r="AF154" s="713"/>
      <c r="AG154" s="713"/>
      <c r="AH154" s="713"/>
      <c r="AI154" s="38" t="str">
        <f>B22</f>
        <v>E</v>
      </c>
      <c r="AK154" s="221" t="s">
        <v>482</v>
      </c>
      <c r="AL154" s="222"/>
      <c r="AM154" s="222"/>
      <c r="AN154" s="239"/>
      <c r="AP154" s="931"/>
      <c r="AQ154" s="931"/>
      <c r="AR154" s="931"/>
      <c r="AS154" s="931"/>
      <c r="AT154" s="931"/>
      <c r="AU154" s="931"/>
      <c r="AV154" s="931"/>
      <c r="AW154" s="932"/>
    </row>
    <row r="155" spans="30:49" x14ac:dyDescent="0.3">
      <c r="AD155" s="230" t="s">
        <v>461</v>
      </c>
      <c r="AE155" s="713" t="s">
        <v>474</v>
      </c>
      <c r="AF155" s="713"/>
      <c r="AG155" s="713"/>
      <c r="AH155" s="713"/>
      <c r="AI155" s="38">
        <f>AI146</f>
        <v>25.15068018990074</v>
      </c>
      <c r="AK155" s="221"/>
      <c r="AL155" s="222"/>
      <c r="AM155" s="222"/>
      <c r="AN155" s="239"/>
      <c r="AP155" s="931"/>
      <c r="AQ155" s="931"/>
      <c r="AR155" s="931"/>
      <c r="AS155" s="931"/>
      <c r="AT155" s="931"/>
      <c r="AU155" s="931"/>
      <c r="AV155" s="931"/>
      <c r="AW155" s="932"/>
    </row>
    <row r="156" spans="30:49" x14ac:dyDescent="0.3">
      <c r="AD156" s="39" t="s">
        <v>465</v>
      </c>
      <c r="AE156" s="930" t="s">
        <v>475</v>
      </c>
      <c r="AF156" s="930"/>
      <c r="AG156" s="930"/>
      <c r="AH156" s="930"/>
      <c r="AI156" s="38"/>
      <c r="AK156" s="221"/>
      <c r="AL156" s="222"/>
      <c r="AM156" s="222"/>
      <c r="AN156" s="239"/>
      <c r="AP156" s="931"/>
      <c r="AQ156" s="931"/>
      <c r="AR156" s="931"/>
      <c r="AS156" s="931"/>
      <c r="AT156" s="931"/>
      <c r="AU156" s="931"/>
      <c r="AV156" s="931"/>
      <c r="AW156" s="932"/>
    </row>
    <row r="157" spans="30:49" x14ac:dyDescent="0.3">
      <c r="AD157" s="39" t="s">
        <v>449</v>
      </c>
      <c r="AE157" s="930" t="s">
        <v>476</v>
      </c>
      <c r="AF157" s="930"/>
      <c r="AG157" s="930"/>
      <c r="AH157" s="930"/>
      <c r="AI157" s="38"/>
      <c r="AK157" s="240"/>
      <c r="AL157" s="241"/>
      <c r="AM157" s="241"/>
      <c r="AN157" s="242"/>
      <c r="AP157" s="931"/>
      <c r="AQ157" s="931"/>
      <c r="AR157" s="931"/>
      <c r="AS157" s="931"/>
      <c r="AT157" s="931"/>
      <c r="AU157" s="931"/>
      <c r="AV157" s="931"/>
      <c r="AW157" s="932"/>
    </row>
    <row r="158" spans="30:49" x14ac:dyDescent="0.3">
      <c r="AD158" s="39" t="s">
        <v>466</v>
      </c>
      <c r="AE158" s="930" t="s">
        <v>477</v>
      </c>
      <c r="AF158" s="930"/>
      <c r="AG158" s="930"/>
      <c r="AH158" s="930"/>
      <c r="AI158" s="38">
        <v>7</v>
      </c>
      <c r="AP158" s="234"/>
      <c r="AQ158" s="234"/>
      <c r="AR158" s="234"/>
      <c r="AS158" s="234"/>
      <c r="AT158" s="234"/>
      <c r="AU158" s="234"/>
      <c r="AV158" s="234"/>
      <c r="AW158" s="235"/>
    </row>
    <row r="159" spans="30:49" x14ac:dyDescent="0.3">
      <c r="AD159" s="39" t="s">
        <v>467</v>
      </c>
      <c r="AE159" s="930" t="s">
        <v>478</v>
      </c>
      <c r="AF159" s="930"/>
      <c r="AG159" s="930"/>
      <c r="AH159" s="930"/>
      <c r="AI159" s="38">
        <v>9.8000000000000007</v>
      </c>
      <c r="AW159" s="108"/>
    </row>
    <row r="160" spans="30:49" ht="15" thickBot="1" x14ac:dyDescent="0.35">
      <c r="AD160" s="231" t="s">
        <v>468</v>
      </c>
      <c r="AE160" s="938" t="s">
        <v>479</v>
      </c>
      <c r="AF160" s="938"/>
      <c r="AG160" s="938"/>
      <c r="AH160" s="938"/>
      <c r="AI160" s="254">
        <f>AI198</f>
        <v>1.0667653501891912</v>
      </c>
      <c r="AJ160" s="109"/>
      <c r="AK160" s="109"/>
      <c r="AL160" s="109"/>
      <c r="AM160" s="109"/>
      <c r="AN160" s="109"/>
      <c r="AO160" s="109"/>
      <c r="AP160" s="109"/>
      <c r="AQ160" s="109"/>
      <c r="AR160" s="109"/>
      <c r="AS160" s="109"/>
      <c r="AT160" s="109"/>
      <c r="AU160" s="109"/>
      <c r="AV160" s="109"/>
      <c r="AW160" s="123"/>
    </row>
    <row r="161" spans="30:49" x14ac:dyDescent="0.3">
      <c r="AD161" s="939" t="s">
        <v>483</v>
      </c>
      <c r="AE161" s="940"/>
      <c r="AF161" s="940"/>
      <c r="AG161" s="940"/>
      <c r="AH161" s="940"/>
      <c r="AI161" s="940"/>
      <c r="AJ161" s="940"/>
      <c r="AK161" s="940"/>
      <c r="AL161" s="940"/>
      <c r="AM161" s="940"/>
      <c r="AN161" s="940"/>
      <c r="AO161" s="940"/>
      <c r="AP161" s="940"/>
      <c r="AQ161" s="940"/>
      <c r="AR161" s="940"/>
      <c r="AS161" s="940"/>
      <c r="AT161" s="940"/>
      <c r="AU161" s="940"/>
      <c r="AV161" s="940"/>
      <c r="AW161" s="941"/>
    </row>
    <row r="162" spans="30:49" x14ac:dyDescent="0.3">
      <c r="AD162" s="802" t="s">
        <v>445</v>
      </c>
      <c r="AE162" s="713"/>
      <c r="AF162" s="713"/>
      <c r="AG162" s="713"/>
      <c r="AH162" s="713"/>
      <c r="AI162" s="713"/>
      <c r="AK162" s="927" t="s">
        <v>470</v>
      </c>
      <c r="AL162" s="928"/>
      <c r="AM162" s="928"/>
      <c r="AN162" s="929"/>
      <c r="AW162" s="108"/>
    </row>
    <row r="163" spans="30:49" x14ac:dyDescent="0.3">
      <c r="AD163" s="230" t="s">
        <v>447</v>
      </c>
      <c r="AE163" s="930" t="s">
        <v>2</v>
      </c>
      <c r="AF163" s="930"/>
      <c r="AG163" s="930"/>
      <c r="AH163" s="930"/>
      <c r="AI163" s="38" t="s">
        <v>452</v>
      </c>
      <c r="AK163" s="236" t="s">
        <v>481</v>
      </c>
      <c r="AL163" s="237"/>
      <c r="AM163" s="237"/>
      <c r="AN163" s="238"/>
      <c r="AP163" s="931"/>
      <c r="AQ163" s="931"/>
      <c r="AR163" s="931"/>
      <c r="AS163" s="931"/>
      <c r="AT163" s="931"/>
      <c r="AU163" s="931"/>
      <c r="AV163" s="931"/>
      <c r="AW163" s="932"/>
    </row>
    <row r="164" spans="30:49" x14ac:dyDescent="0.3">
      <c r="AD164" s="230" t="s">
        <v>487</v>
      </c>
      <c r="AE164" s="713" t="s">
        <v>489</v>
      </c>
      <c r="AF164" s="713"/>
      <c r="AG164" s="713"/>
      <c r="AH164" s="713"/>
      <c r="AI164" s="14"/>
      <c r="AK164" s="221" t="s">
        <v>482</v>
      </c>
      <c r="AL164" s="222"/>
      <c r="AM164" s="222"/>
      <c r="AN164" s="239"/>
      <c r="AP164" s="931"/>
      <c r="AQ164" s="931"/>
      <c r="AR164" s="931"/>
      <c r="AS164" s="931"/>
      <c r="AT164" s="931"/>
      <c r="AU164" s="931"/>
      <c r="AV164" s="931"/>
      <c r="AW164" s="932"/>
    </row>
    <row r="165" spans="30:49" x14ac:dyDescent="0.3">
      <c r="AD165" s="230" t="s">
        <v>488</v>
      </c>
      <c r="AE165" s="713" t="s">
        <v>490</v>
      </c>
      <c r="AF165" s="713"/>
      <c r="AG165" s="713"/>
      <c r="AH165" s="713"/>
      <c r="AI165" s="14"/>
      <c r="AK165" s="221" t="s">
        <v>484</v>
      </c>
      <c r="AL165" s="222"/>
      <c r="AM165" s="222"/>
      <c r="AN165" s="239"/>
      <c r="AP165" s="931"/>
      <c r="AQ165" s="931"/>
      <c r="AR165" s="931"/>
      <c r="AS165" s="931"/>
      <c r="AT165" s="931"/>
      <c r="AU165" s="931"/>
      <c r="AV165" s="931"/>
      <c r="AW165" s="932"/>
    </row>
    <row r="166" spans="30:49" x14ac:dyDescent="0.3">
      <c r="AD166" s="39"/>
      <c r="AE166" s="930"/>
      <c r="AF166" s="930"/>
      <c r="AG166" s="930"/>
      <c r="AH166" s="930"/>
      <c r="AI166" s="14"/>
      <c r="AK166" s="221" t="s">
        <v>485</v>
      </c>
      <c r="AL166" s="222"/>
      <c r="AM166" s="222"/>
      <c r="AN166" s="239"/>
      <c r="AP166" s="931"/>
      <c r="AQ166" s="931"/>
      <c r="AR166" s="931"/>
      <c r="AS166" s="931"/>
      <c r="AT166" s="931"/>
      <c r="AU166" s="931"/>
      <c r="AV166" s="931"/>
      <c r="AW166" s="932"/>
    </row>
    <row r="167" spans="30:49" x14ac:dyDescent="0.3">
      <c r="AD167" s="39"/>
      <c r="AE167" s="930"/>
      <c r="AF167" s="930"/>
      <c r="AG167" s="930"/>
      <c r="AH167" s="930"/>
      <c r="AI167" s="14"/>
      <c r="AK167" s="240"/>
      <c r="AL167" s="241"/>
      <c r="AM167" s="241"/>
      <c r="AN167" s="242"/>
      <c r="AP167" s="931"/>
      <c r="AQ167" s="931"/>
      <c r="AR167" s="931"/>
      <c r="AS167" s="931"/>
      <c r="AT167" s="931"/>
      <c r="AU167" s="931"/>
      <c r="AV167" s="931"/>
      <c r="AW167" s="932"/>
    </row>
    <row r="168" spans="30:49" x14ac:dyDescent="0.3">
      <c r="AD168" s="39"/>
      <c r="AE168" s="930"/>
      <c r="AF168" s="930"/>
      <c r="AG168" s="930"/>
      <c r="AH168" s="930"/>
      <c r="AI168" s="14"/>
      <c r="AP168" s="234"/>
      <c r="AQ168" s="234"/>
      <c r="AR168" s="234"/>
      <c r="AS168" s="234"/>
      <c r="AT168" s="234"/>
      <c r="AU168" s="234"/>
      <c r="AV168" s="234"/>
      <c r="AW168" s="235"/>
    </row>
    <row r="169" spans="30:49" x14ac:dyDescent="0.3">
      <c r="AD169" s="39"/>
      <c r="AE169" s="930"/>
      <c r="AF169" s="930"/>
      <c r="AG169" s="930"/>
      <c r="AH169" s="930"/>
      <c r="AI169" s="14"/>
      <c r="AW169" s="108"/>
    </row>
    <row r="170" spans="30:49" x14ac:dyDescent="0.3">
      <c r="AD170" s="39"/>
      <c r="AE170" s="930"/>
      <c r="AF170" s="930"/>
      <c r="AG170" s="930"/>
      <c r="AH170" s="930"/>
      <c r="AI170" s="14"/>
      <c r="AN170" s="234"/>
      <c r="AO170" s="234"/>
      <c r="AP170" s="234"/>
      <c r="AQ170" s="234"/>
      <c r="AR170" s="234"/>
      <c r="AS170" s="234"/>
      <c r="AT170" s="234"/>
      <c r="AU170" s="234"/>
      <c r="AV170" s="234"/>
      <c r="AW170" s="235"/>
    </row>
    <row r="171" spans="30:49" x14ac:dyDescent="0.3">
      <c r="AD171" s="121"/>
      <c r="AN171" s="234"/>
      <c r="AO171" s="234"/>
      <c r="AP171" s="234"/>
      <c r="AQ171" s="234"/>
      <c r="AR171" s="234"/>
      <c r="AS171" s="234"/>
      <c r="AT171" s="234"/>
      <c r="AU171" s="234"/>
      <c r="AV171" s="234"/>
      <c r="AW171" s="235"/>
    </row>
    <row r="172" spans="30:49" x14ac:dyDescent="0.3">
      <c r="AD172" s="121"/>
      <c r="AN172" s="234"/>
      <c r="AO172" s="234"/>
      <c r="AP172" s="234"/>
      <c r="AQ172" s="234"/>
      <c r="AR172" s="234"/>
      <c r="AS172" s="234"/>
      <c r="AT172" s="234"/>
      <c r="AU172" s="234"/>
      <c r="AV172" s="234"/>
      <c r="AW172" s="235"/>
    </row>
    <row r="173" spans="30:49" x14ac:dyDescent="0.3">
      <c r="AD173" s="121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5"/>
    </row>
    <row r="174" spans="30:49" x14ac:dyDescent="0.3">
      <c r="AD174" s="121"/>
      <c r="AN174" s="234"/>
      <c r="AO174" s="234"/>
      <c r="AP174" s="234"/>
      <c r="AQ174" s="234"/>
      <c r="AR174" s="234"/>
      <c r="AS174" s="234"/>
      <c r="AT174" s="234"/>
      <c r="AU174" s="234"/>
      <c r="AV174" s="234"/>
      <c r="AW174" s="235"/>
    </row>
    <row r="175" spans="30:49" x14ac:dyDescent="0.3">
      <c r="AD175" s="121"/>
      <c r="AN175" s="234"/>
      <c r="AO175" s="234"/>
      <c r="AP175" s="234"/>
      <c r="AQ175" s="234"/>
      <c r="AR175" s="234"/>
      <c r="AS175" s="234"/>
      <c r="AT175" s="234"/>
      <c r="AU175" s="234"/>
      <c r="AV175" s="234"/>
      <c r="AW175" s="235"/>
    </row>
    <row r="176" spans="30:49" ht="15" thickBot="1" x14ac:dyDescent="0.35">
      <c r="AD176" s="122"/>
      <c r="AE176" s="109"/>
      <c r="AF176" s="109"/>
      <c r="AG176" s="109"/>
      <c r="AH176" s="109"/>
      <c r="AI176" s="109"/>
      <c r="AJ176" s="109"/>
      <c r="AK176" s="109"/>
      <c r="AL176" s="109"/>
      <c r="AM176" s="109"/>
      <c r="AN176" s="109"/>
      <c r="AO176" s="109"/>
      <c r="AP176" s="109"/>
      <c r="AQ176" s="109"/>
      <c r="AR176" s="109"/>
      <c r="AS176" s="109"/>
      <c r="AT176" s="109"/>
      <c r="AU176" s="109"/>
      <c r="AV176" s="109"/>
      <c r="AW176" s="123"/>
    </row>
    <row r="177" spans="30:49" x14ac:dyDescent="0.3">
      <c r="AD177" s="939" t="s">
        <v>486</v>
      </c>
      <c r="AE177" s="940"/>
      <c r="AF177" s="940"/>
      <c r="AG177" s="940"/>
      <c r="AH177" s="940"/>
      <c r="AI177" s="940"/>
      <c r="AJ177" s="940"/>
      <c r="AK177" s="940"/>
      <c r="AL177" s="940"/>
      <c r="AM177" s="940"/>
      <c r="AN177" s="940"/>
      <c r="AO177" s="940"/>
      <c r="AP177" s="940"/>
      <c r="AQ177" s="940"/>
      <c r="AR177" s="940"/>
      <c r="AS177" s="940"/>
      <c r="AT177" s="940"/>
      <c r="AU177" s="940"/>
      <c r="AV177" s="940"/>
      <c r="AW177" s="941"/>
    </row>
    <row r="178" spans="30:49" x14ac:dyDescent="0.3">
      <c r="AD178" s="802" t="s">
        <v>445</v>
      </c>
      <c r="AE178" s="713"/>
      <c r="AF178" s="713"/>
      <c r="AG178" s="713"/>
      <c r="AH178" s="713"/>
      <c r="AI178" s="713"/>
      <c r="AK178" s="927" t="s">
        <v>470</v>
      </c>
      <c r="AL178" s="928"/>
      <c r="AM178" s="928"/>
      <c r="AN178" s="929"/>
      <c r="AW178" s="108"/>
    </row>
    <row r="179" spans="30:49" x14ac:dyDescent="0.3">
      <c r="AD179" s="230" t="s">
        <v>447</v>
      </c>
      <c r="AE179" s="930" t="s">
        <v>2</v>
      </c>
      <c r="AF179" s="930"/>
      <c r="AG179" s="930"/>
      <c r="AH179" s="930"/>
      <c r="AI179" s="38" t="s">
        <v>452</v>
      </c>
      <c r="AK179" s="236" t="s">
        <v>501</v>
      </c>
      <c r="AL179" s="237"/>
      <c r="AM179" s="237"/>
      <c r="AN179" s="238"/>
      <c r="AP179" s="931"/>
      <c r="AQ179" s="931"/>
      <c r="AR179" s="931"/>
      <c r="AS179" s="931"/>
      <c r="AT179" s="931"/>
      <c r="AU179" s="931"/>
      <c r="AV179" s="931"/>
      <c r="AW179" s="932"/>
    </row>
    <row r="180" spans="30:49" x14ac:dyDescent="0.3">
      <c r="AD180" s="230" t="s">
        <v>494</v>
      </c>
      <c r="AE180" s="713" t="s">
        <v>496</v>
      </c>
      <c r="AF180" s="713"/>
      <c r="AG180" s="713"/>
      <c r="AH180" s="713"/>
      <c r="AI180" s="248">
        <f>AI181*(((AI182+273.15)-(0.0065*AI183))/(AI182+273.15))^5.256</f>
        <v>87.604048319277879</v>
      </c>
      <c r="AK180" s="221"/>
      <c r="AL180" s="222"/>
      <c r="AM180" s="222"/>
      <c r="AN180" s="239"/>
      <c r="AP180" s="931"/>
      <c r="AQ180" s="931"/>
      <c r="AR180" s="931"/>
      <c r="AS180" s="931"/>
      <c r="AT180" s="931"/>
      <c r="AU180" s="931"/>
      <c r="AV180" s="931"/>
      <c r="AW180" s="932"/>
    </row>
    <row r="181" spans="30:49" x14ac:dyDescent="0.3">
      <c r="AD181" s="230" t="s">
        <v>495</v>
      </c>
      <c r="AE181" s="713" t="s">
        <v>497</v>
      </c>
      <c r="AF181" s="713"/>
      <c r="AG181" s="713"/>
      <c r="AH181" s="713"/>
      <c r="AI181" s="249">
        <v>101.3</v>
      </c>
      <c r="AK181" s="221"/>
      <c r="AL181" s="222"/>
      <c r="AM181" s="222"/>
      <c r="AN181" s="239"/>
      <c r="AP181" s="931"/>
      <c r="AQ181" s="931"/>
      <c r="AR181" s="931"/>
      <c r="AS181" s="931"/>
      <c r="AT181" s="931"/>
      <c r="AU181" s="931"/>
      <c r="AV181" s="931"/>
      <c r="AW181" s="932"/>
    </row>
    <row r="182" spans="30:49" x14ac:dyDescent="0.3">
      <c r="AD182" s="39" t="s">
        <v>455</v>
      </c>
      <c r="AE182" s="930" t="s">
        <v>498</v>
      </c>
      <c r="AF182" s="930"/>
      <c r="AG182" s="930"/>
      <c r="AH182" s="930"/>
      <c r="AI182" s="260">
        <f>B16</f>
        <v>13</v>
      </c>
      <c r="AK182" s="221"/>
      <c r="AL182" s="222"/>
      <c r="AM182" s="222"/>
      <c r="AN182" s="239"/>
      <c r="AP182" s="931"/>
      <c r="AQ182" s="931"/>
      <c r="AR182" s="931"/>
      <c r="AS182" s="931"/>
      <c r="AT182" s="931"/>
      <c r="AU182" s="931"/>
      <c r="AV182" s="931"/>
      <c r="AW182" s="932"/>
    </row>
    <row r="183" spans="30:49" x14ac:dyDescent="0.3">
      <c r="AD183" s="39" t="s">
        <v>499</v>
      </c>
      <c r="AE183" s="930" t="s">
        <v>500</v>
      </c>
      <c r="AF183" s="930"/>
      <c r="AG183" s="930"/>
      <c r="AH183" s="930"/>
      <c r="AI183" s="260">
        <f>B17</f>
        <v>1200</v>
      </c>
      <c r="AK183" s="240"/>
      <c r="AL183" s="241"/>
      <c r="AM183" s="241"/>
      <c r="AN183" s="242"/>
      <c r="AP183" s="931"/>
      <c r="AQ183" s="931"/>
      <c r="AR183" s="931"/>
      <c r="AS183" s="931"/>
      <c r="AT183" s="931"/>
      <c r="AU183" s="931"/>
      <c r="AV183" s="931"/>
      <c r="AW183" s="932"/>
    </row>
    <row r="184" spans="30:49" x14ac:dyDescent="0.3">
      <c r="AD184" s="39"/>
      <c r="AE184" s="930"/>
      <c r="AF184" s="930"/>
      <c r="AG184" s="930"/>
      <c r="AH184" s="930"/>
      <c r="AI184" s="38"/>
      <c r="AP184" s="234"/>
      <c r="AQ184" s="234"/>
      <c r="AR184" s="234"/>
      <c r="AS184" s="234"/>
      <c r="AT184" s="234"/>
      <c r="AU184" s="234"/>
      <c r="AV184" s="234"/>
      <c r="AW184" s="235"/>
    </row>
    <row r="185" spans="30:49" x14ac:dyDescent="0.3">
      <c r="AD185" s="39"/>
      <c r="AE185" s="930"/>
      <c r="AF185" s="930"/>
      <c r="AG185" s="930"/>
      <c r="AH185" s="930"/>
      <c r="AI185" s="38"/>
      <c r="AW185" s="108"/>
    </row>
    <row r="186" spans="30:49" ht="15" thickBot="1" x14ac:dyDescent="0.35">
      <c r="AD186" s="231"/>
      <c r="AE186" s="938"/>
      <c r="AF186" s="938"/>
      <c r="AG186" s="938"/>
      <c r="AH186" s="938"/>
      <c r="AI186" s="256"/>
      <c r="AJ186" s="109"/>
      <c r="AK186" s="109"/>
      <c r="AL186" s="109"/>
      <c r="AM186" s="109"/>
      <c r="AN186" s="109"/>
      <c r="AO186" s="109"/>
      <c r="AP186" s="109"/>
      <c r="AQ186" s="109"/>
      <c r="AR186" s="109"/>
      <c r="AS186" s="109"/>
      <c r="AT186" s="109"/>
      <c r="AU186" s="109"/>
      <c r="AV186" s="109"/>
      <c r="AW186" s="123"/>
    </row>
    <row r="187" spans="30:49" x14ac:dyDescent="0.3">
      <c r="AD187" s="925" t="s">
        <v>510</v>
      </c>
      <c r="AE187" s="910"/>
      <c r="AF187" s="910"/>
      <c r="AG187" s="910"/>
      <c r="AH187" s="910"/>
      <c r="AI187" s="910"/>
      <c r="AJ187" s="910"/>
      <c r="AK187" s="910"/>
      <c r="AL187" s="910"/>
      <c r="AM187" s="910"/>
      <c r="AN187" s="910"/>
      <c r="AO187" s="910"/>
      <c r="AP187" s="910"/>
      <c r="AQ187" s="910"/>
      <c r="AR187" s="910"/>
      <c r="AS187" s="910"/>
      <c r="AT187" s="910"/>
      <c r="AU187" s="910"/>
      <c r="AV187" s="910"/>
      <c r="AW187" s="926"/>
    </row>
    <row r="188" spans="30:49" x14ac:dyDescent="0.3">
      <c r="AD188" s="802" t="s">
        <v>445</v>
      </c>
      <c r="AE188" s="713"/>
      <c r="AF188" s="713"/>
      <c r="AG188" s="713"/>
      <c r="AH188" s="713"/>
      <c r="AI188" s="713"/>
      <c r="AK188" s="927" t="s">
        <v>470</v>
      </c>
      <c r="AL188" s="928"/>
      <c r="AM188" s="928"/>
      <c r="AN188" s="929"/>
      <c r="AW188" s="108"/>
    </row>
    <row r="189" spans="30:49" x14ac:dyDescent="0.3">
      <c r="AD189" s="230" t="s">
        <v>447</v>
      </c>
      <c r="AE189" s="930" t="s">
        <v>2</v>
      </c>
      <c r="AF189" s="930"/>
      <c r="AG189" s="930"/>
      <c r="AH189" s="930"/>
      <c r="AI189" s="38" t="s">
        <v>452</v>
      </c>
      <c r="AK189" s="236"/>
      <c r="AL189" s="237"/>
      <c r="AM189" s="237"/>
      <c r="AN189" s="238"/>
      <c r="AP189" s="931"/>
      <c r="AQ189" s="931"/>
      <c r="AR189" s="931"/>
      <c r="AS189" s="931"/>
      <c r="AT189" s="931"/>
      <c r="AU189" s="931"/>
      <c r="AV189" s="931"/>
      <c r="AW189" s="932"/>
    </row>
    <row r="190" spans="30:49" x14ac:dyDescent="0.3">
      <c r="AD190" s="230" t="s">
        <v>511</v>
      </c>
      <c r="AE190" s="713" t="s">
        <v>9</v>
      </c>
      <c r="AF190" s="713"/>
      <c r="AG190" s="713"/>
      <c r="AH190" s="713"/>
      <c r="AI190" s="14"/>
      <c r="AK190" s="221"/>
      <c r="AL190" s="222"/>
      <c r="AM190" s="222"/>
      <c r="AN190" s="239"/>
      <c r="AP190" s="931"/>
      <c r="AQ190" s="931"/>
      <c r="AR190" s="931"/>
      <c r="AS190" s="931"/>
      <c r="AT190" s="931"/>
      <c r="AU190" s="931"/>
      <c r="AV190" s="931"/>
      <c r="AW190" s="932"/>
    </row>
    <row r="191" spans="30:49" x14ac:dyDescent="0.3">
      <c r="AD191" s="230" t="s">
        <v>136</v>
      </c>
      <c r="AE191" s="713" t="s">
        <v>4</v>
      </c>
      <c r="AF191" s="713"/>
      <c r="AG191" s="713"/>
      <c r="AH191" s="713"/>
      <c r="AI191" s="247"/>
      <c r="AK191" s="221"/>
      <c r="AL191" s="222"/>
      <c r="AM191" s="222"/>
      <c r="AN191" s="239"/>
      <c r="AP191" s="931"/>
      <c r="AQ191" s="931"/>
      <c r="AR191" s="931"/>
      <c r="AS191" s="931"/>
      <c r="AT191" s="931"/>
      <c r="AU191" s="931"/>
      <c r="AV191" s="931"/>
      <c r="AW191" s="932"/>
    </row>
    <row r="192" spans="30:49" x14ac:dyDescent="0.3">
      <c r="AD192" s="39" t="s">
        <v>512</v>
      </c>
      <c r="AE192" s="935" t="s">
        <v>513</v>
      </c>
      <c r="AF192" s="936"/>
      <c r="AG192" s="936"/>
      <c r="AH192" s="937"/>
      <c r="AI192" s="14"/>
      <c r="AK192" s="221"/>
      <c r="AL192" s="222"/>
      <c r="AM192" s="222"/>
      <c r="AN192" s="239"/>
      <c r="AP192" s="931"/>
      <c r="AQ192" s="931"/>
      <c r="AR192" s="931"/>
      <c r="AS192" s="931"/>
      <c r="AT192" s="931"/>
      <c r="AU192" s="931"/>
      <c r="AV192" s="931"/>
      <c r="AW192" s="932"/>
    </row>
    <row r="193" spans="30:49" x14ac:dyDescent="0.3">
      <c r="AD193" s="39"/>
      <c r="AE193" s="935"/>
      <c r="AF193" s="936"/>
      <c r="AG193" s="936"/>
      <c r="AH193" s="937"/>
      <c r="AI193" s="14"/>
      <c r="AK193" s="240"/>
      <c r="AL193" s="241"/>
      <c r="AM193" s="241"/>
      <c r="AN193" s="242"/>
      <c r="AP193" s="931"/>
      <c r="AQ193" s="931"/>
      <c r="AR193" s="931"/>
      <c r="AS193" s="931"/>
      <c r="AT193" s="931"/>
      <c r="AU193" s="931"/>
      <c r="AV193" s="931"/>
      <c r="AW193" s="932"/>
    </row>
    <row r="194" spans="30:49" ht="15" thickBot="1" x14ac:dyDescent="0.35">
      <c r="AD194" s="39"/>
      <c r="AE194" s="935"/>
      <c r="AF194" s="936"/>
      <c r="AG194" s="936"/>
      <c r="AH194" s="937"/>
      <c r="AI194" s="14"/>
      <c r="AJ194" s="109"/>
      <c r="AK194" s="109"/>
      <c r="AL194" s="109"/>
      <c r="AM194" s="109"/>
      <c r="AN194" s="109"/>
      <c r="AO194" s="109"/>
      <c r="AP194" s="109"/>
      <c r="AQ194" s="109"/>
      <c r="AR194" s="109"/>
      <c r="AS194" s="109"/>
      <c r="AT194" s="109"/>
      <c r="AU194" s="109"/>
      <c r="AV194" s="109"/>
      <c r="AW194" s="123"/>
    </row>
    <row r="195" spans="30:49" x14ac:dyDescent="0.3">
      <c r="AD195" s="939" t="s">
        <v>491</v>
      </c>
      <c r="AE195" s="940"/>
      <c r="AF195" s="940"/>
      <c r="AG195" s="940"/>
      <c r="AH195" s="940"/>
      <c r="AI195" s="940"/>
      <c r="AJ195" s="940"/>
      <c r="AK195" s="940"/>
      <c r="AL195" s="940"/>
      <c r="AM195" s="940"/>
      <c r="AN195" s="940"/>
      <c r="AO195" s="940"/>
      <c r="AP195" s="940"/>
      <c r="AQ195" s="940"/>
      <c r="AR195" s="940"/>
      <c r="AS195" s="940"/>
      <c r="AT195" s="940"/>
      <c r="AU195" s="940"/>
      <c r="AV195" s="940"/>
      <c r="AW195" s="941"/>
    </row>
    <row r="196" spans="30:49" x14ac:dyDescent="0.3">
      <c r="AD196" s="802" t="s">
        <v>445</v>
      </c>
      <c r="AE196" s="713"/>
      <c r="AF196" s="713"/>
      <c r="AG196" s="713"/>
      <c r="AH196" s="713"/>
      <c r="AI196" s="713"/>
      <c r="AK196" s="927" t="s">
        <v>470</v>
      </c>
      <c r="AL196" s="928"/>
      <c r="AM196" s="928"/>
      <c r="AN196" s="929"/>
      <c r="AW196" s="108"/>
    </row>
    <row r="197" spans="30:49" x14ac:dyDescent="0.3">
      <c r="AD197" s="230" t="s">
        <v>447</v>
      </c>
      <c r="AE197" s="930" t="s">
        <v>2</v>
      </c>
      <c r="AF197" s="930"/>
      <c r="AG197" s="930"/>
      <c r="AH197" s="930"/>
      <c r="AI197" s="38" t="s">
        <v>452</v>
      </c>
      <c r="AK197" s="236" t="s">
        <v>504</v>
      </c>
      <c r="AL197" s="237"/>
      <c r="AM197" s="237"/>
      <c r="AN197" s="238"/>
      <c r="AO197" s="234"/>
      <c r="AP197" s="931"/>
      <c r="AQ197" s="931"/>
      <c r="AR197" s="931"/>
      <c r="AS197" s="931"/>
      <c r="AT197" s="931"/>
      <c r="AU197" s="931"/>
      <c r="AV197" s="931"/>
      <c r="AW197" s="932"/>
    </row>
    <row r="198" spans="30:49" x14ac:dyDescent="0.3">
      <c r="AD198" s="230" t="s">
        <v>446</v>
      </c>
      <c r="AE198" s="713" t="s">
        <v>492</v>
      </c>
      <c r="AF198" s="713"/>
      <c r="AG198" s="713"/>
      <c r="AH198" s="713"/>
      <c r="AI198" s="250">
        <f>((AI180)/((8.314)*(273.15+AI182))*28.97)</f>
        <v>1.0667653501891912</v>
      </c>
      <c r="AK198" s="221" t="s">
        <v>503</v>
      </c>
      <c r="AL198" s="222"/>
      <c r="AM198" s="222"/>
      <c r="AN198" s="239"/>
      <c r="AO198" s="234"/>
      <c r="AP198" s="931"/>
      <c r="AQ198" s="931"/>
      <c r="AR198" s="931"/>
      <c r="AS198" s="931"/>
      <c r="AT198" s="931"/>
      <c r="AU198" s="931"/>
      <c r="AV198" s="931"/>
      <c r="AW198" s="932"/>
    </row>
    <row r="199" spans="30:49" x14ac:dyDescent="0.3">
      <c r="AD199" s="230" t="s">
        <v>455</v>
      </c>
      <c r="AE199" s="713" t="s">
        <v>502</v>
      </c>
      <c r="AF199" s="713"/>
      <c r="AG199" s="713"/>
      <c r="AH199" s="713"/>
      <c r="AI199" s="259">
        <f>B16</f>
        <v>13</v>
      </c>
      <c r="AK199" s="221"/>
      <c r="AL199" s="222"/>
      <c r="AM199" s="222"/>
      <c r="AN199" s="239"/>
      <c r="AO199" s="234"/>
      <c r="AP199" s="931"/>
      <c r="AQ199" s="931"/>
      <c r="AR199" s="931"/>
      <c r="AS199" s="931"/>
      <c r="AT199" s="931"/>
      <c r="AU199" s="931"/>
      <c r="AV199" s="931"/>
      <c r="AW199" s="932"/>
    </row>
    <row r="200" spans="30:49" x14ac:dyDescent="0.3">
      <c r="AD200" s="39"/>
      <c r="AE200" s="930"/>
      <c r="AF200" s="930"/>
      <c r="AG200" s="930"/>
      <c r="AH200" s="930"/>
      <c r="AI200" s="14"/>
      <c r="AK200" s="221"/>
      <c r="AL200" s="222"/>
      <c r="AM200" s="222"/>
      <c r="AN200" s="239"/>
      <c r="AO200" s="234"/>
      <c r="AP200" s="931"/>
      <c r="AQ200" s="931"/>
      <c r="AR200" s="931"/>
      <c r="AS200" s="931"/>
      <c r="AT200" s="931"/>
      <c r="AU200" s="931"/>
      <c r="AV200" s="931"/>
      <c r="AW200" s="932"/>
    </row>
    <row r="201" spans="30:49" x14ac:dyDescent="0.3">
      <c r="AD201" s="39"/>
      <c r="AE201" s="930"/>
      <c r="AF201" s="930"/>
      <c r="AG201" s="930"/>
      <c r="AH201" s="930"/>
      <c r="AI201" s="14"/>
      <c r="AK201" s="240"/>
      <c r="AL201" s="241"/>
      <c r="AM201" s="241"/>
      <c r="AN201" s="242"/>
      <c r="AO201" s="234"/>
      <c r="AP201" s="931"/>
      <c r="AQ201" s="931"/>
      <c r="AR201" s="931"/>
      <c r="AS201" s="931"/>
      <c r="AT201" s="931"/>
      <c r="AU201" s="931"/>
      <c r="AV201" s="931"/>
      <c r="AW201" s="932"/>
    </row>
    <row r="202" spans="30:49" x14ac:dyDescent="0.3">
      <c r="AD202" s="39"/>
      <c r="AE202" s="930"/>
      <c r="AF202" s="930"/>
      <c r="AG202" s="930"/>
      <c r="AH202" s="930"/>
      <c r="AI202" s="14"/>
      <c r="AO202" s="234"/>
      <c r="AP202" s="234"/>
      <c r="AQ202" s="234"/>
      <c r="AR202" s="234"/>
      <c r="AS202" s="234"/>
      <c r="AT202" s="234"/>
      <c r="AU202" s="234"/>
      <c r="AV202" s="234"/>
      <c r="AW202" s="235"/>
    </row>
    <row r="203" spans="30:49" x14ac:dyDescent="0.3">
      <c r="AD203" s="39"/>
      <c r="AE203" s="930"/>
      <c r="AF203" s="930"/>
      <c r="AG203" s="930"/>
      <c r="AH203" s="930"/>
      <c r="AI203" s="14"/>
      <c r="AW203" s="108"/>
    </row>
    <row r="204" spans="30:49" ht="15" thickBot="1" x14ac:dyDescent="0.35">
      <c r="AD204" s="231"/>
      <c r="AE204" s="938"/>
      <c r="AF204" s="938"/>
      <c r="AG204" s="938"/>
      <c r="AH204" s="938"/>
      <c r="AI204" s="232"/>
      <c r="AJ204" s="109"/>
      <c r="AK204" s="109"/>
      <c r="AL204" s="109"/>
      <c r="AM204" s="109"/>
      <c r="AN204" s="109"/>
      <c r="AO204" s="109"/>
      <c r="AP204" s="109"/>
      <c r="AQ204" s="109"/>
      <c r="AR204" s="109"/>
      <c r="AS204" s="109"/>
      <c r="AT204" s="109"/>
      <c r="AU204" s="109"/>
      <c r="AV204" s="109"/>
      <c r="AW204" s="123"/>
    </row>
    <row r="205" spans="30:49" x14ac:dyDescent="0.3">
      <c r="AD205" s="939" t="s">
        <v>515</v>
      </c>
      <c r="AE205" s="940"/>
      <c r="AF205" s="940"/>
      <c r="AG205" s="940"/>
      <c r="AH205" s="940"/>
      <c r="AI205" s="940"/>
      <c r="AJ205" s="940"/>
      <c r="AK205" s="940"/>
      <c r="AL205" s="940"/>
      <c r="AM205" s="940"/>
      <c r="AN205" s="940"/>
      <c r="AO205" s="940"/>
      <c r="AP205" s="940"/>
      <c r="AQ205" s="940"/>
      <c r="AR205" s="940"/>
      <c r="AS205" s="940"/>
      <c r="AT205" s="940"/>
      <c r="AU205" s="940"/>
      <c r="AV205" s="940"/>
      <c r="AW205" s="941"/>
    </row>
    <row r="206" spans="30:49" x14ac:dyDescent="0.3">
      <c r="AD206" s="802" t="s">
        <v>445</v>
      </c>
      <c r="AE206" s="713"/>
      <c r="AF206" s="713"/>
      <c r="AG206" s="713"/>
      <c r="AH206" s="713"/>
      <c r="AI206" s="713"/>
      <c r="AK206" s="927" t="s">
        <v>470</v>
      </c>
      <c r="AL206" s="928"/>
      <c r="AM206" s="928"/>
      <c r="AN206" s="929"/>
      <c r="AW206" s="108"/>
    </row>
    <row r="207" spans="30:49" x14ac:dyDescent="0.3">
      <c r="AD207" s="230" t="s">
        <v>447</v>
      </c>
      <c r="AE207" s="930" t="s">
        <v>2</v>
      </c>
      <c r="AF207" s="930"/>
      <c r="AG207" s="930"/>
      <c r="AH207" s="930"/>
      <c r="AI207" s="38" t="s">
        <v>452</v>
      </c>
      <c r="AK207" s="236"/>
      <c r="AL207" s="237"/>
      <c r="AM207" s="237"/>
      <c r="AN207" s="238"/>
      <c r="AO207" s="234"/>
      <c r="AP207" s="931"/>
      <c r="AQ207" s="931"/>
      <c r="AR207" s="931"/>
      <c r="AS207" s="931"/>
      <c r="AT207" s="931"/>
      <c r="AU207" s="931"/>
      <c r="AV207" s="931"/>
      <c r="AW207" s="932"/>
    </row>
    <row r="208" spans="30:49" x14ac:dyDescent="0.3">
      <c r="AD208" s="230" t="s">
        <v>516</v>
      </c>
      <c r="AE208" s="713">
        <f>AI140*1000</f>
        <v>667.31463560602242</v>
      </c>
      <c r="AF208" s="713"/>
      <c r="AG208" s="713"/>
      <c r="AH208" s="713"/>
      <c r="AI208" s="250"/>
      <c r="AK208" s="221"/>
      <c r="AL208" s="222"/>
      <c r="AM208" s="222"/>
      <c r="AN208" s="239"/>
      <c r="AO208" s="234"/>
      <c r="AP208" s="931"/>
      <c r="AQ208" s="931"/>
      <c r="AR208" s="931"/>
      <c r="AS208" s="931"/>
      <c r="AT208" s="931"/>
      <c r="AU208" s="931"/>
      <c r="AV208" s="931"/>
      <c r="AW208" s="932"/>
    </row>
    <row r="209" spans="30:49" x14ac:dyDescent="0.3">
      <c r="AD209" s="230" t="s">
        <v>517</v>
      </c>
      <c r="AE209" s="713">
        <f>G22</f>
        <v>500</v>
      </c>
      <c r="AF209" s="713"/>
      <c r="AG209" s="713"/>
      <c r="AH209" s="713"/>
      <c r="AI209" s="259"/>
      <c r="AK209" s="221"/>
      <c r="AL209" s="222"/>
      <c r="AM209" s="222"/>
      <c r="AN209" s="239"/>
      <c r="AO209" s="234"/>
      <c r="AP209" s="931"/>
      <c r="AQ209" s="931"/>
      <c r="AR209" s="931"/>
      <c r="AS209" s="931"/>
      <c r="AT209" s="931"/>
      <c r="AU209" s="931"/>
      <c r="AV209" s="931"/>
      <c r="AW209" s="932"/>
    </row>
    <row r="210" spans="30:49" x14ac:dyDescent="0.3">
      <c r="AD210" s="39" t="s">
        <v>518</v>
      </c>
      <c r="AE210" s="930"/>
      <c r="AF210" s="930"/>
      <c r="AG210" s="930"/>
      <c r="AH210" s="930"/>
      <c r="AI210" s="14"/>
      <c r="AK210" s="221"/>
      <c r="AL210" s="222"/>
      <c r="AM210" s="222"/>
      <c r="AN210" s="239"/>
      <c r="AO210" s="234"/>
      <c r="AP210" s="931"/>
      <c r="AQ210" s="931"/>
      <c r="AR210" s="931"/>
      <c r="AS210" s="931"/>
      <c r="AT210" s="931"/>
      <c r="AU210" s="931"/>
      <c r="AV210" s="931"/>
      <c r="AW210" s="932"/>
    </row>
    <row r="211" spans="30:49" x14ac:dyDescent="0.3">
      <c r="AD211" s="39"/>
      <c r="AE211" s="930"/>
      <c r="AF211" s="930"/>
      <c r="AG211" s="930"/>
      <c r="AH211" s="930"/>
      <c r="AI211" s="14"/>
      <c r="AK211" s="240"/>
      <c r="AL211" s="241"/>
      <c r="AM211" s="241"/>
      <c r="AN211" s="242"/>
      <c r="AO211" s="234"/>
      <c r="AP211" s="931"/>
      <c r="AQ211" s="931"/>
      <c r="AR211" s="931"/>
      <c r="AS211" s="931"/>
      <c r="AT211" s="931"/>
      <c r="AU211" s="931"/>
      <c r="AV211" s="931"/>
      <c r="AW211" s="932"/>
    </row>
    <row r="212" spans="30:49" x14ac:dyDescent="0.3">
      <c r="AD212" s="39"/>
      <c r="AE212" s="930"/>
      <c r="AF212" s="930"/>
      <c r="AG212" s="930"/>
      <c r="AH212" s="930"/>
      <c r="AI212" s="14"/>
      <c r="AO212" s="234"/>
      <c r="AP212" s="234"/>
      <c r="AQ212" s="234"/>
      <c r="AR212" s="234"/>
      <c r="AS212" s="234"/>
      <c r="AT212" s="234"/>
      <c r="AU212" s="234"/>
      <c r="AV212" s="234"/>
      <c r="AW212" s="235"/>
    </row>
    <row r="213" spans="30:49" x14ac:dyDescent="0.3">
      <c r="AD213" s="39"/>
      <c r="AE213" s="930"/>
      <c r="AF213" s="930"/>
      <c r="AG213" s="930"/>
      <c r="AH213" s="930"/>
      <c r="AI213" s="14"/>
      <c r="AW213" s="108"/>
    </row>
    <row r="214" spans="30:49" ht="15" thickBot="1" x14ac:dyDescent="0.35">
      <c r="AD214" s="231"/>
      <c r="AE214" s="938"/>
      <c r="AF214" s="938"/>
      <c r="AG214" s="938"/>
      <c r="AH214" s="938"/>
      <c r="AI214" s="232"/>
      <c r="AJ214" s="109"/>
      <c r="AK214" s="109"/>
      <c r="AL214" s="109"/>
      <c r="AM214" s="109"/>
      <c r="AN214" s="109"/>
      <c r="AO214" s="109"/>
      <c r="AP214" s="109"/>
      <c r="AQ214" s="109"/>
      <c r="AR214" s="109"/>
      <c r="AS214" s="109"/>
      <c r="AT214" s="109"/>
      <c r="AU214" s="109"/>
      <c r="AV214" s="109"/>
      <c r="AW214" s="123"/>
    </row>
    <row r="215" spans="30:49" x14ac:dyDescent="0.3">
      <c r="AD215" s="939" t="s">
        <v>622</v>
      </c>
      <c r="AE215" s="940"/>
      <c r="AF215" s="940"/>
      <c r="AG215" s="940"/>
      <c r="AH215" s="940"/>
      <c r="AI215" s="940"/>
      <c r="AJ215" s="940"/>
      <c r="AK215" s="940"/>
      <c r="AL215" s="940"/>
      <c r="AM215" s="940"/>
      <c r="AN215" s="940"/>
      <c r="AO215" s="940"/>
      <c r="AP215" s="940"/>
      <c r="AQ215" s="940"/>
      <c r="AR215" s="940"/>
      <c r="AS215" s="940"/>
      <c r="AT215" s="940"/>
      <c r="AU215" s="940"/>
      <c r="AV215" s="940"/>
      <c r="AW215" s="941"/>
    </row>
    <row r="216" spans="30:49" ht="30.75" customHeight="1" x14ac:dyDescent="0.3">
      <c r="AD216" s="945" t="s">
        <v>643</v>
      </c>
      <c r="AE216" s="945"/>
      <c r="AF216" s="945"/>
      <c r="AG216" s="945"/>
      <c r="AH216" s="945"/>
      <c r="AI216" s="945"/>
      <c r="AJ216" s="945"/>
      <c r="AK216" s="945"/>
      <c r="AL216" s="945"/>
      <c r="AM216" s="945"/>
      <c r="AN216" s="945"/>
      <c r="AO216" s="325"/>
      <c r="AP216" s="325"/>
      <c r="AQ216" s="325"/>
      <c r="AR216" s="325"/>
      <c r="AS216" s="325"/>
      <c r="AT216" s="325"/>
      <c r="AU216" s="325"/>
      <c r="AV216" s="325"/>
      <c r="AW216" s="326"/>
    </row>
    <row r="217" spans="30:49" ht="15" customHeight="1" x14ac:dyDescent="0.3">
      <c r="AD217" s="792" t="s">
        <v>620</v>
      </c>
      <c r="AE217" s="38" t="s">
        <v>623</v>
      </c>
      <c r="AF217" s="795" t="s">
        <v>642</v>
      </c>
      <c r="AG217" s="798" t="s">
        <v>663</v>
      </c>
      <c r="AH217" s="799"/>
      <c r="AI217" s="799"/>
      <c r="AJ217" s="799"/>
      <c r="AK217" s="799"/>
      <c r="AL217" s="799"/>
      <c r="AM217" s="799"/>
      <c r="AN217" s="800"/>
      <c r="AO217" s="321"/>
      <c r="AP217" s="321"/>
      <c r="AQ217" s="321"/>
      <c r="AR217" s="321"/>
      <c r="AS217" s="321"/>
      <c r="AT217" s="321"/>
      <c r="AU217" s="321"/>
      <c r="AV217" s="321"/>
      <c r="AW217" s="322"/>
    </row>
    <row r="218" spans="30:49" x14ac:dyDescent="0.3">
      <c r="AD218" s="793"/>
      <c r="AE218" s="792" t="s">
        <v>641</v>
      </c>
      <c r="AF218" s="796"/>
      <c r="AG218" s="798" t="s">
        <v>664</v>
      </c>
      <c r="AH218" s="799"/>
      <c r="AI218" s="799"/>
      <c r="AJ218" s="799"/>
      <c r="AK218" s="799"/>
      <c r="AL218" s="799"/>
      <c r="AM218" s="799"/>
      <c r="AN218" s="800"/>
      <c r="AW218" s="108"/>
    </row>
    <row r="219" spans="30:49" x14ac:dyDescent="0.3">
      <c r="AD219" s="794"/>
      <c r="AE219" s="794"/>
      <c r="AF219" s="797"/>
      <c r="AG219" s="284">
        <v>3</v>
      </c>
      <c r="AH219" s="284">
        <v>2.4</v>
      </c>
      <c r="AI219" s="284">
        <v>1.8</v>
      </c>
      <c r="AJ219" s="284">
        <v>1.5</v>
      </c>
      <c r="AK219" s="284">
        <v>1.2</v>
      </c>
      <c r="AL219" s="284">
        <v>0.9</v>
      </c>
      <c r="AM219" s="284">
        <v>0.75</v>
      </c>
      <c r="AN219" s="284">
        <v>0.6</v>
      </c>
    </row>
    <row r="220" spans="30:49" x14ac:dyDescent="0.3">
      <c r="AD220" s="38">
        <v>0</v>
      </c>
      <c r="AE220" s="38">
        <v>1</v>
      </c>
      <c r="AF220" s="38">
        <v>2</v>
      </c>
      <c r="AG220" s="38">
        <v>3</v>
      </c>
      <c r="AH220" s="38">
        <v>4</v>
      </c>
      <c r="AI220" s="38">
        <v>5</v>
      </c>
      <c r="AJ220" s="38">
        <v>6</v>
      </c>
      <c r="AK220" s="38">
        <v>7</v>
      </c>
      <c r="AL220" s="38">
        <v>8</v>
      </c>
      <c r="AM220" s="38">
        <v>9</v>
      </c>
      <c r="AN220" s="38">
        <v>10</v>
      </c>
    </row>
    <row r="221" spans="30:49" x14ac:dyDescent="0.3">
      <c r="AD221" s="13">
        <v>24</v>
      </c>
      <c r="AE221" s="13" t="s">
        <v>624</v>
      </c>
      <c r="AF221" s="38">
        <v>0.55000000000000004</v>
      </c>
      <c r="AG221" s="323" t="s">
        <v>507</v>
      </c>
      <c r="AH221" s="323" t="s">
        <v>507</v>
      </c>
      <c r="AI221" s="323" t="s">
        <v>507</v>
      </c>
      <c r="AJ221" s="323" t="s">
        <v>507</v>
      </c>
      <c r="AK221" s="323" t="s">
        <v>507</v>
      </c>
      <c r="AL221" s="323" t="s">
        <v>507</v>
      </c>
      <c r="AM221" s="323" t="s">
        <v>507</v>
      </c>
      <c r="AN221" s="323" t="s">
        <v>507</v>
      </c>
    </row>
    <row r="222" spans="30:49" x14ac:dyDescent="0.3">
      <c r="AD222" s="13">
        <v>24</v>
      </c>
      <c r="AE222" s="13" t="s">
        <v>625</v>
      </c>
      <c r="AF222" s="38">
        <v>0.55000000000000004</v>
      </c>
      <c r="AG222" s="323" t="s">
        <v>507</v>
      </c>
      <c r="AH222" s="323" t="s">
        <v>507</v>
      </c>
      <c r="AI222" s="323" t="s">
        <v>507</v>
      </c>
      <c r="AJ222" s="323" t="s">
        <v>507</v>
      </c>
      <c r="AK222" s="323" t="s">
        <v>507</v>
      </c>
      <c r="AL222" s="323" t="s">
        <v>507</v>
      </c>
      <c r="AM222" s="323" t="s">
        <v>507</v>
      </c>
      <c r="AN222" s="323" t="s">
        <v>507</v>
      </c>
    </row>
    <row r="223" spans="30:49" x14ac:dyDescent="0.3">
      <c r="AD223" s="13">
        <v>24</v>
      </c>
      <c r="AE223" s="13" t="s">
        <v>626</v>
      </c>
      <c r="AF223" s="38">
        <v>0.55000000000000004</v>
      </c>
      <c r="AG223" s="323" t="s">
        <v>507</v>
      </c>
      <c r="AH223" s="323" t="s">
        <v>507</v>
      </c>
      <c r="AI223" s="323" t="s">
        <v>507</v>
      </c>
      <c r="AJ223" s="323" t="s">
        <v>507</v>
      </c>
      <c r="AK223" s="323" t="s">
        <v>507</v>
      </c>
      <c r="AL223" s="323" t="s">
        <v>507</v>
      </c>
      <c r="AM223" s="323" t="s">
        <v>507</v>
      </c>
      <c r="AN223" s="323" t="s">
        <v>507</v>
      </c>
    </row>
    <row r="224" spans="30:49" x14ac:dyDescent="0.3">
      <c r="AD224" s="13">
        <v>24</v>
      </c>
      <c r="AE224" s="13" t="s">
        <v>627</v>
      </c>
      <c r="AF224" s="38">
        <v>0.55000000000000004</v>
      </c>
      <c r="AG224" s="323" t="s">
        <v>507</v>
      </c>
      <c r="AH224" s="323" t="s">
        <v>507</v>
      </c>
      <c r="AI224" s="323" t="s">
        <v>507</v>
      </c>
      <c r="AJ224" s="323" t="s">
        <v>507</v>
      </c>
      <c r="AK224" s="323" t="s">
        <v>507</v>
      </c>
      <c r="AL224" s="323" t="s">
        <v>507</v>
      </c>
      <c r="AM224" s="323" t="s">
        <v>507</v>
      </c>
      <c r="AN224" s="323" t="s">
        <v>507</v>
      </c>
    </row>
    <row r="225" spans="30:40" x14ac:dyDescent="0.3">
      <c r="AD225" s="13">
        <v>24</v>
      </c>
      <c r="AE225" s="13" t="s">
        <v>628</v>
      </c>
      <c r="AF225" s="38">
        <v>0.55000000000000004</v>
      </c>
      <c r="AG225" s="323" t="s">
        <v>507</v>
      </c>
      <c r="AH225" s="323" t="s">
        <v>507</v>
      </c>
      <c r="AI225" s="323" t="s">
        <v>507</v>
      </c>
      <c r="AJ225" s="323" t="s">
        <v>507</v>
      </c>
      <c r="AK225" s="323" t="s">
        <v>507</v>
      </c>
      <c r="AL225" s="323" t="s">
        <v>507</v>
      </c>
      <c r="AM225" s="323" t="s">
        <v>507</v>
      </c>
      <c r="AN225" s="323" t="s">
        <v>507</v>
      </c>
    </row>
    <row r="226" spans="30:40" x14ac:dyDescent="0.3">
      <c r="AD226" s="13">
        <v>22</v>
      </c>
      <c r="AE226" s="13" t="s">
        <v>629</v>
      </c>
      <c r="AF226" s="38">
        <v>0.7</v>
      </c>
      <c r="AG226" s="13" t="s">
        <v>644</v>
      </c>
      <c r="AH226" s="13" t="s">
        <v>644</v>
      </c>
      <c r="AI226" s="13" t="s">
        <v>644</v>
      </c>
      <c r="AJ226" s="13" t="s">
        <v>644</v>
      </c>
      <c r="AK226" s="13" t="s">
        <v>644</v>
      </c>
      <c r="AL226" s="13" t="s">
        <v>644</v>
      </c>
      <c r="AM226" s="13" t="s">
        <v>645</v>
      </c>
      <c r="AN226" s="13" t="s">
        <v>645</v>
      </c>
    </row>
    <row r="227" spans="30:40" x14ac:dyDescent="0.3">
      <c r="AD227" s="13">
        <v>20</v>
      </c>
      <c r="AE227" s="13" t="s">
        <v>630</v>
      </c>
      <c r="AF227" s="38">
        <v>0.85</v>
      </c>
      <c r="AG227" s="13" t="s">
        <v>644</v>
      </c>
      <c r="AH227" s="13" t="s">
        <v>644</v>
      </c>
      <c r="AI227" s="13" t="s">
        <v>644</v>
      </c>
      <c r="AJ227" s="13" t="s">
        <v>644</v>
      </c>
      <c r="AK227" s="13" t="s">
        <v>644</v>
      </c>
      <c r="AL227" s="13" t="s">
        <v>644</v>
      </c>
      <c r="AM227" s="13" t="s">
        <v>644</v>
      </c>
      <c r="AN227" s="13" t="s">
        <v>645</v>
      </c>
    </row>
    <row r="228" spans="30:40" x14ac:dyDescent="0.3">
      <c r="AD228" s="13">
        <v>20</v>
      </c>
      <c r="AE228" s="13" t="s">
        <v>631</v>
      </c>
      <c r="AF228" s="38">
        <v>0.85</v>
      </c>
      <c r="AG228" s="13" t="s">
        <v>646</v>
      </c>
      <c r="AH228" s="13" t="s">
        <v>646</v>
      </c>
      <c r="AI228" s="13" t="s">
        <v>646</v>
      </c>
      <c r="AJ228" s="13" t="s">
        <v>644</v>
      </c>
      <c r="AK228" s="13" t="s">
        <v>644</v>
      </c>
      <c r="AL228" s="13" t="s">
        <v>644</v>
      </c>
      <c r="AM228" s="13" t="s">
        <v>644</v>
      </c>
      <c r="AN228" s="13" t="s">
        <v>644</v>
      </c>
    </row>
    <row r="229" spans="30:40" x14ac:dyDescent="0.3">
      <c r="AD229" s="13">
        <v>18</v>
      </c>
      <c r="AE229" s="13" t="s">
        <v>632</v>
      </c>
      <c r="AF229" s="38">
        <v>1</v>
      </c>
      <c r="AG229" s="13" t="s">
        <v>646</v>
      </c>
      <c r="AH229" s="13" t="s">
        <v>646</v>
      </c>
      <c r="AI229" s="13" t="s">
        <v>646</v>
      </c>
      <c r="AJ229" s="13" t="s">
        <v>646</v>
      </c>
      <c r="AK229" s="13" t="s">
        <v>644</v>
      </c>
      <c r="AL229" s="13" t="s">
        <v>644</v>
      </c>
      <c r="AM229" s="13" t="s">
        <v>644</v>
      </c>
      <c r="AN229" s="13" t="s">
        <v>644</v>
      </c>
    </row>
    <row r="230" spans="30:40" x14ac:dyDescent="0.3">
      <c r="AD230" s="13">
        <v>16</v>
      </c>
      <c r="AE230" s="13" t="s">
        <v>633</v>
      </c>
      <c r="AF230" s="38">
        <v>1.31</v>
      </c>
      <c r="AG230" s="13" t="s">
        <v>647</v>
      </c>
      <c r="AH230" s="13" t="s">
        <v>646</v>
      </c>
      <c r="AI230" s="13" t="s">
        <v>646</v>
      </c>
      <c r="AJ230" s="13" t="s">
        <v>646</v>
      </c>
      <c r="AK230" s="13" t="s">
        <v>646</v>
      </c>
      <c r="AL230" s="13" t="s">
        <v>644</v>
      </c>
      <c r="AM230" s="13" t="s">
        <v>644</v>
      </c>
      <c r="AN230" s="13" t="s">
        <v>644</v>
      </c>
    </row>
    <row r="231" spans="30:40" x14ac:dyDescent="0.3">
      <c r="AD231" s="13">
        <v>16</v>
      </c>
      <c r="AE231" s="13" t="s">
        <v>634</v>
      </c>
      <c r="AF231" s="38">
        <v>1.31</v>
      </c>
      <c r="AG231" s="13" t="s">
        <v>647</v>
      </c>
      <c r="AH231" s="13" t="s">
        <v>646</v>
      </c>
      <c r="AI231" s="13" t="s">
        <v>646</v>
      </c>
      <c r="AJ231" s="13" t="s">
        <v>646</v>
      </c>
      <c r="AK231" s="13" t="s">
        <v>646</v>
      </c>
      <c r="AL231" s="13" t="s">
        <v>646</v>
      </c>
      <c r="AM231" s="13" t="s">
        <v>646</v>
      </c>
      <c r="AN231" s="13" t="s">
        <v>644</v>
      </c>
    </row>
    <row r="232" spans="30:40" x14ac:dyDescent="0.3">
      <c r="AD232" s="13">
        <v>16</v>
      </c>
      <c r="AE232" s="13" t="s">
        <v>635</v>
      </c>
      <c r="AF232" s="38">
        <v>1.31</v>
      </c>
      <c r="AG232" s="13" t="s">
        <v>648</v>
      </c>
      <c r="AH232" s="13" t="s">
        <v>653</v>
      </c>
      <c r="AI232" s="13" t="s">
        <v>646</v>
      </c>
      <c r="AJ232" s="13" t="s">
        <v>646</v>
      </c>
      <c r="AK232" s="13" t="s">
        <v>646</v>
      </c>
      <c r="AL232" s="13" t="s">
        <v>646</v>
      </c>
      <c r="AM232" s="13" t="s">
        <v>646</v>
      </c>
      <c r="AN232" s="13" t="s">
        <v>644</v>
      </c>
    </row>
    <row r="233" spans="30:40" x14ac:dyDescent="0.3">
      <c r="AD233" s="13">
        <v>14</v>
      </c>
      <c r="AE233" s="13" t="s">
        <v>636</v>
      </c>
      <c r="AF233" s="38">
        <v>1.61</v>
      </c>
      <c r="AG233" s="13" t="s">
        <v>649</v>
      </c>
      <c r="AH233" s="13" t="s">
        <v>654</v>
      </c>
      <c r="AI233" s="13" t="s">
        <v>653</v>
      </c>
      <c r="AJ233" s="13" t="s">
        <v>659</v>
      </c>
      <c r="AK233" s="13" t="s">
        <v>646</v>
      </c>
      <c r="AL233" s="13" t="s">
        <v>646</v>
      </c>
      <c r="AM233" s="13" t="s">
        <v>646</v>
      </c>
      <c r="AN233" s="13" t="s">
        <v>646</v>
      </c>
    </row>
    <row r="234" spans="30:40" x14ac:dyDescent="0.3">
      <c r="AD234" s="13">
        <v>14</v>
      </c>
      <c r="AE234" s="13" t="s">
        <v>637</v>
      </c>
      <c r="AF234" s="38">
        <v>1.61</v>
      </c>
      <c r="AG234" s="13" t="s">
        <v>649</v>
      </c>
      <c r="AH234" s="13" t="s">
        <v>655</v>
      </c>
      <c r="AI234" s="13" t="s">
        <v>654</v>
      </c>
      <c r="AJ234" s="13" t="s">
        <v>660</v>
      </c>
      <c r="AK234" s="13" t="s">
        <v>659</v>
      </c>
      <c r="AL234" s="13" t="s">
        <v>659</v>
      </c>
      <c r="AM234" s="13" t="s">
        <v>646</v>
      </c>
      <c r="AN234" s="13" t="s">
        <v>646</v>
      </c>
    </row>
    <row r="235" spans="30:40" x14ac:dyDescent="0.3">
      <c r="AD235" s="324" t="s">
        <v>507</v>
      </c>
      <c r="AE235" s="13" t="s">
        <v>638</v>
      </c>
      <c r="AF235" s="324" t="s">
        <v>507</v>
      </c>
      <c r="AG235" s="13" t="s">
        <v>650</v>
      </c>
      <c r="AH235" s="13" t="s">
        <v>656</v>
      </c>
      <c r="AI235" s="13" t="s">
        <v>655</v>
      </c>
      <c r="AJ235" s="13" t="s">
        <v>660</v>
      </c>
      <c r="AK235" s="13" t="s">
        <v>660</v>
      </c>
      <c r="AL235" s="13" t="s">
        <v>660</v>
      </c>
      <c r="AM235" s="13" t="s">
        <v>659</v>
      </c>
      <c r="AN235" s="13" t="s">
        <v>646</v>
      </c>
    </row>
    <row r="236" spans="30:40" x14ac:dyDescent="0.3">
      <c r="AD236" s="324" t="s">
        <v>507</v>
      </c>
      <c r="AE236" s="13" t="s">
        <v>639</v>
      </c>
      <c r="AF236" s="324" t="s">
        <v>507</v>
      </c>
      <c r="AG236" s="13" t="s">
        <v>651</v>
      </c>
      <c r="AH236" s="13" t="s">
        <v>656</v>
      </c>
      <c r="AI236" s="13" t="s">
        <v>658</v>
      </c>
      <c r="AJ236" s="13" t="s">
        <v>654</v>
      </c>
      <c r="AK236" s="13" t="s">
        <v>654</v>
      </c>
      <c r="AL236" s="13" t="s">
        <v>660</v>
      </c>
      <c r="AM236" s="13" t="s">
        <v>660</v>
      </c>
      <c r="AN236" s="13" t="s">
        <v>659</v>
      </c>
    </row>
    <row r="237" spans="30:40" x14ac:dyDescent="0.3">
      <c r="AD237" s="324" t="s">
        <v>507</v>
      </c>
      <c r="AE237" s="13" t="s">
        <v>640</v>
      </c>
      <c r="AF237" s="324" t="s">
        <v>507</v>
      </c>
      <c r="AG237" s="13" t="s">
        <v>652</v>
      </c>
      <c r="AH237" s="13" t="s">
        <v>657</v>
      </c>
      <c r="AI237" s="13" t="s">
        <v>656</v>
      </c>
      <c r="AJ237" s="13" t="s">
        <v>658</v>
      </c>
      <c r="AK237" s="13" t="s">
        <v>662</v>
      </c>
      <c r="AL237" s="13" t="s">
        <v>654</v>
      </c>
      <c r="AM237" s="13" t="s">
        <v>654</v>
      </c>
      <c r="AN237" s="13" t="s">
        <v>654</v>
      </c>
    </row>
    <row r="238" spans="30:40" ht="38.4" x14ac:dyDescent="0.3">
      <c r="AD238" s="945" t="s">
        <v>665</v>
      </c>
      <c r="AE238" s="945"/>
      <c r="AF238" s="945"/>
      <c r="AG238" s="945"/>
      <c r="AH238" s="945"/>
      <c r="AI238" s="945"/>
      <c r="AJ238" s="945"/>
      <c r="AK238" s="945"/>
      <c r="AL238" s="945"/>
      <c r="AM238" s="945"/>
      <c r="AN238" s="945"/>
    </row>
    <row r="239" spans="30:40" x14ac:dyDescent="0.3">
      <c r="AD239" s="792" t="s">
        <v>620</v>
      </c>
      <c r="AE239" s="38" t="s">
        <v>623</v>
      </c>
      <c r="AF239" s="795" t="s">
        <v>642</v>
      </c>
      <c r="AG239" s="798" t="s">
        <v>663</v>
      </c>
      <c r="AH239" s="799"/>
      <c r="AI239" s="799"/>
      <c r="AJ239" s="799"/>
      <c r="AK239" s="799"/>
      <c r="AL239" s="799"/>
      <c r="AM239" s="799"/>
      <c r="AN239" s="800"/>
    </row>
    <row r="240" spans="30:40" x14ac:dyDescent="0.3">
      <c r="AD240" s="793"/>
      <c r="AE240" s="792" t="s">
        <v>641</v>
      </c>
      <c r="AF240" s="796"/>
      <c r="AG240" s="798" t="s">
        <v>664</v>
      </c>
      <c r="AH240" s="799"/>
      <c r="AI240" s="799"/>
      <c r="AJ240" s="799"/>
      <c r="AK240" s="799"/>
      <c r="AL240" s="799"/>
      <c r="AM240" s="799"/>
      <c r="AN240" s="800"/>
    </row>
    <row r="241" spans="30:40" x14ac:dyDescent="0.3">
      <c r="AD241" s="794"/>
      <c r="AE241" s="794"/>
      <c r="AF241" s="797"/>
      <c r="AG241" s="284">
        <v>3</v>
      </c>
      <c r="AH241" s="284">
        <v>2.4</v>
      </c>
      <c r="AI241" s="284">
        <v>1.8</v>
      </c>
      <c r="AJ241" s="284">
        <v>1.5</v>
      </c>
      <c r="AK241" s="284">
        <v>1.2</v>
      </c>
      <c r="AL241" s="284">
        <v>0.9</v>
      </c>
      <c r="AM241" s="284">
        <v>0.75</v>
      </c>
      <c r="AN241" s="284">
        <v>0.6</v>
      </c>
    </row>
    <row r="242" spans="30:40" x14ac:dyDescent="0.3">
      <c r="AD242" s="38">
        <v>0</v>
      </c>
      <c r="AE242" s="38">
        <v>1</v>
      </c>
      <c r="AF242" s="38">
        <v>2</v>
      </c>
      <c r="AG242" s="38">
        <v>3</v>
      </c>
      <c r="AH242" s="38">
        <v>4</v>
      </c>
      <c r="AI242" s="38">
        <v>5</v>
      </c>
      <c r="AJ242" s="38">
        <v>6</v>
      </c>
      <c r="AK242" s="38">
        <v>7</v>
      </c>
      <c r="AL242" s="38">
        <v>8</v>
      </c>
      <c r="AM242" s="38">
        <v>9</v>
      </c>
      <c r="AN242" s="38">
        <v>10</v>
      </c>
    </row>
    <row r="243" spans="30:40" x14ac:dyDescent="0.3">
      <c r="AD243" s="13">
        <v>24</v>
      </c>
      <c r="AE243" s="13" t="s">
        <v>624</v>
      </c>
      <c r="AF243" s="38">
        <v>0.55000000000000004</v>
      </c>
      <c r="AG243" s="323" t="s">
        <v>507</v>
      </c>
      <c r="AH243" s="323" t="s">
        <v>507</v>
      </c>
      <c r="AI243" s="323" t="s">
        <v>507</v>
      </c>
      <c r="AJ243" s="323" t="s">
        <v>507</v>
      </c>
      <c r="AK243" s="323" t="s">
        <v>507</v>
      </c>
      <c r="AL243" s="323" t="s">
        <v>507</v>
      </c>
      <c r="AM243" s="323" t="s">
        <v>507</v>
      </c>
      <c r="AN243" s="323" t="s">
        <v>507</v>
      </c>
    </row>
    <row r="244" spans="30:40" x14ac:dyDescent="0.3">
      <c r="AD244" s="13">
        <v>24</v>
      </c>
      <c r="AE244" s="13" t="s">
        <v>625</v>
      </c>
      <c r="AF244" s="38">
        <v>0.55000000000000004</v>
      </c>
      <c r="AG244" s="323" t="s">
        <v>507</v>
      </c>
      <c r="AH244" s="323" t="s">
        <v>507</v>
      </c>
      <c r="AI244" s="323" t="s">
        <v>507</v>
      </c>
      <c r="AJ244" s="323" t="s">
        <v>507</v>
      </c>
      <c r="AK244" s="323" t="s">
        <v>507</v>
      </c>
      <c r="AL244" s="323" t="s">
        <v>507</v>
      </c>
      <c r="AM244" s="323" t="s">
        <v>507</v>
      </c>
      <c r="AN244" s="323" t="s">
        <v>507</v>
      </c>
    </row>
    <row r="245" spans="30:40" x14ac:dyDescent="0.3">
      <c r="AD245" s="13">
        <v>24</v>
      </c>
      <c r="AE245" s="13" t="s">
        <v>626</v>
      </c>
      <c r="AF245" s="38">
        <v>0.55000000000000004</v>
      </c>
      <c r="AG245" s="323" t="s">
        <v>507</v>
      </c>
      <c r="AH245" s="323" t="s">
        <v>507</v>
      </c>
      <c r="AI245" s="323" t="s">
        <v>507</v>
      </c>
      <c r="AJ245" s="323" t="s">
        <v>507</v>
      </c>
      <c r="AK245" s="323" t="s">
        <v>507</v>
      </c>
      <c r="AL245" s="323" t="s">
        <v>507</v>
      </c>
      <c r="AM245" s="323" t="s">
        <v>507</v>
      </c>
      <c r="AN245" s="323" t="s">
        <v>507</v>
      </c>
    </row>
    <row r="246" spans="30:40" x14ac:dyDescent="0.3">
      <c r="AD246" s="13">
        <v>24</v>
      </c>
      <c r="AE246" s="13" t="s">
        <v>627</v>
      </c>
      <c r="AF246" s="38">
        <v>0.55000000000000004</v>
      </c>
      <c r="AG246" s="323" t="s">
        <v>507</v>
      </c>
      <c r="AH246" s="323" t="s">
        <v>507</v>
      </c>
      <c r="AI246" s="323" t="s">
        <v>507</v>
      </c>
      <c r="AJ246" s="323" t="s">
        <v>507</v>
      </c>
      <c r="AK246" s="323" t="s">
        <v>507</v>
      </c>
      <c r="AL246" s="323" t="s">
        <v>507</v>
      </c>
      <c r="AM246" s="323" t="s">
        <v>507</v>
      </c>
      <c r="AN246" s="323" t="s">
        <v>507</v>
      </c>
    </row>
    <row r="247" spans="30:40" x14ac:dyDescent="0.3">
      <c r="AD247" s="13">
        <v>22</v>
      </c>
      <c r="AE247" s="13" t="s">
        <v>628</v>
      </c>
      <c r="AF247" s="38">
        <v>0.7</v>
      </c>
      <c r="AG247" s="323" t="s">
        <v>507</v>
      </c>
      <c r="AH247" s="13" t="s">
        <v>644</v>
      </c>
      <c r="AI247" s="13" t="s">
        <v>644</v>
      </c>
      <c r="AJ247" s="13" t="s">
        <v>644</v>
      </c>
      <c r="AK247" s="13" t="s">
        <v>644</v>
      </c>
      <c r="AL247" s="13" t="s">
        <v>644</v>
      </c>
      <c r="AM247" s="13" t="s">
        <v>644</v>
      </c>
      <c r="AN247" s="13" t="s">
        <v>644</v>
      </c>
    </row>
    <row r="248" spans="30:40" x14ac:dyDescent="0.3">
      <c r="AD248" s="13">
        <v>22</v>
      </c>
      <c r="AE248" s="13" t="s">
        <v>629</v>
      </c>
      <c r="AF248" s="38">
        <v>0.7</v>
      </c>
      <c r="AG248" s="323" t="s">
        <v>507</v>
      </c>
      <c r="AH248" s="13" t="s">
        <v>646</v>
      </c>
      <c r="AI248" s="13" t="s">
        <v>646</v>
      </c>
      <c r="AJ248" s="13" t="s">
        <v>646</v>
      </c>
      <c r="AK248" s="13" t="s">
        <v>646</v>
      </c>
      <c r="AL248" s="13" t="s">
        <v>644</v>
      </c>
      <c r="AM248" s="13" t="s">
        <v>644</v>
      </c>
      <c r="AN248" s="13" t="s">
        <v>644</v>
      </c>
    </row>
    <row r="249" spans="30:40" x14ac:dyDescent="0.3">
      <c r="AD249" s="13">
        <v>20</v>
      </c>
      <c r="AE249" s="13" t="s">
        <v>630</v>
      </c>
      <c r="AF249" s="38">
        <v>0.85</v>
      </c>
      <c r="AG249" s="13" t="s">
        <v>647</v>
      </c>
      <c r="AH249" s="13" t="s">
        <v>647</v>
      </c>
      <c r="AI249" s="13" t="s">
        <v>646</v>
      </c>
      <c r="AJ249" s="13" t="s">
        <v>646</v>
      </c>
      <c r="AK249" s="13" t="s">
        <v>646</v>
      </c>
      <c r="AL249" s="13" t="s">
        <v>644</v>
      </c>
      <c r="AM249" s="13" t="s">
        <v>644</v>
      </c>
      <c r="AN249" s="13" t="s">
        <v>644</v>
      </c>
    </row>
    <row r="250" spans="30:40" x14ac:dyDescent="0.3">
      <c r="AD250" s="13">
        <v>20</v>
      </c>
      <c r="AE250" s="13" t="s">
        <v>631</v>
      </c>
      <c r="AF250" s="38">
        <v>0.85</v>
      </c>
      <c r="AG250" s="13" t="s">
        <v>647</v>
      </c>
      <c r="AH250" s="13" t="s">
        <v>647</v>
      </c>
      <c r="AI250" s="13" t="s">
        <v>646</v>
      </c>
      <c r="AJ250" s="13" t="s">
        <v>646</v>
      </c>
      <c r="AK250" s="13" t="s">
        <v>646</v>
      </c>
      <c r="AL250" s="13" t="s">
        <v>646</v>
      </c>
      <c r="AM250" s="13" t="s">
        <v>644</v>
      </c>
      <c r="AN250" s="13" t="s">
        <v>644</v>
      </c>
    </row>
    <row r="251" spans="30:40" x14ac:dyDescent="0.3">
      <c r="AD251" s="13">
        <v>18</v>
      </c>
      <c r="AE251" s="13" t="s">
        <v>632</v>
      </c>
      <c r="AF251" s="38">
        <v>1</v>
      </c>
      <c r="AG251" s="13" t="s">
        <v>648</v>
      </c>
      <c r="AH251" s="13" t="s">
        <v>653</v>
      </c>
      <c r="AI251" s="13" t="s">
        <v>646</v>
      </c>
      <c r="AJ251" s="13" t="s">
        <v>646</v>
      </c>
      <c r="AK251" s="13" t="s">
        <v>646</v>
      </c>
      <c r="AL251" s="13" t="s">
        <v>646</v>
      </c>
      <c r="AM251" s="13" t="s">
        <v>646</v>
      </c>
      <c r="AN251" s="13" t="s">
        <v>644</v>
      </c>
    </row>
    <row r="252" spans="30:40" x14ac:dyDescent="0.3">
      <c r="AD252" s="13">
        <v>16</v>
      </c>
      <c r="AE252" s="13" t="s">
        <v>633</v>
      </c>
      <c r="AF252" s="38">
        <v>1.31</v>
      </c>
      <c r="AG252" s="13" t="s">
        <v>648</v>
      </c>
      <c r="AH252" s="13" t="s">
        <v>653</v>
      </c>
      <c r="AI252" s="13" t="s">
        <v>659</v>
      </c>
      <c r="AJ252" s="13" t="s">
        <v>646</v>
      </c>
      <c r="AK252" s="13" t="s">
        <v>646</v>
      </c>
      <c r="AL252" s="13" t="s">
        <v>646</v>
      </c>
      <c r="AM252" s="13" t="s">
        <v>646</v>
      </c>
      <c r="AN252" s="13" t="s">
        <v>646</v>
      </c>
    </row>
    <row r="253" spans="30:40" x14ac:dyDescent="0.3">
      <c r="AD253" s="13">
        <v>16</v>
      </c>
      <c r="AE253" s="13" t="s">
        <v>634</v>
      </c>
      <c r="AF253" s="38">
        <v>1.31</v>
      </c>
      <c r="AG253" s="13" t="s">
        <v>655</v>
      </c>
      <c r="AH253" s="13" t="s">
        <v>653</v>
      </c>
      <c r="AI253" s="13" t="s">
        <v>659</v>
      </c>
      <c r="AJ253" s="13" t="s">
        <v>659</v>
      </c>
      <c r="AK253" s="13" t="s">
        <v>646</v>
      </c>
      <c r="AL253" s="13" t="s">
        <v>646</v>
      </c>
      <c r="AM253" s="13" t="s">
        <v>646</v>
      </c>
      <c r="AN253" s="13" t="s">
        <v>646</v>
      </c>
    </row>
    <row r="254" spans="30:40" x14ac:dyDescent="0.3">
      <c r="AD254" s="13">
        <v>16</v>
      </c>
      <c r="AE254" s="13" t="s">
        <v>635</v>
      </c>
      <c r="AF254" s="38">
        <v>1.31</v>
      </c>
      <c r="AG254" s="13" t="s">
        <v>649</v>
      </c>
      <c r="AH254" s="13" t="s">
        <v>655</v>
      </c>
      <c r="AI254" s="13" t="s">
        <v>654</v>
      </c>
      <c r="AJ254" s="13" t="s">
        <v>653</v>
      </c>
      <c r="AK254" s="13" t="s">
        <v>659</v>
      </c>
      <c r="AL254" s="13" t="s">
        <v>646</v>
      </c>
      <c r="AM254" s="13" t="s">
        <v>646</v>
      </c>
      <c r="AN254" s="13" t="s">
        <v>646</v>
      </c>
    </row>
    <row r="255" spans="30:40" x14ac:dyDescent="0.3">
      <c r="AD255" s="13">
        <v>14</v>
      </c>
      <c r="AE255" s="13" t="s">
        <v>636</v>
      </c>
      <c r="AF255" s="38">
        <v>1.61</v>
      </c>
      <c r="AG255" s="13" t="s">
        <v>650</v>
      </c>
      <c r="AH255" s="13" t="s">
        <v>656</v>
      </c>
      <c r="AI255" s="13" t="s">
        <v>655</v>
      </c>
      <c r="AJ255" s="13" t="s">
        <v>654</v>
      </c>
      <c r="AK255" s="13" t="s">
        <v>660</v>
      </c>
      <c r="AL255" s="13" t="s">
        <v>659</v>
      </c>
      <c r="AM255" s="13" t="s">
        <v>659</v>
      </c>
      <c r="AN255" s="13" t="s">
        <v>646</v>
      </c>
    </row>
    <row r="256" spans="30:40" x14ac:dyDescent="0.3">
      <c r="AD256" s="13">
        <v>14</v>
      </c>
      <c r="AE256" s="13" t="s">
        <v>637</v>
      </c>
      <c r="AF256" s="38">
        <v>1.61</v>
      </c>
      <c r="AG256" s="13" t="s">
        <v>651</v>
      </c>
      <c r="AH256" s="13" t="s">
        <v>651</v>
      </c>
      <c r="AI256" s="13" t="s">
        <v>656</v>
      </c>
      <c r="AJ256" s="13" t="s">
        <v>658</v>
      </c>
      <c r="AK256" s="13" t="s">
        <v>654</v>
      </c>
      <c r="AL256" s="13" t="s">
        <v>660</v>
      </c>
      <c r="AM256" s="13" t="s">
        <v>660</v>
      </c>
      <c r="AN256" s="13" t="s">
        <v>659</v>
      </c>
    </row>
    <row r="257" spans="30:40" x14ac:dyDescent="0.3">
      <c r="AD257" s="324" t="s">
        <v>507</v>
      </c>
      <c r="AE257" s="13" t="s">
        <v>638</v>
      </c>
      <c r="AF257" s="324" t="s">
        <v>507</v>
      </c>
      <c r="AG257" s="13" t="s">
        <v>657</v>
      </c>
      <c r="AH257" s="13" t="s">
        <v>657</v>
      </c>
      <c r="AI257" s="13" t="s">
        <v>668</v>
      </c>
      <c r="AJ257" s="13" t="s">
        <v>658</v>
      </c>
      <c r="AK257" s="13" t="s">
        <v>662</v>
      </c>
      <c r="AL257" s="13" t="s">
        <v>654</v>
      </c>
      <c r="AM257" s="13" t="s">
        <v>654</v>
      </c>
      <c r="AN257" s="13" t="s">
        <v>654</v>
      </c>
    </row>
    <row r="258" spans="30:40" x14ac:dyDescent="0.3">
      <c r="AD258" s="324" t="s">
        <v>507</v>
      </c>
      <c r="AE258" s="13" t="s">
        <v>639</v>
      </c>
      <c r="AF258" s="324" t="s">
        <v>507</v>
      </c>
      <c r="AG258" s="13" t="s">
        <v>666</v>
      </c>
      <c r="AH258" s="13" t="s">
        <v>657</v>
      </c>
      <c r="AI258" s="13" t="s">
        <v>668</v>
      </c>
      <c r="AJ258" s="13" t="s">
        <v>670</v>
      </c>
      <c r="AK258" s="13" t="s">
        <v>662</v>
      </c>
      <c r="AL258" s="13" t="s">
        <v>662</v>
      </c>
      <c r="AM258" s="13" t="s">
        <v>654</v>
      </c>
      <c r="AN258" s="13" t="s">
        <v>654</v>
      </c>
    </row>
    <row r="259" spans="30:40" ht="34.5" customHeight="1" x14ac:dyDescent="0.3">
      <c r="AD259" s="324" t="s">
        <v>507</v>
      </c>
      <c r="AE259" s="13" t="s">
        <v>640</v>
      </c>
      <c r="AF259" s="324" t="s">
        <v>507</v>
      </c>
      <c r="AG259" s="324" t="s">
        <v>507</v>
      </c>
      <c r="AH259" s="327" t="s">
        <v>667</v>
      </c>
      <c r="AI259" s="328" t="s">
        <v>669</v>
      </c>
      <c r="AJ259" s="328" t="s">
        <v>669</v>
      </c>
      <c r="AK259" s="328" t="s">
        <v>671</v>
      </c>
      <c r="AL259" s="328" t="s">
        <v>662</v>
      </c>
      <c r="AM259" s="328" t="s">
        <v>662</v>
      </c>
      <c r="AN259" s="328" t="s">
        <v>662</v>
      </c>
    </row>
    <row r="260" spans="30:40" ht="38.4" x14ac:dyDescent="0.3">
      <c r="AD260" s="945" t="s">
        <v>672</v>
      </c>
      <c r="AE260" s="945"/>
      <c r="AF260" s="945"/>
      <c r="AG260" s="945"/>
      <c r="AH260" s="945"/>
      <c r="AI260" s="945"/>
      <c r="AJ260" s="945"/>
      <c r="AK260" s="945"/>
      <c r="AL260" s="945"/>
      <c r="AM260" s="945"/>
      <c r="AN260" s="945"/>
    </row>
    <row r="261" spans="30:40" x14ac:dyDescent="0.3">
      <c r="AD261" s="792" t="s">
        <v>620</v>
      </c>
      <c r="AE261" s="38" t="s">
        <v>623</v>
      </c>
      <c r="AF261" s="795" t="s">
        <v>642</v>
      </c>
      <c r="AG261" s="798" t="s">
        <v>663</v>
      </c>
      <c r="AH261" s="799"/>
      <c r="AI261" s="799"/>
      <c r="AJ261" s="799"/>
      <c r="AK261" s="799"/>
      <c r="AL261" s="799"/>
      <c r="AM261" s="799"/>
      <c r="AN261" s="800"/>
    </row>
    <row r="262" spans="30:40" x14ac:dyDescent="0.3">
      <c r="AD262" s="793"/>
      <c r="AE262" s="792" t="s">
        <v>641</v>
      </c>
      <c r="AF262" s="796"/>
      <c r="AG262" s="798" t="s">
        <v>664</v>
      </c>
      <c r="AH262" s="799"/>
      <c r="AI262" s="799"/>
      <c r="AJ262" s="799"/>
      <c r="AK262" s="799"/>
      <c r="AL262" s="799"/>
      <c r="AM262" s="799"/>
      <c r="AN262" s="800"/>
    </row>
    <row r="263" spans="30:40" x14ac:dyDescent="0.3">
      <c r="AD263" s="794"/>
      <c r="AE263" s="794"/>
      <c r="AF263" s="797"/>
      <c r="AG263" s="284">
        <v>3</v>
      </c>
      <c r="AH263" s="284">
        <v>2.4</v>
      </c>
      <c r="AI263" s="284">
        <v>1.8</v>
      </c>
      <c r="AJ263" s="284">
        <v>1.5</v>
      </c>
      <c r="AK263" s="284">
        <v>1.2</v>
      </c>
      <c r="AL263" s="284">
        <v>0.9</v>
      </c>
      <c r="AM263" s="284">
        <v>0.75</v>
      </c>
      <c r="AN263" s="284">
        <v>0.6</v>
      </c>
    </row>
    <row r="264" spans="30:40" x14ac:dyDescent="0.3">
      <c r="AD264" s="38">
        <v>0</v>
      </c>
      <c r="AE264" s="38">
        <v>1</v>
      </c>
      <c r="AF264" s="38">
        <v>2</v>
      </c>
      <c r="AG264" s="38">
        <v>3</v>
      </c>
      <c r="AH264" s="38">
        <v>4</v>
      </c>
      <c r="AI264" s="38">
        <v>5</v>
      </c>
      <c r="AJ264" s="38">
        <v>6</v>
      </c>
      <c r="AK264" s="38">
        <v>7</v>
      </c>
      <c r="AL264" s="38">
        <v>8</v>
      </c>
      <c r="AM264" s="38">
        <v>9</v>
      </c>
      <c r="AN264" s="38">
        <v>10</v>
      </c>
    </row>
    <row r="265" spans="30:40" x14ac:dyDescent="0.3">
      <c r="AD265" s="13">
        <v>24</v>
      </c>
      <c r="AE265" s="13" t="s">
        <v>624</v>
      </c>
      <c r="AF265" s="38">
        <v>0.55000000000000004</v>
      </c>
      <c r="AG265" s="323" t="s">
        <v>507</v>
      </c>
      <c r="AH265" s="323" t="s">
        <v>507</v>
      </c>
      <c r="AI265" s="323" t="s">
        <v>507</v>
      </c>
      <c r="AJ265" s="323" t="s">
        <v>507</v>
      </c>
      <c r="AK265" s="323" t="s">
        <v>507</v>
      </c>
      <c r="AL265" s="323" t="s">
        <v>507</v>
      </c>
      <c r="AM265" s="323" t="s">
        <v>507</v>
      </c>
      <c r="AN265" s="323" t="s">
        <v>507</v>
      </c>
    </row>
    <row r="266" spans="30:40" x14ac:dyDescent="0.3">
      <c r="AD266" s="13">
        <v>24</v>
      </c>
      <c r="AE266" s="13" t="s">
        <v>625</v>
      </c>
      <c r="AF266" s="38">
        <v>0.55000000000000004</v>
      </c>
      <c r="AG266" s="323" t="s">
        <v>507</v>
      </c>
      <c r="AH266" s="323" t="s">
        <v>507</v>
      </c>
      <c r="AI266" s="323" t="s">
        <v>507</v>
      </c>
      <c r="AJ266" s="323" t="s">
        <v>507</v>
      </c>
      <c r="AK266" s="323" t="s">
        <v>507</v>
      </c>
      <c r="AL266" s="323" t="s">
        <v>507</v>
      </c>
      <c r="AM266" s="323" t="s">
        <v>507</v>
      </c>
      <c r="AN266" s="323" t="s">
        <v>507</v>
      </c>
    </row>
    <row r="267" spans="30:40" x14ac:dyDescent="0.3">
      <c r="AD267" s="13">
        <v>24</v>
      </c>
      <c r="AE267" s="13" t="s">
        <v>626</v>
      </c>
      <c r="AF267" s="38">
        <v>0.55000000000000004</v>
      </c>
      <c r="AG267" s="323" t="s">
        <v>507</v>
      </c>
      <c r="AH267" s="13" t="s">
        <v>644</v>
      </c>
      <c r="AI267" s="13" t="s">
        <v>644</v>
      </c>
      <c r="AJ267" s="13" t="s">
        <v>644</v>
      </c>
      <c r="AK267" s="13" t="s">
        <v>644</v>
      </c>
      <c r="AL267" s="13" t="s">
        <v>644</v>
      </c>
      <c r="AM267" s="13" t="s">
        <v>644</v>
      </c>
      <c r="AN267" s="13" t="s">
        <v>644</v>
      </c>
    </row>
    <row r="268" spans="30:40" x14ac:dyDescent="0.3">
      <c r="AD268" s="13">
        <v>24</v>
      </c>
      <c r="AE268" s="13" t="s">
        <v>627</v>
      </c>
      <c r="AF268" s="38">
        <v>0.55000000000000004</v>
      </c>
      <c r="AG268" s="323" t="s">
        <v>507</v>
      </c>
      <c r="AH268" s="13" t="s">
        <v>646</v>
      </c>
      <c r="AI268" s="13" t="s">
        <v>646</v>
      </c>
      <c r="AJ268" s="13" t="s">
        <v>646</v>
      </c>
      <c r="AK268" s="13" t="s">
        <v>646</v>
      </c>
      <c r="AL268" s="13" t="s">
        <v>646</v>
      </c>
      <c r="AM268" s="13" t="s">
        <v>644</v>
      </c>
      <c r="AN268" s="13" t="s">
        <v>644</v>
      </c>
    </row>
    <row r="269" spans="30:40" x14ac:dyDescent="0.3">
      <c r="AD269" s="13">
        <v>22</v>
      </c>
      <c r="AE269" s="13" t="s">
        <v>628</v>
      </c>
      <c r="AF269" s="38">
        <v>0.7</v>
      </c>
      <c r="AG269" s="323" t="s">
        <v>507</v>
      </c>
      <c r="AH269" s="13" t="s">
        <v>646</v>
      </c>
      <c r="AI269" s="13" t="s">
        <v>646</v>
      </c>
      <c r="AJ269" s="13" t="s">
        <v>646</v>
      </c>
      <c r="AK269" s="13" t="s">
        <v>646</v>
      </c>
      <c r="AL269" s="13" t="s">
        <v>646</v>
      </c>
      <c r="AM269" s="13" t="s">
        <v>646</v>
      </c>
      <c r="AN269" s="13" t="s">
        <v>644</v>
      </c>
    </row>
    <row r="270" spans="30:40" x14ac:dyDescent="0.3">
      <c r="AD270" s="13">
        <v>22</v>
      </c>
      <c r="AE270" s="13" t="s">
        <v>629</v>
      </c>
      <c r="AF270" s="38">
        <v>0.7</v>
      </c>
      <c r="AG270" s="13" t="s">
        <v>661</v>
      </c>
      <c r="AH270" s="13" t="s">
        <v>647</v>
      </c>
      <c r="AI270" s="13" t="s">
        <v>646</v>
      </c>
      <c r="AJ270" s="13" t="s">
        <v>646</v>
      </c>
      <c r="AK270" s="13" t="s">
        <v>646</v>
      </c>
      <c r="AL270" s="13" t="s">
        <v>646</v>
      </c>
      <c r="AM270" s="13" t="s">
        <v>646</v>
      </c>
      <c r="AN270" s="13" t="s">
        <v>646</v>
      </c>
    </row>
    <row r="271" spans="30:40" x14ac:dyDescent="0.3">
      <c r="AD271" s="13">
        <v>20</v>
      </c>
      <c r="AE271" s="13" t="s">
        <v>630</v>
      </c>
      <c r="AF271" s="38">
        <v>0.85</v>
      </c>
      <c r="AG271" s="13" t="s">
        <v>648</v>
      </c>
      <c r="AH271" s="13" t="s">
        <v>653</v>
      </c>
      <c r="AI271" s="13" t="s">
        <v>659</v>
      </c>
      <c r="AJ271" s="13" t="s">
        <v>659</v>
      </c>
      <c r="AK271" s="13" t="s">
        <v>646</v>
      </c>
      <c r="AL271" s="13" t="s">
        <v>646</v>
      </c>
      <c r="AM271" s="13" t="s">
        <v>646</v>
      </c>
      <c r="AN271" s="13" t="s">
        <v>646</v>
      </c>
    </row>
    <row r="272" spans="30:40" x14ac:dyDescent="0.3">
      <c r="AD272" s="13">
        <v>20</v>
      </c>
      <c r="AE272" s="13" t="s">
        <v>631</v>
      </c>
      <c r="AF272" s="38">
        <v>0.85</v>
      </c>
      <c r="AG272" s="13" t="s">
        <v>655</v>
      </c>
      <c r="AH272" s="13" t="s">
        <v>654</v>
      </c>
      <c r="AI272" s="13" t="s">
        <v>659</v>
      </c>
      <c r="AJ272" s="13" t="s">
        <v>659</v>
      </c>
      <c r="AK272" s="13" t="s">
        <v>659</v>
      </c>
      <c r="AL272" s="13" t="s">
        <v>646</v>
      </c>
      <c r="AM272" s="13" t="s">
        <v>646</v>
      </c>
      <c r="AN272" s="13" t="s">
        <v>646</v>
      </c>
    </row>
    <row r="273" spans="30:40" x14ac:dyDescent="0.3">
      <c r="AD273" s="13">
        <v>18</v>
      </c>
      <c r="AE273" s="13" t="s">
        <v>632</v>
      </c>
      <c r="AF273" s="38">
        <v>1</v>
      </c>
      <c r="AG273" s="13" t="s">
        <v>655</v>
      </c>
      <c r="AH273" s="13" t="s">
        <v>655</v>
      </c>
      <c r="AI273" s="13" t="s">
        <v>654</v>
      </c>
      <c r="AJ273" s="13" t="s">
        <v>659</v>
      </c>
      <c r="AK273" s="13" t="s">
        <v>659</v>
      </c>
      <c r="AL273" s="13" t="s">
        <v>646</v>
      </c>
      <c r="AM273" s="13" t="s">
        <v>646</v>
      </c>
      <c r="AN273" s="13" t="s">
        <v>646</v>
      </c>
    </row>
    <row r="274" spans="30:40" x14ac:dyDescent="0.3">
      <c r="AD274" s="13">
        <v>16</v>
      </c>
      <c r="AE274" s="13" t="s">
        <v>633</v>
      </c>
      <c r="AF274" s="38">
        <v>1.31</v>
      </c>
      <c r="AG274" s="13" t="s">
        <v>656</v>
      </c>
      <c r="AH274" s="13" t="s">
        <v>649</v>
      </c>
      <c r="AI274" s="13" t="s">
        <v>655</v>
      </c>
      <c r="AJ274" s="13" t="s">
        <v>654</v>
      </c>
      <c r="AK274" s="13" t="s">
        <v>659</v>
      </c>
      <c r="AL274" s="13" t="s">
        <v>659</v>
      </c>
      <c r="AM274" s="13" t="s">
        <v>646</v>
      </c>
      <c r="AN274" s="13" t="s">
        <v>646</v>
      </c>
    </row>
    <row r="275" spans="30:40" x14ac:dyDescent="0.3">
      <c r="AD275" s="13">
        <v>16</v>
      </c>
      <c r="AE275" s="13" t="s">
        <v>634</v>
      </c>
      <c r="AF275" s="38">
        <v>1.31</v>
      </c>
      <c r="AG275" s="13" t="s">
        <v>656</v>
      </c>
      <c r="AH275" s="13" t="s">
        <v>656</v>
      </c>
      <c r="AI275" s="13" t="s">
        <v>655</v>
      </c>
      <c r="AJ275" s="13" t="s">
        <v>654</v>
      </c>
      <c r="AK275" s="13" t="s">
        <v>654</v>
      </c>
      <c r="AL275" s="13" t="s">
        <v>659</v>
      </c>
      <c r="AM275" s="13" t="s">
        <v>659</v>
      </c>
      <c r="AN275" s="13" t="s">
        <v>646</v>
      </c>
    </row>
    <row r="276" spans="30:40" x14ac:dyDescent="0.3">
      <c r="AD276" s="13">
        <v>16</v>
      </c>
      <c r="AE276" s="13" t="s">
        <v>635</v>
      </c>
      <c r="AF276" s="38">
        <v>1.31</v>
      </c>
      <c r="AG276" s="13" t="s">
        <v>651</v>
      </c>
      <c r="AH276" s="13" t="s">
        <v>668</v>
      </c>
      <c r="AI276" s="13" t="s">
        <v>658</v>
      </c>
      <c r="AJ276" s="13" t="s">
        <v>662</v>
      </c>
      <c r="AK276" s="13" t="s">
        <v>654</v>
      </c>
      <c r="AL276" s="13" t="s">
        <v>660</v>
      </c>
      <c r="AM276" s="13" t="s">
        <v>659</v>
      </c>
      <c r="AN276" s="13" t="s">
        <v>659</v>
      </c>
    </row>
    <row r="277" spans="30:40" x14ac:dyDescent="0.3">
      <c r="AD277" s="323" t="s">
        <v>507</v>
      </c>
      <c r="AE277" s="13" t="s">
        <v>636</v>
      </c>
      <c r="AF277" s="324" t="s">
        <v>507</v>
      </c>
      <c r="AG277" s="13" t="s">
        <v>657</v>
      </c>
      <c r="AH277" s="13" t="s">
        <v>657</v>
      </c>
      <c r="AI277" s="13" t="s">
        <v>668</v>
      </c>
      <c r="AJ277" s="13" t="s">
        <v>670</v>
      </c>
      <c r="AK277" s="13" t="s">
        <v>662</v>
      </c>
      <c r="AL277" s="13" t="s">
        <v>654</v>
      </c>
      <c r="AM277" s="13" t="s">
        <v>660</v>
      </c>
      <c r="AN277" s="13" t="s">
        <v>660</v>
      </c>
    </row>
    <row r="278" spans="30:40" x14ac:dyDescent="0.3">
      <c r="AD278" s="323" t="s">
        <v>507</v>
      </c>
      <c r="AE278" s="13" t="s">
        <v>637</v>
      </c>
      <c r="AF278" s="324" t="s">
        <v>507</v>
      </c>
      <c r="AG278" s="324" t="s">
        <v>507</v>
      </c>
      <c r="AH278" s="13" t="s">
        <v>673</v>
      </c>
      <c r="AI278" s="13" t="s">
        <v>674</v>
      </c>
      <c r="AJ278" s="13" t="s">
        <v>677</v>
      </c>
      <c r="AK278" s="13" t="s">
        <v>670</v>
      </c>
      <c r="AL278" s="13" t="s">
        <v>662</v>
      </c>
      <c r="AM278" s="13" t="s">
        <v>662</v>
      </c>
      <c r="AN278" s="13" t="s">
        <v>654</v>
      </c>
    </row>
    <row r="279" spans="30:40" ht="28.8" x14ac:dyDescent="0.3">
      <c r="AD279" s="324" t="s">
        <v>507</v>
      </c>
      <c r="AE279" s="13" t="s">
        <v>638</v>
      </c>
      <c r="AF279" s="324" t="s">
        <v>507</v>
      </c>
      <c r="AG279" s="324" t="s">
        <v>507</v>
      </c>
      <c r="AH279" s="327" t="s">
        <v>667</v>
      </c>
      <c r="AI279" s="327" t="s">
        <v>675</v>
      </c>
      <c r="AJ279" s="327" t="s">
        <v>678</v>
      </c>
      <c r="AK279" s="327" t="s">
        <v>678</v>
      </c>
      <c r="AL279" s="328" t="s">
        <v>681</v>
      </c>
      <c r="AM279" s="328" t="s">
        <v>662</v>
      </c>
      <c r="AN279" s="328" t="s">
        <v>662</v>
      </c>
    </row>
    <row r="280" spans="30:40" ht="28.8" x14ac:dyDescent="0.3">
      <c r="AD280" s="324" t="s">
        <v>507</v>
      </c>
      <c r="AE280" s="13" t="s">
        <v>639</v>
      </c>
      <c r="AF280" s="324" t="s">
        <v>507</v>
      </c>
      <c r="AG280" s="324" t="s">
        <v>507</v>
      </c>
      <c r="AH280" s="324" t="s">
        <v>507</v>
      </c>
      <c r="AI280" s="327" t="s">
        <v>675</v>
      </c>
      <c r="AJ280" s="327" t="s">
        <v>679</v>
      </c>
      <c r="AK280" s="327" t="s">
        <v>678</v>
      </c>
      <c r="AL280" s="328" t="s">
        <v>670</v>
      </c>
      <c r="AM280" s="328" t="s">
        <v>681</v>
      </c>
      <c r="AN280" s="328" t="s">
        <v>662</v>
      </c>
    </row>
    <row r="281" spans="30:40" ht="28.8" x14ac:dyDescent="0.3">
      <c r="AD281" s="324" t="s">
        <v>507</v>
      </c>
      <c r="AE281" s="13" t="s">
        <v>640</v>
      </c>
      <c r="AF281" s="324" t="s">
        <v>507</v>
      </c>
      <c r="AG281" s="324" t="s">
        <v>507</v>
      </c>
      <c r="AH281" s="324" t="s">
        <v>507</v>
      </c>
      <c r="AI281" s="328" t="s">
        <v>676</v>
      </c>
      <c r="AJ281" s="328" t="s">
        <v>680</v>
      </c>
      <c r="AK281" s="328" t="s">
        <v>679</v>
      </c>
      <c r="AL281" s="328" t="s">
        <v>671</v>
      </c>
      <c r="AM281" s="328" t="s">
        <v>671</v>
      </c>
      <c r="AN281" s="328" t="s">
        <v>682</v>
      </c>
    </row>
  </sheetData>
  <mergeCells count="310">
    <mergeCell ref="E50:F50"/>
    <mergeCell ref="R50:S50"/>
    <mergeCell ref="E45:F45"/>
    <mergeCell ref="R45:S45"/>
    <mergeCell ref="E30:F30"/>
    <mergeCell ref="E29:F29"/>
    <mergeCell ref="R27:W27"/>
    <mergeCell ref="E28:F28"/>
    <mergeCell ref="R28:W29"/>
    <mergeCell ref="R39:S39"/>
    <mergeCell ref="R40:W41"/>
    <mergeCell ref="AD238:AN238"/>
    <mergeCell ref="AD239:AD241"/>
    <mergeCell ref="AF239:AF241"/>
    <mergeCell ref="AG239:AN239"/>
    <mergeCell ref="AE240:AE241"/>
    <mergeCell ref="AG240:AN240"/>
    <mergeCell ref="AD260:AN260"/>
    <mergeCell ref="AD261:AD263"/>
    <mergeCell ref="AF261:AF263"/>
    <mergeCell ref="AG261:AN261"/>
    <mergeCell ref="AE262:AE263"/>
    <mergeCell ref="AG262:AN262"/>
    <mergeCell ref="AG217:AN217"/>
    <mergeCell ref="AG218:AN218"/>
    <mergeCell ref="AD217:AD219"/>
    <mergeCell ref="AE218:AE219"/>
    <mergeCell ref="AF217:AF219"/>
    <mergeCell ref="AD216:AN216"/>
    <mergeCell ref="AD215:AW215"/>
    <mergeCell ref="AE179:AH179"/>
    <mergeCell ref="AP179:AW183"/>
    <mergeCell ref="AE180:AH180"/>
    <mergeCell ref="AE181:AH181"/>
    <mergeCell ref="AE182:AH182"/>
    <mergeCell ref="AE183:AH183"/>
    <mergeCell ref="AE214:AH214"/>
    <mergeCell ref="AE204:AH204"/>
    <mergeCell ref="AD205:AW205"/>
    <mergeCell ref="AD206:AI206"/>
    <mergeCell ref="AK206:AN206"/>
    <mergeCell ref="AP207:AW211"/>
    <mergeCell ref="AE213:AH213"/>
    <mergeCell ref="AK188:AN188"/>
    <mergeCell ref="AE207:AH207"/>
    <mergeCell ref="AE194:AH194"/>
    <mergeCell ref="AD195:AW195"/>
    <mergeCell ref="AE212:AH212"/>
    <mergeCell ref="AE170:AH170"/>
    <mergeCell ref="AD177:AW177"/>
    <mergeCell ref="AD178:AI178"/>
    <mergeCell ref="AK178:AN178"/>
    <mergeCell ref="AE189:AH189"/>
    <mergeCell ref="AP189:AW193"/>
    <mergeCell ref="AE190:AH190"/>
    <mergeCell ref="AE191:AH191"/>
    <mergeCell ref="AE192:AH192"/>
    <mergeCell ref="AE193:AH193"/>
    <mergeCell ref="AE184:AH184"/>
    <mergeCell ref="AE185:AH185"/>
    <mergeCell ref="AE186:AH186"/>
    <mergeCell ref="AD187:AW187"/>
    <mergeCell ref="AD188:AI188"/>
    <mergeCell ref="AE208:AH208"/>
    <mergeCell ref="AE209:AH209"/>
    <mergeCell ref="AE210:AH210"/>
    <mergeCell ref="AE211:AH211"/>
    <mergeCell ref="AE202:AH202"/>
    <mergeCell ref="AE203:AH203"/>
    <mergeCell ref="AD196:AI196"/>
    <mergeCell ref="AK196:AN196"/>
    <mergeCell ref="AE197:AH197"/>
    <mergeCell ref="AP197:AW201"/>
    <mergeCell ref="AE198:AH198"/>
    <mergeCell ref="AE199:AH199"/>
    <mergeCell ref="AE200:AH200"/>
    <mergeCell ref="AE201:AH201"/>
    <mergeCell ref="AE163:AH163"/>
    <mergeCell ref="AP163:AW167"/>
    <mergeCell ref="AE164:AH164"/>
    <mergeCell ref="AE165:AH165"/>
    <mergeCell ref="AE166:AH166"/>
    <mergeCell ref="AE167:AH167"/>
    <mergeCell ref="AE168:AH168"/>
    <mergeCell ref="AE169:AH169"/>
    <mergeCell ref="AE157:AH157"/>
    <mergeCell ref="AE158:AH158"/>
    <mergeCell ref="AE159:AH159"/>
    <mergeCell ref="AE160:AH160"/>
    <mergeCell ref="AD161:AW161"/>
    <mergeCell ref="AD162:AI162"/>
    <mergeCell ref="AK162:AN162"/>
    <mergeCell ref="AE150:AH150"/>
    <mergeCell ref="AD151:AW151"/>
    <mergeCell ref="AD152:AI152"/>
    <mergeCell ref="AK152:AN152"/>
    <mergeCell ref="AE153:AH153"/>
    <mergeCell ref="AP153:AW157"/>
    <mergeCell ref="AE154:AH154"/>
    <mergeCell ref="AE155:AH155"/>
    <mergeCell ref="AE156:AH156"/>
    <mergeCell ref="AE141:AH141"/>
    <mergeCell ref="AE142:AH142"/>
    <mergeCell ref="AD143:AW143"/>
    <mergeCell ref="AD144:AI144"/>
    <mergeCell ref="AK144:AN144"/>
    <mergeCell ref="AE145:AH145"/>
    <mergeCell ref="AP145:AW149"/>
    <mergeCell ref="AE146:AH146"/>
    <mergeCell ref="AE147:AH147"/>
    <mergeCell ref="AE148:AH148"/>
    <mergeCell ref="AE149:AH149"/>
    <mergeCell ref="AD134:AW134"/>
    <mergeCell ref="AD135:AI135"/>
    <mergeCell ref="AK135:AN135"/>
    <mergeCell ref="AE136:AH136"/>
    <mergeCell ref="AP136:AW140"/>
    <mergeCell ref="AE137:AH137"/>
    <mergeCell ref="AE138:AH138"/>
    <mergeCell ref="AE139:AH139"/>
    <mergeCell ref="AE140:AH140"/>
    <mergeCell ref="AD126:AW126"/>
    <mergeCell ref="AD127:AI127"/>
    <mergeCell ref="AK127:AN127"/>
    <mergeCell ref="AE128:AH128"/>
    <mergeCell ref="AP128:AW132"/>
    <mergeCell ref="AE129:AH129"/>
    <mergeCell ref="AE130:AH130"/>
    <mergeCell ref="AE131:AH131"/>
    <mergeCell ref="AE132:AH132"/>
    <mergeCell ref="AD95:AW96"/>
    <mergeCell ref="AD97:AW97"/>
    <mergeCell ref="AD124:AW125"/>
    <mergeCell ref="E83:F83"/>
    <mergeCell ref="A82:B83"/>
    <mergeCell ref="A81:L81"/>
    <mergeCell ref="E82:F82"/>
    <mergeCell ref="AD112:AW113"/>
    <mergeCell ref="AD114:AW114"/>
    <mergeCell ref="E75:F75"/>
    <mergeCell ref="E76:F76"/>
    <mergeCell ref="E77:F77"/>
    <mergeCell ref="E78:F78"/>
    <mergeCell ref="E79:F79"/>
    <mergeCell ref="E80:F80"/>
    <mergeCell ref="E72:F72"/>
    <mergeCell ref="E73:F73"/>
    <mergeCell ref="E74:F74"/>
    <mergeCell ref="E63:F63"/>
    <mergeCell ref="E64:F64"/>
    <mergeCell ref="E65:F65"/>
    <mergeCell ref="E66:F66"/>
    <mergeCell ref="E67:F67"/>
    <mergeCell ref="E68:F68"/>
    <mergeCell ref="E69:F69"/>
    <mergeCell ref="E70:F70"/>
    <mergeCell ref="E71:F71"/>
    <mergeCell ref="E58:F58"/>
    <mergeCell ref="E59:F59"/>
    <mergeCell ref="E60:F60"/>
    <mergeCell ref="E61:F61"/>
    <mergeCell ref="E62:F62"/>
    <mergeCell ref="R58:S58"/>
    <mergeCell ref="R59:S59"/>
    <mergeCell ref="R60:S60"/>
    <mergeCell ref="E51:F51"/>
    <mergeCell ref="E52:F52"/>
    <mergeCell ref="E53:F53"/>
    <mergeCell ref="E54:F54"/>
    <mergeCell ref="E55:F55"/>
    <mergeCell ref="E56:F56"/>
    <mergeCell ref="E57:F57"/>
    <mergeCell ref="R51:S51"/>
    <mergeCell ref="R52:S52"/>
    <mergeCell ref="R53:S53"/>
    <mergeCell ref="R54:S54"/>
    <mergeCell ref="R55:S55"/>
    <mergeCell ref="R56:S56"/>
    <mergeCell ref="R57:S57"/>
    <mergeCell ref="Y48:AA48"/>
    <mergeCell ref="E49:F49"/>
    <mergeCell ref="R49:S49"/>
    <mergeCell ref="Y49:AA49"/>
    <mergeCell ref="R47:S47"/>
    <mergeCell ref="Y47:AA47"/>
    <mergeCell ref="E48:F48"/>
    <mergeCell ref="R48:S48"/>
    <mergeCell ref="R46:S46"/>
    <mergeCell ref="Y46:AA46"/>
    <mergeCell ref="E47:F47"/>
    <mergeCell ref="E46:F46"/>
    <mergeCell ref="Y45:AA45"/>
    <mergeCell ref="R43:AA43"/>
    <mergeCell ref="E44:F44"/>
    <mergeCell ref="R44:S44"/>
    <mergeCell ref="E43:F43"/>
    <mergeCell ref="E42:F42"/>
    <mergeCell ref="E41:F41"/>
    <mergeCell ref="E40:F40"/>
    <mergeCell ref="E39:F39"/>
    <mergeCell ref="Y39:AA39"/>
    <mergeCell ref="Y40:AA41"/>
    <mergeCell ref="Y37:AA37"/>
    <mergeCell ref="E38:F38"/>
    <mergeCell ref="R38:S38"/>
    <mergeCell ref="Y38:AA38"/>
    <mergeCell ref="R36:S36"/>
    <mergeCell ref="Y36:AA36"/>
    <mergeCell ref="E37:F37"/>
    <mergeCell ref="R37:S37"/>
    <mergeCell ref="R35:S35"/>
    <mergeCell ref="Y35:AA35"/>
    <mergeCell ref="E36:F36"/>
    <mergeCell ref="E35:F35"/>
    <mergeCell ref="Y33:AA33"/>
    <mergeCell ref="E34:F34"/>
    <mergeCell ref="R34:S34"/>
    <mergeCell ref="Y34:AA34"/>
    <mergeCell ref="R32:AA32"/>
    <mergeCell ref="E33:F33"/>
    <mergeCell ref="R33:S33"/>
    <mergeCell ref="E32:F32"/>
    <mergeCell ref="E31:F31"/>
    <mergeCell ref="Y28:Y29"/>
    <mergeCell ref="Z28:Z29"/>
    <mergeCell ref="AA13:AA29"/>
    <mergeCell ref="R26:W26"/>
    <mergeCell ref="E27:F27"/>
    <mergeCell ref="R25:S25"/>
    <mergeCell ref="U25:W25"/>
    <mergeCell ref="E26:F26"/>
    <mergeCell ref="R24:S24"/>
    <mergeCell ref="U24:W24"/>
    <mergeCell ref="E25:F25"/>
    <mergeCell ref="E16:G16"/>
    <mergeCell ref="R16:S16"/>
    <mergeCell ref="U16:W16"/>
    <mergeCell ref="R23:S23"/>
    <mergeCell ref="U23:W23"/>
    <mergeCell ref="E24:F24"/>
    <mergeCell ref="R22:S22"/>
    <mergeCell ref="U22:W22"/>
    <mergeCell ref="E23:F23"/>
    <mergeCell ref="R21:S21"/>
    <mergeCell ref="U21:W21"/>
    <mergeCell ref="E22:F22"/>
    <mergeCell ref="E21:F21"/>
    <mergeCell ref="A11:P11"/>
    <mergeCell ref="M13:N13"/>
    <mergeCell ref="M14:N14"/>
    <mergeCell ref="M15:N15"/>
    <mergeCell ref="R19:S19"/>
    <mergeCell ref="U19:W19"/>
    <mergeCell ref="R20:S20"/>
    <mergeCell ref="U20:W20"/>
    <mergeCell ref="U17:W17"/>
    <mergeCell ref="B18:D18"/>
    <mergeCell ref="E18:G18"/>
    <mergeCell ref="R18:S18"/>
    <mergeCell ref="U18:W18"/>
    <mergeCell ref="B17:D17"/>
    <mergeCell ref="E17:G17"/>
    <mergeCell ref="R17:S17"/>
    <mergeCell ref="B16:D16"/>
    <mergeCell ref="H16:I16"/>
    <mergeCell ref="H17:I17"/>
    <mergeCell ref="M16:N16"/>
    <mergeCell ref="M17:N17"/>
    <mergeCell ref="M18:N18"/>
    <mergeCell ref="J12:N12"/>
    <mergeCell ref="O12:P12"/>
    <mergeCell ref="E12:I12"/>
    <mergeCell ref="U12:W12"/>
    <mergeCell ref="B15:D15"/>
    <mergeCell ref="E15:G15"/>
    <mergeCell ref="R15:S15"/>
    <mergeCell ref="B14:D14"/>
    <mergeCell ref="E14:G14"/>
    <mergeCell ref="R14:S14"/>
    <mergeCell ref="B13:D13"/>
    <mergeCell ref="E13:G13"/>
    <mergeCell ref="R13:S13"/>
    <mergeCell ref="O13:P13"/>
    <mergeCell ref="O14:P18"/>
    <mergeCell ref="H18:I18"/>
    <mergeCell ref="R12:S12"/>
    <mergeCell ref="AF18:AP18"/>
    <mergeCell ref="AF19:AF21"/>
    <mergeCell ref="AH19:AH21"/>
    <mergeCell ref="AI19:AP19"/>
    <mergeCell ref="AG20:AG21"/>
    <mergeCell ref="AI20:AP20"/>
    <mergeCell ref="A1:A7"/>
    <mergeCell ref="B1:AA1"/>
    <mergeCell ref="F2:AA2"/>
    <mergeCell ref="C2:E2"/>
    <mergeCell ref="C3:E3"/>
    <mergeCell ref="C4:E4"/>
    <mergeCell ref="C5:E5"/>
    <mergeCell ref="C6:E6"/>
    <mergeCell ref="C7:E7"/>
    <mergeCell ref="F3:AA6"/>
    <mergeCell ref="F7:AA7"/>
    <mergeCell ref="U15:W15"/>
    <mergeCell ref="H13:I13"/>
    <mergeCell ref="H14:I14"/>
    <mergeCell ref="H15:I15"/>
    <mergeCell ref="A9:AA10"/>
    <mergeCell ref="R11:AA11"/>
    <mergeCell ref="A12:D12"/>
  </mergeCells>
  <conditionalFormatting sqref="H22">
    <cfRule type="expression" dxfId="28" priority="13">
      <formula>$H$22&gt;4*$G$22</formula>
    </cfRule>
  </conditionalFormatting>
  <conditionalFormatting sqref="H23">
    <cfRule type="expression" dxfId="27" priority="12">
      <formula>$H$23&gt;4*$G$23</formula>
    </cfRule>
  </conditionalFormatting>
  <conditionalFormatting sqref="H24:H80">
    <cfRule type="expression" dxfId="26" priority="11">
      <formula>H24&gt;4*G24</formula>
    </cfRule>
  </conditionalFormatting>
  <conditionalFormatting sqref="G22:G80">
    <cfRule type="expression" dxfId="25" priority="2">
      <formula>G22&gt;4*H22</formula>
    </cfRule>
    <cfRule type="colorScale" priority="10">
      <colorScale>
        <cfvo type="min"/>
        <cfvo type="max"/>
        <color theme="0"/>
        <color theme="5"/>
      </colorScale>
    </cfRule>
  </conditionalFormatting>
  <conditionalFormatting sqref="J22:J80">
    <cfRule type="expression" dxfId="24" priority="9">
      <formula>J22&gt;$B$15</formula>
    </cfRule>
  </conditionalFormatting>
  <conditionalFormatting sqref="AF23">
    <cfRule type="expression" dxfId="23" priority="8">
      <formula>"N/A"</formula>
    </cfRule>
  </conditionalFormatting>
  <conditionalFormatting sqref="AF35">
    <cfRule type="expression" dxfId="22" priority="7">
      <formula>N/A</formula>
    </cfRule>
  </conditionalFormatting>
  <conditionalFormatting sqref="Z13:Z25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{AE69597F-0B39-454A-8474-D19C3F1CF799}</x14:id>
        </ext>
      </extLst>
    </cfRule>
  </conditionalFormatting>
  <conditionalFormatting sqref="W13:W14 U15:W25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{7287BD40-BB26-41F6-8129-D3B368598DF1}</x14:id>
        </ext>
      </extLst>
    </cfRule>
  </conditionalFormatting>
  <conditionalFormatting sqref="Y34:AA39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{2BC61E11-4A9A-4EFA-8F24-8A194BC5DB6D}</x14:id>
        </ext>
      </extLst>
    </cfRule>
  </conditionalFormatting>
  <conditionalFormatting sqref="K22:K80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{10C5DED3-B6BB-48FE-8B70-F45815F44077}</x14:id>
        </ext>
      </extLst>
    </cfRule>
  </conditionalFormatting>
  <conditionalFormatting sqref="B22:B80">
    <cfRule type="cellIs" dxfId="21" priority="1" operator="equal">
      <formula>"E"</formula>
    </cfRule>
  </conditionalFormatting>
  <dataValidations count="6">
    <dataValidation type="list" allowBlank="1" showInputMessage="1" showErrorMessage="1" sqref="AI14:AI15 T13:T14" xr:uid="{32181A39-E7BD-4950-84DD-2EE571BA31A7}">
      <formula1>"G1, G2, G3, G4, M5, M6, F7, 0,"</formula1>
    </dataValidation>
    <dataValidation type="list" allowBlank="1" showInputMessage="1" showErrorMessage="1" sqref="V57" xr:uid="{A8C828AB-10E1-41C0-9710-C8B9117B5799}">
      <formula1>"Pa,"</formula1>
    </dataValidation>
    <dataValidation type="list" allowBlank="1" showInputMessage="1" showErrorMessage="1" sqref="S72" xr:uid="{89E0ABB1-FA41-445F-8DB8-E1AC5E451613}">
      <formula1>"cal/g°C,-"</formula1>
    </dataValidation>
    <dataValidation type="list" allowBlank="1" showInputMessage="1" showErrorMessage="1" sqref="T72" xr:uid="{094B8F71-BA9E-4E20-A619-716E3505DD43}">
      <formula1>"kg/m³"</formula1>
    </dataValidation>
    <dataValidation type="list" allowBlank="1" showInputMessage="1" showErrorMessage="1" sqref="Q72:R72" xr:uid="{D15CC20B-0FD7-4C0E-BFC1-210A52282BE9}">
      <formula1>"°C,-"</formula1>
    </dataValidation>
    <dataValidation type="list" allowBlank="1" showInputMessage="1" showErrorMessage="1" sqref="B22:B80" xr:uid="{8743DD9A-6575-4786-BF3A-AFD44A01C4B0}">
      <formula1>"E,G,"</formula1>
    </dataValidation>
  </dataValidations>
  <pageMargins left="0.511811024" right="0.511811024" top="0.78740157499999996" bottom="0.78740157499999996" header="0.31496062000000002" footer="0.31496062000000002"/>
  <pageSetup paperSize="9" scale="27" orientation="portrait" r:id="rId1"/>
  <rowBreaks count="1" manualBreakCount="1">
    <brk id="85" max="16383" man="1"/>
  </rowBreaks>
  <colBreaks count="1" manualBreakCount="1">
    <brk id="27" max="1048575" man="1"/>
  </colBreaks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E69597F-0B39-454A-8474-D19C3F1CF79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Z13:Z25</xm:sqref>
        </x14:conditionalFormatting>
        <x14:conditionalFormatting xmlns:xm="http://schemas.microsoft.com/office/excel/2006/main">
          <x14:cfRule type="dataBar" id="{7287BD40-BB26-41F6-8129-D3B368598DF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W13:W14 U15:W25</xm:sqref>
        </x14:conditionalFormatting>
        <x14:conditionalFormatting xmlns:xm="http://schemas.microsoft.com/office/excel/2006/main">
          <x14:cfRule type="dataBar" id="{2BC61E11-4A9A-4EFA-8F24-8A194BC5DB6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Y34:AA39</xm:sqref>
        </x14:conditionalFormatting>
        <x14:conditionalFormatting xmlns:xm="http://schemas.microsoft.com/office/excel/2006/main">
          <x14:cfRule type="dataBar" id="{10C5DED3-B6BB-48FE-8B70-F45815F4407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K22:K80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1E2ACA-3ABE-4AB3-AEA6-94C7B6984C90}">
  <sheetPr codeName="Planilha17">
    <tabColor rgb="FF00B050"/>
  </sheetPr>
  <dimension ref="A1:CG326"/>
  <sheetViews>
    <sheetView zoomScaleNormal="100" zoomScaleSheetLayoutView="100" workbookViewId="0">
      <selection activeCell="B23" sqref="B23:E23"/>
    </sheetView>
  </sheetViews>
  <sheetFormatPr defaultRowHeight="14.4" x14ac:dyDescent="0.3"/>
  <cols>
    <col min="1" max="1" width="9.33203125" customWidth="1"/>
    <col min="2" max="2" width="23.6640625" customWidth="1"/>
    <col min="3" max="3" width="11.33203125" customWidth="1"/>
    <col min="4" max="4" width="28.6640625" customWidth="1"/>
    <col min="5" max="5" width="25.44140625" customWidth="1"/>
    <col min="6" max="6" width="8.5546875" customWidth="1"/>
    <col min="7" max="7" width="10.88671875" customWidth="1"/>
    <col min="8" max="12" width="15.5546875" customWidth="1"/>
    <col min="13" max="14" width="8.33203125" customWidth="1"/>
    <col min="15" max="15" width="10.44140625" customWidth="1"/>
    <col min="16" max="16" width="12.109375" customWidth="1"/>
    <col min="17" max="17" width="23.109375" customWidth="1"/>
    <col min="20" max="20" width="28.109375" customWidth="1"/>
    <col min="21" max="26" width="23.21875" customWidth="1"/>
    <col min="27" max="35" width="48.109375" customWidth="1"/>
    <col min="36" max="36" width="61.5546875" customWidth="1"/>
    <col min="37" max="40" width="48.109375" customWidth="1"/>
    <col min="41" max="56" width="15.5546875" customWidth="1"/>
  </cols>
  <sheetData>
    <row r="1" spans="1:29" ht="22.2" x14ac:dyDescent="0.3">
      <c r="A1" s="801"/>
      <c r="B1" s="1034"/>
      <c r="C1" s="1037" t="e">
        <f>CONCATENATE("ESTIMATIVA DE CUSTOS     -     ",D6,)</f>
        <v>#REF!</v>
      </c>
      <c r="D1" s="1038"/>
      <c r="E1" s="803"/>
      <c r="F1" s="803"/>
      <c r="G1" s="803"/>
      <c r="H1" s="803"/>
      <c r="I1" s="803"/>
      <c r="J1" s="803"/>
      <c r="K1" s="803"/>
      <c r="L1" s="803"/>
      <c r="M1" s="803"/>
      <c r="N1" s="803"/>
      <c r="O1" s="803"/>
      <c r="P1" s="803"/>
      <c r="Q1" s="1039"/>
      <c r="R1" s="117"/>
      <c r="S1" s="117"/>
      <c r="T1" s="117"/>
      <c r="U1" s="117"/>
      <c r="V1" s="117"/>
      <c r="W1" s="117"/>
      <c r="X1" s="117"/>
      <c r="Y1" s="117"/>
    </row>
    <row r="2" spans="1:29" x14ac:dyDescent="0.3">
      <c r="A2" s="802"/>
      <c r="B2" s="713"/>
      <c r="C2" s="524" t="s">
        <v>46</v>
      </c>
      <c r="D2" s="525" t="e">
        <f>#REF!</f>
        <v>#REF!</v>
      </c>
      <c r="E2" s="1040" t="s">
        <v>718</v>
      </c>
      <c r="F2" s="1041"/>
      <c r="G2" s="1041"/>
      <c r="H2" s="1041"/>
      <c r="I2" s="1041"/>
      <c r="J2" s="1041"/>
      <c r="K2" s="1041"/>
      <c r="L2" s="1041"/>
      <c r="M2" s="1041"/>
      <c r="N2" s="1041"/>
      <c r="O2" s="1041"/>
      <c r="P2" s="1041"/>
      <c r="Q2" s="1042"/>
      <c r="R2" s="59"/>
      <c r="S2" s="59"/>
      <c r="T2" s="59"/>
      <c r="U2" s="59"/>
      <c r="V2" s="59"/>
      <c r="W2" s="59"/>
      <c r="X2" s="59"/>
      <c r="Y2" s="59"/>
    </row>
    <row r="3" spans="1:29" ht="15" customHeight="1" x14ac:dyDescent="0.3">
      <c r="A3" s="802"/>
      <c r="B3" s="713"/>
      <c r="C3" s="524" t="s">
        <v>47</v>
      </c>
      <c r="D3" s="525" t="e">
        <f>#REF!</f>
        <v>#REF!</v>
      </c>
      <c r="E3" s="1043"/>
      <c r="F3" s="1044"/>
      <c r="G3" s="1044"/>
      <c r="H3" s="1044"/>
      <c r="I3" s="1044"/>
      <c r="J3" s="1044"/>
      <c r="K3" s="1044"/>
      <c r="L3" s="1044"/>
      <c r="M3" s="1044"/>
      <c r="N3" s="1044"/>
      <c r="O3" s="1044"/>
      <c r="P3" s="1044"/>
      <c r="Q3" s="1045"/>
      <c r="R3" s="119"/>
      <c r="S3" s="119"/>
      <c r="T3" s="119"/>
      <c r="U3" s="119"/>
      <c r="V3" s="119"/>
      <c r="W3" s="119"/>
      <c r="X3" s="119"/>
      <c r="Y3" s="119"/>
    </row>
    <row r="4" spans="1:29" ht="15" customHeight="1" x14ac:dyDescent="0.3">
      <c r="A4" s="802"/>
      <c r="B4" s="713"/>
      <c r="C4" s="524" t="s">
        <v>48</v>
      </c>
      <c r="D4" s="525" t="s">
        <v>10</v>
      </c>
      <c r="E4" s="1043"/>
      <c r="F4" s="1044"/>
      <c r="G4" s="1044"/>
      <c r="H4" s="1044"/>
      <c r="I4" s="1044"/>
      <c r="J4" s="1044"/>
      <c r="K4" s="1044"/>
      <c r="L4" s="1044"/>
      <c r="M4" s="1044"/>
      <c r="N4" s="1044"/>
      <c r="O4" s="1044"/>
      <c r="P4" s="1044"/>
      <c r="Q4" s="1045"/>
      <c r="R4" s="119"/>
      <c r="S4" s="119"/>
      <c r="T4" s="119"/>
      <c r="U4" s="119"/>
      <c r="V4" s="119"/>
      <c r="W4" s="119"/>
      <c r="X4" s="119"/>
      <c r="Y4" s="119"/>
    </row>
    <row r="5" spans="1:29" ht="15" customHeight="1" x14ac:dyDescent="0.3">
      <c r="A5" s="802"/>
      <c r="B5" s="713"/>
      <c r="C5" s="524" t="s">
        <v>110</v>
      </c>
      <c r="D5" s="527">
        <f ca="1">NOW()</f>
        <v>45953.89526203704</v>
      </c>
      <c r="E5" s="1043"/>
      <c r="F5" s="1044"/>
      <c r="G5" s="1044"/>
      <c r="H5" s="1044"/>
      <c r="I5" s="1044"/>
      <c r="J5" s="1044"/>
      <c r="K5" s="1044"/>
      <c r="L5" s="1044"/>
      <c r="M5" s="1044"/>
      <c r="N5" s="1044"/>
      <c r="O5" s="1044"/>
      <c r="P5" s="1044"/>
      <c r="Q5" s="1045"/>
      <c r="R5" s="119"/>
      <c r="S5" s="119"/>
      <c r="T5" s="119"/>
      <c r="U5" s="119"/>
      <c r="V5" s="119"/>
      <c r="W5" s="119"/>
      <c r="X5" s="119"/>
      <c r="Y5" s="119"/>
    </row>
    <row r="6" spans="1:29" ht="15" customHeight="1" x14ac:dyDescent="0.3">
      <c r="A6" s="802"/>
      <c r="B6" s="713"/>
      <c r="C6" s="296" t="s">
        <v>950</v>
      </c>
      <c r="D6" s="526" t="e">
        <f>D3</f>
        <v>#REF!</v>
      </c>
      <c r="E6" s="1043"/>
      <c r="F6" s="1044"/>
      <c r="G6" s="1044"/>
      <c r="H6" s="1044"/>
      <c r="I6" s="1044"/>
      <c r="J6" s="1044"/>
      <c r="K6" s="1044"/>
      <c r="L6" s="1044"/>
      <c r="M6" s="1044"/>
      <c r="N6" s="1044"/>
      <c r="O6" s="1044"/>
      <c r="P6" s="1044"/>
      <c r="Q6" s="1045"/>
    </row>
    <row r="7" spans="1:29" ht="15" customHeight="1" x14ac:dyDescent="0.3">
      <c r="A7" s="1035"/>
      <c r="B7" s="1036"/>
      <c r="C7" s="296" t="s">
        <v>698</v>
      </c>
      <c r="D7" s="526" t="s">
        <v>7</v>
      </c>
      <c r="E7" s="1043"/>
      <c r="F7" s="1044"/>
      <c r="G7" s="1044"/>
      <c r="H7" s="1044"/>
      <c r="I7" s="1044"/>
      <c r="J7" s="1044"/>
      <c r="K7" s="1044"/>
      <c r="L7" s="1044"/>
      <c r="M7" s="1044"/>
      <c r="N7" s="1044"/>
      <c r="O7" s="1044"/>
      <c r="P7" s="1044"/>
      <c r="Q7" s="1045"/>
    </row>
    <row r="8" spans="1:29" ht="5.0999999999999996" customHeight="1" thickBot="1" x14ac:dyDescent="0.35">
      <c r="A8" s="523"/>
      <c r="B8" s="120"/>
      <c r="C8" s="120"/>
      <c r="D8" s="120"/>
      <c r="E8" s="118"/>
      <c r="F8" s="118"/>
      <c r="G8" s="118"/>
      <c r="H8" s="118"/>
      <c r="I8" s="118"/>
      <c r="J8" s="118"/>
      <c r="K8" s="118"/>
      <c r="L8" s="118"/>
      <c r="M8" s="387"/>
      <c r="N8" s="387"/>
      <c r="O8" s="387"/>
      <c r="P8" s="387"/>
      <c r="Q8" s="388"/>
    </row>
    <row r="9" spans="1:29" x14ac:dyDescent="0.3">
      <c r="A9" s="1046" t="s">
        <v>130</v>
      </c>
      <c r="B9" s="1047"/>
      <c r="C9" s="1047"/>
      <c r="D9" s="1047"/>
      <c r="E9" s="1047"/>
      <c r="F9" s="1047"/>
      <c r="G9" s="1047"/>
      <c r="H9" s="1047"/>
      <c r="I9" s="1047"/>
      <c r="J9" s="1047"/>
      <c r="K9" s="1047"/>
      <c r="L9" s="1048"/>
      <c r="M9" s="1049" t="s">
        <v>222</v>
      </c>
      <c r="N9" s="1050"/>
      <c r="O9" s="1050"/>
      <c r="P9" s="1050"/>
      <c r="Q9" s="1051"/>
    </row>
    <row r="10" spans="1:29" ht="15" customHeight="1" x14ac:dyDescent="0.3">
      <c r="A10" s="368" t="s">
        <v>131</v>
      </c>
      <c r="B10" s="1052" t="s">
        <v>132</v>
      </c>
      <c r="C10" s="1053"/>
      <c r="D10" s="1053"/>
      <c r="E10" s="361" t="s">
        <v>133</v>
      </c>
      <c r="F10" s="1047" t="s">
        <v>699</v>
      </c>
      <c r="G10" s="1047"/>
      <c r="H10" s="1047"/>
      <c r="I10" s="1054" t="s">
        <v>134</v>
      </c>
      <c r="J10" s="1054"/>
      <c r="K10" s="1054" t="s">
        <v>135</v>
      </c>
      <c r="L10" s="1055"/>
      <c r="M10" s="1056" t="s">
        <v>719</v>
      </c>
      <c r="N10" s="1057"/>
      <c r="O10" s="1058"/>
      <c r="P10" s="1065" t="s">
        <v>709</v>
      </c>
      <c r="Q10" s="1066"/>
    </row>
    <row r="11" spans="1:29" x14ac:dyDescent="0.3">
      <c r="A11" s="368" t="s">
        <v>136</v>
      </c>
      <c r="B11" s="1071" t="s">
        <v>137</v>
      </c>
      <c r="C11" s="1072"/>
      <c r="D11" s="1072"/>
      <c r="E11" s="362">
        <f ca="1">TODAY()</f>
        <v>45953</v>
      </c>
      <c r="F11" s="1073">
        <f ca="1">E11+10</f>
        <v>45963</v>
      </c>
      <c r="G11" s="1073"/>
      <c r="H11" s="1073"/>
      <c r="I11" s="1017" t="s">
        <v>320</v>
      </c>
      <c r="J11" s="1017"/>
      <c r="K11" s="1017" t="s">
        <v>7</v>
      </c>
      <c r="L11" s="1018"/>
      <c r="M11" s="1059"/>
      <c r="N11" s="1060"/>
      <c r="O11" s="1061"/>
      <c r="P11" s="1067"/>
      <c r="Q11" s="1068"/>
    </row>
    <row r="12" spans="1:29" x14ac:dyDescent="0.3">
      <c r="A12" s="369" t="s">
        <v>138</v>
      </c>
      <c r="B12" s="1071"/>
      <c r="C12" s="1072"/>
      <c r="D12" s="1072"/>
      <c r="E12" s="336"/>
      <c r="F12" s="1073"/>
      <c r="G12" s="1073"/>
      <c r="H12" s="1073"/>
      <c r="I12" s="1074"/>
      <c r="J12" s="1074"/>
      <c r="K12" s="1074"/>
      <c r="L12" s="1075"/>
      <c r="M12" s="1059"/>
      <c r="N12" s="1060"/>
      <c r="O12" s="1061"/>
      <c r="P12" s="1067"/>
      <c r="Q12" s="1068"/>
    </row>
    <row r="13" spans="1:29" x14ac:dyDescent="0.3">
      <c r="A13" s="369" t="s">
        <v>139</v>
      </c>
      <c r="B13" s="1071"/>
      <c r="C13" s="1072"/>
      <c r="D13" s="1072"/>
      <c r="E13" s="336"/>
      <c r="F13" s="1073"/>
      <c r="G13" s="1073"/>
      <c r="H13" s="1073"/>
      <c r="I13" s="1017"/>
      <c r="J13" s="1017"/>
      <c r="K13" s="1017"/>
      <c r="L13" s="1018"/>
      <c r="M13" s="1062"/>
      <c r="N13" s="1063"/>
      <c r="O13" s="1064"/>
      <c r="P13" s="1069"/>
      <c r="Q13" s="1070"/>
      <c r="U13" s="87"/>
      <c r="V13" s="87"/>
      <c r="W13" s="87"/>
      <c r="X13" s="87"/>
      <c r="Y13" s="87"/>
      <c r="Z13" s="87"/>
      <c r="AA13" s="87"/>
      <c r="AB13" s="87"/>
      <c r="AC13" s="87"/>
    </row>
    <row r="14" spans="1:29" x14ac:dyDescent="0.3">
      <c r="A14" s="373"/>
      <c r="B14" s="71"/>
      <c r="C14" s="71"/>
      <c r="D14" s="71"/>
      <c r="E14" s="71"/>
      <c r="F14" s="72"/>
      <c r="G14" s="73"/>
      <c r="H14" s="74"/>
      <c r="I14" s="74"/>
      <c r="J14" s="74"/>
      <c r="K14" s="74"/>
      <c r="L14" s="74"/>
      <c r="M14" s="389"/>
      <c r="N14" s="371"/>
      <c r="O14" s="371"/>
      <c r="P14" s="371"/>
      <c r="Q14" s="374"/>
    </row>
    <row r="15" spans="1:29" ht="15" customHeight="1" x14ac:dyDescent="0.3">
      <c r="A15" s="1076" t="s">
        <v>140</v>
      </c>
      <c r="B15" s="1032" t="s">
        <v>141</v>
      </c>
      <c r="C15" s="1032"/>
      <c r="D15" s="1032"/>
      <c r="E15" s="1032"/>
      <c r="F15" s="1032" t="s">
        <v>142</v>
      </c>
      <c r="G15" s="1033" t="s">
        <v>143</v>
      </c>
      <c r="H15" s="1033" t="s">
        <v>144</v>
      </c>
      <c r="I15" s="1033"/>
      <c r="J15" s="1033" t="s">
        <v>145</v>
      </c>
      <c r="K15" s="1033"/>
      <c r="L15" s="1019" t="s">
        <v>146</v>
      </c>
      <c r="M15" s="1020" t="s">
        <v>703</v>
      </c>
      <c r="N15" s="1021"/>
      <c r="O15" s="1021"/>
      <c r="P15" s="1021"/>
      <c r="Q15" s="1022"/>
    </row>
    <row r="16" spans="1:29" ht="15" customHeight="1" x14ac:dyDescent="0.3">
      <c r="A16" s="1076"/>
      <c r="B16" s="1032"/>
      <c r="C16" s="1032"/>
      <c r="D16" s="1032"/>
      <c r="E16" s="1032"/>
      <c r="F16" s="1032"/>
      <c r="G16" s="1033"/>
      <c r="H16" s="365" t="s">
        <v>147</v>
      </c>
      <c r="I16" s="365" t="s">
        <v>148</v>
      </c>
      <c r="J16" s="365" t="s">
        <v>147</v>
      </c>
      <c r="K16" s="365" t="s">
        <v>148</v>
      </c>
      <c r="L16" s="1019"/>
      <c r="M16" s="390" t="s">
        <v>700</v>
      </c>
      <c r="N16" s="363" t="s">
        <v>697</v>
      </c>
      <c r="O16" s="363" t="s">
        <v>696</v>
      </c>
      <c r="P16" s="363" t="s">
        <v>701</v>
      </c>
      <c r="Q16" s="375" t="s">
        <v>702</v>
      </c>
    </row>
    <row r="17" spans="1:23" x14ac:dyDescent="0.3">
      <c r="A17" s="376">
        <v>1</v>
      </c>
      <c r="B17" s="1023" t="s">
        <v>149</v>
      </c>
      <c r="C17" s="1023"/>
      <c r="D17" s="1023"/>
      <c r="E17" s="1023"/>
      <c r="F17" s="1024"/>
      <c r="G17" s="1024"/>
      <c r="H17" s="1024"/>
      <c r="I17" s="1024"/>
      <c r="J17" s="1024"/>
      <c r="K17" s="1024"/>
      <c r="L17" s="542" t="e">
        <f>SUM(L18,L52,L63,L69,L75,L82,L89,L96,L100,L104,L106,L108,L116,L118,L120)</f>
        <v>#REF!</v>
      </c>
      <c r="M17" s="1025"/>
      <c r="N17" s="1026"/>
      <c r="O17" s="1026"/>
      <c r="P17" s="1026"/>
      <c r="Q17" s="1027"/>
    </row>
    <row r="18" spans="1:23" ht="25.5" customHeight="1" x14ac:dyDescent="0.3">
      <c r="A18" s="377" t="str">
        <f ca="1">CONCATENATE($A$18,".",U18)</f>
        <v>1.1</v>
      </c>
      <c r="B18" s="1028" t="s">
        <v>947</v>
      </c>
      <c r="C18" s="1028"/>
      <c r="D18" s="1028"/>
      <c r="E18" s="1028"/>
      <c r="F18" s="367"/>
      <c r="G18" s="75"/>
      <c r="H18" s="75"/>
      <c r="I18" s="75"/>
      <c r="J18" s="385"/>
      <c r="K18" s="385"/>
      <c r="L18" s="541">
        <f>SUM(L19:L50)</f>
        <v>0</v>
      </c>
      <c r="M18" s="1029"/>
      <c r="N18" s="1030"/>
      <c r="O18" s="1030"/>
      <c r="P18" s="1030"/>
      <c r="Q18" s="1031"/>
      <c r="T18" s="410" t="e">
        <f>L18/L17</f>
        <v>#REF!</v>
      </c>
    </row>
    <row r="19" spans="1:23" ht="15" customHeight="1" x14ac:dyDescent="0.3">
      <c r="A19" s="538" t="s">
        <v>151</v>
      </c>
      <c r="B19" s="954" t="str">
        <f>"Fornecimento de "&amp;INDUSTRIAL!M2&amp;"para "&amp;FD!A17</f>
        <v>Fornecimento de ; ; para 0</v>
      </c>
      <c r="C19" s="954"/>
      <c r="D19" s="954"/>
      <c r="E19" s="954"/>
      <c r="F19" s="154" t="s">
        <v>152</v>
      </c>
      <c r="G19" s="155">
        <f>IF(FD!G17="N+1",FD!R17,FD!Q17)</f>
        <v>0</v>
      </c>
      <c r="H19" s="364">
        <f>INDUSTRIAL!AB2</f>
        <v>0</v>
      </c>
      <c r="I19" s="364">
        <v>0</v>
      </c>
      <c r="J19" s="360">
        <f>H19*G19</f>
        <v>0</v>
      </c>
      <c r="K19" s="360">
        <f>I19*G19</f>
        <v>0</v>
      </c>
      <c r="L19" s="366">
        <f t="shared" ref="L19" si="0">J19+K19</f>
        <v>0</v>
      </c>
      <c r="M19" s="392" t="b">
        <f>INDUSTRIAL!AC2</f>
        <v>0</v>
      </c>
      <c r="N19" s="360" t="b">
        <f>INDUSTRIAL!AD2</f>
        <v>0</v>
      </c>
      <c r="O19" s="360" t="b">
        <f>INDUSTRIAL!AE2</f>
        <v>0</v>
      </c>
      <c r="P19" s="360" t="b">
        <f>INDUSTRIAL!AF2</f>
        <v>0</v>
      </c>
      <c r="Q19" s="380" t="b">
        <f>INDUSTRIAL!AG2</f>
        <v>0</v>
      </c>
      <c r="R19" s="395"/>
      <c r="T19" s="410"/>
      <c r="U19" s="87"/>
      <c r="V19" s="87"/>
      <c r="W19" s="87"/>
    </row>
    <row r="20" spans="1:23" ht="15" customHeight="1" x14ac:dyDescent="0.3">
      <c r="A20" s="538" t="s">
        <v>153</v>
      </c>
      <c r="B20" s="954" t="str">
        <f>"Fornecimento de "&amp;INDUSTRIAL!M3&amp;"para "&amp;FD!A18</f>
        <v>Fornecimento de ; ; para 0</v>
      </c>
      <c r="C20" s="954"/>
      <c r="D20" s="954"/>
      <c r="E20" s="954"/>
      <c r="F20" s="154" t="s">
        <v>152</v>
      </c>
      <c r="G20" s="155">
        <f>IF(FD!G18="N+1",FD!R18,FD!Q18)</f>
        <v>0</v>
      </c>
      <c r="H20" s="364">
        <f>INDUSTRIAL!AB3</f>
        <v>0</v>
      </c>
      <c r="I20" s="364">
        <v>0</v>
      </c>
      <c r="J20" s="360">
        <f>H20*G20</f>
        <v>0</v>
      </c>
      <c r="K20" s="360">
        <f>I20*G20</f>
        <v>0</v>
      </c>
      <c r="L20" s="366">
        <f t="shared" ref="L20" si="1">J20+K20</f>
        <v>0</v>
      </c>
      <c r="M20" s="392" t="b">
        <f>INDUSTRIAL!AC3</f>
        <v>0</v>
      </c>
      <c r="N20" s="360" t="b">
        <f>INDUSTRIAL!AD3</f>
        <v>0</v>
      </c>
      <c r="O20" s="360" t="b">
        <f>INDUSTRIAL!AE3</f>
        <v>0</v>
      </c>
      <c r="P20" s="360" t="b">
        <f>INDUSTRIAL!AF3</f>
        <v>0</v>
      </c>
      <c r="Q20" s="380" t="b">
        <f>INDUSTRIAL!AG3</f>
        <v>0</v>
      </c>
      <c r="R20" s="395"/>
      <c r="T20" s="410"/>
    </row>
    <row r="21" spans="1:23" ht="15" customHeight="1" x14ac:dyDescent="0.3">
      <c r="A21" s="538" t="s">
        <v>154</v>
      </c>
      <c r="B21" s="954" t="str">
        <f>"Fornecimento de "&amp;INDUSTRIAL!M4&amp;"para "&amp;FD!A19</f>
        <v>Fornecimento de ; ; para 0</v>
      </c>
      <c r="C21" s="954"/>
      <c r="D21" s="954"/>
      <c r="E21" s="954"/>
      <c r="F21" s="154" t="s">
        <v>152</v>
      </c>
      <c r="G21" s="155">
        <f>IF(FD!G19="N+1",FD!R19,FD!Q19)</f>
        <v>0</v>
      </c>
      <c r="H21" s="364">
        <f>INDUSTRIAL!AB4</f>
        <v>0</v>
      </c>
      <c r="I21" s="364">
        <v>0</v>
      </c>
      <c r="J21" s="360">
        <f>H21*G21</f>
        <v>0</v>
      </c>
      <c r="K21" s="360">
        <f>I21*G21</f>
        <v>0</v>
      </c>
      <c r="L21" s="366">
        <f t="shared" ref="L21" si="2">J21+K21</f>
        <v>0</v>
      </c>
      <c r="M21" s="392" t="b">
        <f>INDUSTRIAL!AC4</f>
        <v>0</v>
      </c>
      <c r="N21" s="360" t="b">
        <f>INDUSTRIAL!AD4</f>
        <v>0</v>
      </c>
      <c r="O21" s="360" t="b">
        <f>INDUSTRIAL!AE4</f>
        <v>0</v>
      </c>
      <c r="P21" s="360" t="b">
        <f>INDUSTRIAL!AF4</f>
        <v>0</v>
      </c>
      <c r="Q21" s="380" t="b">
        <f>INDUSTRIAL!AG4</f>
        <v>0</v>
      </c>
      <c r="R21" s="395"/>
      <c r="T21" s="410"/>
    </row>
    <row r="22" spans="1:23" ht="15" customHeight="1" x14ac:dyDescent="0.3">
      <c r="A22" s="538" t="s">
        <v>225</v>
      </c>
      <c r="B22" s="954" t="str">
        <f>"Fornecimento de "&amp;INDUSTRIAL!M5&amp;"para "&amp;FD!A20</f>
        <v>Fornecimento de ; ; para 0</v>
      </c>
      <c r="C22" s="954"/>
      <c r="D22" s="954"/>
      <c r="E22" s="954"/>
      <c r="F22" s="154" t="s">
        <v>152</v>
      </c>
      <c r="G22" s="155">
        <f>IF(FD!G20="N+1",FD!R20,FD!Q20)</f>
        <v>0</v>
      </c>
      <c r="H22" s="364">
        <f>INDUSTRIAL!AB5</f>
        <v>0</v>
      </c>
      <c r="I22" s="364">
        <v>0</v>
      </c>
      <c r="J22" s="360">
        <f>G22*H22</f>
        <v>0</v>
      </c>
      <c r="K22" s="360">
        <f>G22*I22</f>
        <v>0</v>
      </c>
      <c r="L22" s="366">
        <f>SUM(J22:K22)</f>
        <v>0</v>
      </c>
      <c r="M22" s="392" t="b">
        <f>INDUSTRIAL!AC5</f>
        <v>0</v>
      </c>
      <c r="N22" s="360" t="b">
        <f>INDUSTRIAL!AD5</f>
        <v>0</v>
      </c>
      <c r="O22" s="360" t="b">
        <f>INDUSTRIAL!AE5</f>
        <v>0</v>
      </c>
      <c r="P22" s="360" t="b">
        <f>INDUSTRIAL!AF5</f>
        <v>0</v>
      </c>
      <c r="Q22" s="380" t="b">
        <f>INDUSTRIAL!AG5</f>
        <v>0</v>
      </c>
      <c r="R22" s="395"/>
      <c r="S22" s="6"/>
      <c r="T22" s="410"/>
    </row>
    <row r="23" spans="1:23" ht="15" customHeight="1" x14ac:dyDescent="0.3">
      <c r="A23" s="538" t="s">
        <v>226</v>
      </c>
      <c r="B23" s="954" t="str">
        <f>"Fornecimento de "&amp;INDUSTRIAL!M6&amp;"para "&amp;FD!A21</f>
        <v>Fornecimento de ; ; para 0</v>
      </c>
      <c r="C23" s="954"/>
      <c r="D23" s="954"/>
      <c r="E23" s="954"/>
      <c r="F23" s="154" t="s">
        <v>152</v>
      </c>
      <c r="G23" s="155">
        <f>IF(FD!G21="N+1",FD!R21,FD!Q21)</f>
        <v>0</v>
      </c>
      <c r="H23" s="364">
        <f>INDUSTRIAL!AB6</f>
        <v>0</v>
      </c>
      <c r="I23" s="364">
        <v>0</v>
      </c>
      <c r="J23" s="360">
        <f t="shared" ref="J23:J28" si="3">G23*H23</f>
        <v>0</v>
      </c>
      <c r="K23" s="360">
        <f t="shared" ref="K23:K28" si="4">G23*I23</f>
        <v>0</v>
      </c>
      <c r="L23" s="366">
        <f t="shared" ref="L23:L28" si="5">SUM(J23:K23)</f>
        <v>0</v>
      </c>
      <c r="M23" s="392" t="b">
        <f>INDUSTRIAL!AC6</f>
        <v>0</v>
      </c>
      <c r="N23" s="360" t="b">
        <f>INDUSTRIAL!AD6</f>
        <v>0</v>
      </c>
      <c r="O23" s="360" t="b">
        <f>INDUSTRIAL!AE6</f>
        <v>0</v>
      </c>
      <c r="P23" s="360" t="b">
        <f>INDUSTRIAL!AF6</f>
        <v>0</v>
      </c>
      <c r="Q23" s="380" t="b">
        <f>INDUSTRIAL!AG6</f>
        <v>0</v>
      </c>
      <c r="R23" s="395"/>
      <c r="S23" s="6"/>
      <c r="T23" s="410"/>
    </row>
    <row r="24" spans="1:23" ht="15" customHeight="1" x14ac:dyDescent="0.3">
      <c r="A24" s="538" t="s">
        <v>336</v>
      </c>
      <c r="B24" s="954" t="str">
        <f>"Fornecimento de "&amp;INDUSTRIAL!M7&amp;"para "&amp;FD!A22</f>
        <v>Fornecimento de ; ; para 0</v>
      </c>
      <c r="C24" s="954"/>
      <c r="D24" s="954"/>
      <c r="E24" s="954"/>
      <c r="F24" s="154" t="s">
        <v>152</v>
      </c>
      <c r="G24" s="155">
        <f>IF(FD!G22="N+1",FD!R22,FD!Q22)</f>
        <v>0</v>
      </c>
      <c r="H24" s="364">
        <f>INDUSTRIAL!AB7</f>
        <v>0</v>
      </c>
      <c r="I24" s="364">
        <v>0</v>
      </c>
      <c r="J24" s="360">
        <f t="shared" si="3"/>
        <v>0</v>
      </c>
      <c r="K24" s="360">
        <f t="shared" si="4"/>
        <v>0</v>
      </c>
      <c r="L24" s="366">
        <f t="shared" si="5"/>
        <v>0</v>
      </c>
      <c r="M24" s="392" t="b">
        <f>INDUSTRIAL!AC7</f>
        <v>0</v>
      </c>
      <c r="N24" s="360" t="b">
        <f>INDUSTRIAL!AD7</f>
        <v>0</v>
      </c>
      <c r="O24" s="360" t="b">
        <f>INDUSTRIAL!AE7</f>
        <v>0</v>
      </c>
      <c r="P24" s="360" t="b">
        <f>INDUSTRIAL!AF7</f>
        <v>0</v>
      </c>
      <c r="Q24" s="380" t="b">
        <f>INDUSTRIAL!AG7</f>
        <v>0</v>
      </c>
      <c r="R24" s="395"/>
      <c r="S24" s="6"/>
      <c r="T24" s="410"/>
    </row>
    <row r="25" spans="1:23" ht="15" customHeight="1" x14ac:dyDescent="0.3">
      <c r="A25" s="538" t="s">
        <v>340</v>
      </c>
      <c r="B25" s="954" t="str">
        <f>"Fornecimento de "&amp;INDUSTRIAL!M8&amp;"para "&amp;FD!A23</f>
        <v>Fornecimento de ; ; para 0</v>
      </c>
      <c r="C25" s="954"/>
      <c r="D25" s="954"/>
      <c r="E25" s="954"/>
      <c r="F25" s="154" t="s">
        <v>152</v>
      </c>
      <c r="G25" s="155">
        <f>IF(FD!G23="N+1",FD!R23,FD!Q23)</f>
        <v>0</v>
      </c>
      <c r="H25" s="364">
        <f>INDUSTRIAL!AB8</f>
        <v>0</v>
      </c>
      <c r="I25" s="364">
        <v>0</v>
      </c>
      <c r="J25" s="360">
        <f t="shared" si="3"/>
        <v>0</v>
      </c>
      <c r="K25" s="360">
        <f t="shared" si="4"/>
        <v>0</v>
      </c>
      <c r="L25" s="366">
        <f t="shared" si="5"/>
        <v>0</v>
      </c>
      <c r="M25" s="392" t="b">
        <f>INDUSTRIAL!AC8</f>
        <v>0</v>
      </c>
      <c r="N25" s="360" t="b">
        <f>INDUSTRIAL!AD8</f>
        <v>0</v>
      </c>
      <c r="O25" s="360" t="b">
        <f>INDUSTRIAL!AE8</f>
        <v>0</v>
      </c>
      <c r="P25" s="360" t="b">
        <f>INDUSTRIAL!AF8</f>
        <v>0</v>
      </c>
      <c r="Q25" s="380" t="b">
        <f>INDUSTRIAL!AG8</f>
        <v>0</v>
      </c>
      <c r="R25" s="395"/>
      <c r="S25" s="6"/>
      <c r="T25" s="410"/>
    </row>
    <row r="26" spans="1:23" ht="15" customHeight="1" x14ac:dyDescent="0.3">
      <c r="A26" s="538" t="s">
        <v>944</v>
      </c>
      <c r="B26" s="954" t="str">
        <f>"Fornecimento de "&amp;INDUSTRIAL!M9&amp;"para "&amp;FD!A24</f>
        <v>Fornecimento de ; ; para 0</v>
      </c>
      <c r="C26" s="954"/>
      <c r="D26" s="954"/>
      <c r="E26" s="954"/>
      <c r="F26" s="154" t="s">
        <v>152</v>
      </c>
      <c r="G26" s="155">
        <f>IF(FD!G24="N+1",FD!R24,FD!Q24)</f>
        <v>0</v>
      </c>
      <c r="H26" s="364">
        <f>INDUSTRIAL!AB9</f>
        <v>0</v>
      </c>
      <c r="I26" s="364">
        <v>0</v>
      </c>
      <c r="J26" s="360">
        <f t="shared" si="3"/>
        <v>0</v>
      </c>
      <c r="K26" s="360">
        <f t="shared" si="4"/>
        <v>0</v>
      </c>
      <c r="L26" s="366">
        <f t="shared" si="5"/>
        <v>0</v>
      </c>
      <c r="M26" s="392" t="b">
        <f>INDUSTRIAL!AC9</f>
        <v>0</v>
      </c>
      <c r="N26" s="360" t="b">
        <f>INDUSTRIAL!AD9</f>
        <v>0</v>
      </c>
      <c r="O26" s="360" t="b">
        <f>INDUSTRIAL!AE9</f>
        <v>0</v>
      </c>
      <c r="P26" s="360" t="b">
        <f>INDUSTRIAL!AF9</f>
        <v>0</v>
      </c>
      <c r="Q26" s="380" t="b">
        <f>INDUSTRIAL!AG9</f>
        <v>0</v>
      </c>
      <c r="R26" s="395"/>
      <c r="S26" s="6"/>
      <c r="T26" s="410"/>
    </row>
    <row r="27" spans="1:23" ht="15" customHeight="1" x14ac:dyDescent="0.3">
      <c r="A27" s="538" t="s">
        <v>945</v>
      </c>
      <c r="B27" s="954" t="str">
        <f>"Fornecimento de "&amp;INDUSTRIAL!M10&amp;"para "&amp;FD!A25</f>
        <v>Fornecimento de ; ; para 0</v>
      </c>
      <c r="C27" s="954"/>
      <c r="D27" s="954"/>
      <c r="E27" s="954"/>
      <c r="F27" s="154" t="s">
        <v>152</v>
      </c>
      <c r="G27" s="155">
        <f>IF(FD!G25="N+1",FD!R25,FD!Q25)</f>
        <v>0</v>
      </c>
      <c r="H27" s="364">
        <f>INDUSTRIAL!AB10</f>
        <v>0</v>
      </c>
      <c r="I27" s="364">
        <v>0</v>
      </c>
      <c r="J27" s="360">
        <f t="shared" si="3"/>
        <v>0</v>
      </c>
      <c r="K27" s="360">
        <f t="shared" si="4"/>
        <v>0</v>
      </c>
      <c r="L27" s="366">
        <f t="shared" si="5"/>
        <v>0</v>
      </c>
      <c r="M27" s="392" t="b">
        <f>INDUSTRIAL!AC10</f>
        <v>0</v>
      </c>
      <c r="N27" s="360" t="b">
        <f>INDUSTRIAL!AD10</f>
        <v>0</v>
      </c>
      <c r="O27" s="360" t="b">
        <f>INDUSTRIAL!AE10</f>
        <v>0</v>
      </c>
      <c r="P27" s="360" t="b">
        <f>INDUSTRIAL!AF10</f>
        <v>0</v>
      </c>
      <c r="Q27" s="380" t="b">
        <f>INDUSTRIAL!AG10</f>
        <v>0</v>
      </c>
      <c r="R27" s="395"/>
      <c r="S27" s="6"/>
      <c r="T27" s="410"/>
    </row>
    <row r="28" spans="1:23" ht="15" customHeight="1" x14ac:dyDescent="0.3">
      <c r="A28" s="538" t="s">
        <v>946</v>
      </c>
      <c r="B28" s="954" t="str">
        <f>"Fornecimento de "&amp;INDUSTRIAL!M11&amp;"para "&amp;FD!A26</f>
        <v>Fornecimento de ; ; para 0</v>
      </c>
      <c r="C28" s="954"/>
      <c r="D28" s="954"/>
      <c r="E28" s="954"/>
      <c r="F28" s="154" t="s">
        <v>152</v>
      </c>
      <c r="G28" s="155">
        <f>IF(FD!G26="N+1",FD!R26,FD!Q26)</f>
        <v>0</v>
      </c>
      <c r="H28" s="364">
        <f>INDUSTRIAL!AB11</f>
        <v>0</v>
      </c>
      <c r="I28" s="364">
        <v>0</v>
      </c>
      <c r="J28" s="360">
        <f t="shared" si="3"/>
        <v>0</v>
      </c>
      <c r="K28" s="360">
        <f t="shared" si="4"/>
        <v>0</v>
      </c>
      <c r="L28" s="366">
        <f t="shared" si="5"/>
        <v>0</v>
      </c>
      <c r="M28" s="392" t="b">
        <f>INDUSTRIAL!AC11</f>
        <v>0</v>
      </c>
      <c r="N28" s="360" t="b">
        <f>INDUSTRIAL!AD11</f>
        <v>0</v>
      </c>
      <c r="O28" s="360" t="b">
        <f>INDUSTRIAL!AE11</f>
        <v>0</v>
      </c>
      <c r="P28" s="360" t="b">
        <f>INDUSTRIAL!AF11</f>
        <v>0</v>
      </c>
      <c r="Q28" s="380" t="b">
        <f>INDUSTRIAL!AG11</f>
        <v>0</v>
      </c>
      <c r="R28" s="395"/>
      <c r="S28" s="6"/>
      <c r="T28" s="410"/>
    </row>
    <row r="29" spans="1:23" ht="15" customHeight="1" x14ac:dyDescent="0.3">
      <c r="A29" s="538" t="s">
        <v>1354</v>
      </c>
      <c r="B29" s="954" t="str">
        <f>"Fornecimento de "&amp;INDUSTRIAL!M12&amp;"para "&amp;FD!A27</f>
        <v>Fornecimento de ; ; para 0</v>
      </c>
      <c r="C29" s="954"/>
      <c r="D29" s="954"/>
      <c r="E29" s="954"/>
      <c r="F29" s="154" t="s">
        <v>152</v>
      </c>
      <c r="G29" s="155">
        <f>IF(FD!G27="N+1",FD!R27,FD!Q27)</f>
        <v>0</v>
      </c>
      <c r="H29" s="364">
        <f>INDUSTRIAL!AB12</f>
        <v>0</v>
      </c>
      <c r="I29" s="364">
        <v>0</v>
      </c>
      <c r="J29" s="360">
        <f t="shared" ref="J29:J51" si="6">G29*H29</f>
        <v>0</v>
      </c>
      <c r="K29" s="360">
        <f t="shared" ref="K29:K51" si="7">G29*I29</f>
        <v>0</v>
      </c>
      <c r="L29" s="366">
        <f t="shared" ref="L29:L51" si="8">SUM(J29:K29)</f>
        <v>0</v>
      </c>
      <c r="M29" s="392" t="b">
        <f>INDUSTRIAL!AC12</f>
        <v>0</v>
      </c>
      <c r="N29" s="360" t="b">
        <f>INDUSTRIAL!AD12</f>
        <v>0</v>
      </c>
      <c r="O29" s="360" t="b">
        <f>INDUSTRIAL!AE12</f>
        <v>0</v>
      </c>
      <c r="P29" s="360" t="b">
        <f>INDUSTRIAL!AF12</f>
        <v>0</v>
      </c>
      <c r="Q29" s="380" t="b">
        <f>INDUSTRIAL!AG12</f>
        <v>0</v>
      </c>
      <c r="R29" s="395"/>
      <c r="S29" s="6"/>
      <c r="T29" s="410"/>
    </row>
    <row r="30" spans="1:23" ht="15" customHeight="1" x14ac:dyDescent="0.3">
      <c r="A30" s="538" t="s">
        <v>1355</v>
      </c>
      <c r="B30" s="954" t="str">
        <f>"Fornecimento de "&amp;INDUSTRIAL!M13&amp;"para "&amp;FD!A28</f>
        <v>Fornecimento de ; ; para 0</v>
      </c>
      <c r="C30" s="954"/>
      <c r="D30" s="954"/>
      <c r="E30" s="954"/>
      <c r="F30" s="154" t="s">
        <v>152</v>
      </c>
      <c r="G30" s="155">
        <f>IF(FD!G28="N+1",FD!R28,FD!Q28)</f>
        <v>0</v>
      </c>
      <c r="H30" s="364">
        <f>INDUSTRIAL!AB13</f>
        <v>0</v>
      </c>
      <c r="I30" s="364">
        <v>0</v>
      </c>
      <c r="J30" s="360">
        <f t="shared" si="6"/>
        <v>0</v>
      </c>
      <c r="K30" s="360">
        <f t="shared" si="7"/>
        <v>0</v>
      </c>
      <c r="L30" s="366">
        <f t="shared" si="8"/>
        <v>0</v>
      </c>
      <c r="M30" s="392" t="b">
        <f>INDUSTRIAL!AC13</f>
        <v>0</v>
      </c>
      <c r="N30" s="360" t="b">
        <f>INDUSTRIAL!AD13</f>
        <v>0</v>
      </c>
      <c r="O30" s="360" t="b">
        <f>INDUSTRIAL!AE13</f>
        <v>0</v>
      </c>
      <c r="P30" s="360" t="b">
        <f>INDUSTRIAL!AF13</f>
        <v>0</v>
      </c>
      <c r="Q30" s="380" t="b">
        <f>INDUSTRIAL!AG13</f>
        <v>0</v>
      </c>
      <c r="R30" s="395"/>
      <c r="S30" s="6"/>
      <c r="T30" s="410"/>
    </row>
    <row r="31" spans="1:23" ht="15" customHeight="1" x14ac:dyDescent="0.3">
      <c r="A31" s="538" t="s">
        <v>1356</v>
      </c>
      <c r="B31" s="954" t="str">
        <f>"Fornecimento de "&amp;INDUSTRIAL!M14&amp;"para "&amp;FD!A29</f>
        <v>Fornecimento de ; ; para 0</v>
      </c>
      <c r="C31" s="954"/>
      <c r="D31" s="954"/>
      <c r="E31" s="954"/>
      <c r="F31" s="154" t="s">
        <v>152</v>
      </c>
      <c r="G31" s="155">
        <f>IF(FD!G29="N+1",FD!R29,FD!Q29)</f>
        <v>0</v>
      </c>
      <c r="H31" s="364">
        <f>INDUSTRIAL!AB14</f>
        <v>0</v>
      </c>
      <c r="I31" s="364">
        <v>0</v>
      </c>
      <c r="J31" s="360">
        <f t="shared" si="6"/>
        <v>0</v>
      </c>
      <c r="K31" s="360">
        <f t="shared" si="7"/>
        <v>0</v>
      </c>
      <c r="L31" s="366">
        <f t="shared" si="8"/>
        <v>0</v>
      </c>
      <c r="M31" s="392" t="b">
        <f>INDUSTRIAL!AC14</f>
        <v>0</v>
      </c>
      <c r="N31" s="360" t="b">
        <f>INDUSTRIAL!AD14</f>
        <v>0</v>
      </c>
      <c r="O31" s="360" t="b">
        <f>INDUSTRIAL!AE14</f>
        <v>0</v>
      </c>
      <c r="P31" s="360" t="b">
        <f>INDUSTRIAL!AF14</f>
        <v>0</v>
      </c>
      <c r="Q31" s="380" t="b">
        <f>INDUSTRIAL!AG14</f>
        <v>0</v>
      </c>
      <c r="R31" s="395"/>
      <c r="S31" s="6"/>
      <c r="T31" s="410"/>
    </row>
    <row r="32" spans="1:23" ht="15" customHeight="1" x14ac:dyDescent="0.3">
      <c r="A32" s="538" t="s">
        <v>1357</v>
      </c>
      <c r="B32" s="954" t="str">
        <f>"Fornecimento de "&amp;INDUSTRIAL!M15&amp;"para "&amp;FD!A30</f>
        <v>Fornecimento de ; ; para 0</v>
      </c>
      <c r="C32" s="954"/>
      <c r="D32" s="954"/>
      <c r="E32" s="954"/>
      <c r="F32" s="154" t="s">
        <v>152</v>
      </c>
      <c r="G32" s="155">
        <f>IF(FD!G30="N+1",FD!R30,FD!Q30)</f>
        <v>0</v>
      </c>
      <c r="H32" s="364">
        <f>INDUSTRIAL!AB15</f>
        <v>0</v>
      </c>
      <c r="I32" s="364">
        <v>0</v>
      </c>
      <c r="J32" s="360">
        <f t="shared" si="6"/>
        <v>0</v>
      </c>
      <c r="K32" s="360">
        <f t="shared" si="7"/>
        <v>0</v>
      </c>
      <c r="L32" s="366">
        <f t="shared" si="8"/>
        <v>0</v>
      </c>
      <c r="M32" s="392" t="b">
        <f>INDUSTRIAL!AC15</f>
        <v>0</v>
      </c>
      <c r="N32" s="360" t="b">
        <f>INDUSTRIAL!AD15</f>
        <v>0</v>
      </c>
      <c r="O32" s="360" t="b">
        <f>INDUSTRIAL!AE15</f>
        <v>0</v>
      </c>
      <c r="P32" s="360" t="b">
        <f>INDUSTRIAL!AF15</f>
        <v>0</v>
      </c>
      <c r="Q32" s="380" t="b">
        <f>INDUSTRIAL!AG15</f>
        <v>0</v>
      </c>
      <c r="R32" s="395"/>
      <c r="S32" s="6"/>
      <c r="T32" s="410"/>
    </row>
    <row r="33" spans="1:20" ht="15" customHeight="1" x14ac:dyDescent="0.3">
      <c r="A33" s="538" t="s">
        <v>1358</v>
      </c>
      <c r="B33" s="954" t="str">
        <f>"Fornecimento de "&amp;INDUSTRIAL!M16&amp;"para "&amp;FD!A31</f>
        <v>Fornecimento de ; ; para 0</v>
      </c>
      <c r="C33" s="954"/>
      <c r="D33" s="954"/>
      <c r="E33" s="954"/>
      <c r="F33" s="154" t="s">
        <v>152</v>
      </c>
      <c r="G33" s="155">
        <f>IF(FD!G31="N+1",FD!R31,FD!Q31)</f>
        <v>0</v>
      </c>
      <c r="H33" s="364">
        <f>INDUSTRIAL!AB16</f>
        <v>0</v>
      </c>
      <c r="I33" s="364">
        <v>0</v>
      </c>
      <c r="J33" s="360">
        <f t="shared" si="6"/>
        <v>0</v>
      </c>
      <c r="K33" s="360">
        <f t="shared" si="7"/>
        <v>0</v>
      </c>
      <c r="L33" s="366">
        <f t="shared" si="8"/>
        <v>0</v>
      </c>
      <c r="M33" s="392" t="b">
        <f>INDUSTRIAL!AC16</f>
        <v>0</v>
      </c>
      <c r="N33" s="360" t="b">
        <f>INDUSTRIAL!AD16</f>
        <v>0</v>
      </c>
      <c r="O33" s="360" t="b">
        <f>INDUSTRIAL!AE16</f>
        <v>0</v>
      </c>
      <c r="P33" s="360" t="b">
        <f>INDUSTRIAL!AF16</f>
        <v>0</v>
      </c>
      <c r="Q33" s="380" t="b">
        <f>INDUSTRIAL!AG16</f>
        <v>0</v>
      </c>
      <c r="R33" s="395"/>
      <c r="S33" s="6"/>
      <c r="T33" s="410"/>
    </row>
    <row r="34" spans="1:20" ht="15" customHeight="1" x14ac:dyDescent="0.3">
      <c r="A34" s="538" t="s">
        <v>1359</v>
      </c>
      <c r="B34" s="954" t="str">
        <f>"Fornecimento de "&amp;INDUSTRIAL!M17&amp;"para "&amp;FD!A32</f>
        <v>Fornecimento de ; ; para 0</v>
      </c>
      <c r="C34" s="954"/>
      <c r="D34" s="954"/>
      <c r="E34" s="954"/>
      <c r="F34" s="154" t="s">
        <v>152</v>
      </c>
      <c r="G34" s="155">
        <f>IF(FD!G32="N+1",FD!R32,FD!Q32)</f>
        <v>0</v>
      </c>
      <c r="H34" s="364">
        <f>INDUSTRIAL!AB17</f>
        <v>0</v>
      </c>
      <c r="I34" s="364">
        <v>0</v>
      </c>
      <c r="J34" s="360">
        <f t="shared" si="6"/>
        <v>0</v>
      </c>
      <c r="K34" s="360">
        <f t="shared" si="7"/>
        <v>0</v>
      </c>
      <c r="L34" s="366">
        <f t="shared" si="8"/>
        <v>0</v>
      </c>
      <c r="M34" s="392" t="b">
        <f>INDUSTRIAL!AC17</f>
        <v>0</v>
      </c>
      <c r="N34" s="360" t="b">
        <f>INDUSTRIAL!AD17</f>
        <v>0</v>
      </c>
      <c r="O34" s="360" t="b">
        <f>INDUSTRIAL!AE17</f>
        <v>0</v>
      </c>
      <c r="P34" s="360" t="b">
        <f>INDUSTRIAL!AF17</f>
        <v>0</v>
      </c>
      <c r="Q34" s="380" t="b">
        <f>INDUSTRIAL!AG17</f>
        <v>0</v>
      </c>
      <c r="R34" s="395"/>
      <c r="S34" s="6"/>
      <c r="T34" s="410"/>
    </row>
    <row r="35" spans="1:20" ht="15" customHeight="1" x14ac:dyDescent="0.3">
      <c r="A35" s="538" t="s">
        <v>1360</v>
      </c>
      <c r="B35" s="954" t="str">
        <f>"Fornecimento de "&amp;INDUSTRIAL!M18&amp;"para "&amp;FD!A33</f>
        <v>Fornecimento de ; ; para 0</v>
      </c>
      <c r="C35" s="954"/>
      <c r="D35" s="954"/>
      <c r="E35" s="954"/>
      <c r="F35" s="154" t="s">
        <v>152</v>
      </c>
      <c r="G35" s="155">
        <f>IF(FD!G33="N+1",FD!R33,FD!Q33)</f>
        <v>0</v>
      </c>
      <c r="H35" s="364">
        <f>INDUSTRIAL!AB18</f>
        <v>0</v>
      </c>
      <c r="I35" s="364">
        <v>0</v>
      </c>
      <c r="J35" s="360">
        <f t="shared" si="6"/>
        <v>0</v>
      </c>
      <c r="K35" s="360">
        <f t="shared" si="7"/>
        <v>0</v>
      </c>
      <c r="L35" s="366">
        <f t="shared" si="8"/>
        <v>0</v>
      </c>
      <c r="M35" s="392" t="b">
        <f>INDUSTRIAL!AC18</f>
        <v>0</v>
      </c>
      <c r="N35" s="360" t="b">
        <f>INDUSTRIAL!AD18</f>
        <v>0</v>
      </c>
      <c r="O35" s="360" t="b">
        <f>INDUSTRIAL!AE18</f>
        <v>0</v>
      </c>
      <c r="P35" s="360" t="b">
        <f>INDUSTRIAL!AF18</f>
        <v>0</v>
      </c>
      <c r="Q35" s="380" t="b">
        <f>INDUSTRIAL!AG18</f>
        <v>0</v>
      </c>
      <c r="R35" s="395"/>
      <c r="S35" s="6"/>
      <c r="T35" s="410"/>
    </row>
    <row r="36" spans="1:20" ht="15" customHeight="1" x14ac:dyDescent="0.3">
      <c r="A36" s="538" t="s">
        <v>1361</v>
      </c>
      <c r="B36" s="954" t="str">
        <f>"Fornecimento de "&amp;INDUSTRIAL!M19&amp;"para "&amp;FD!A34</f>
        <v>Fornecimento de ; ; para 0</v>
      </c>
      <c r="C36" s="954"/>
      <c r="D36" s="954"/>
      <c r="E36" s="954"/>
      <c r="F36" s="154" t="s">
        <v>152</v>
      </c>
      <c r="G36" s="155">
        <f>IF(FD!G34="N+1",FD!R34,FD!Q34)</f>
        <v>0</v>
      </c>
      <c r="H36" s="364">
        <f>INDUSTRIAL!AB19</f>
        <v>0</v>
      </c>
      <c r="I36" s="364">
        <v>0</v>
      </c>
      <c r="J36" s="360">
        <f t="shared" si="6"/>
        <v>0</v>
      </c>
      <c r="K36" s="360">
        <f t="shared" si="7"/>
        <v>0</v>
      </c>
      <c r="L36" s="366">
        <f t="shared" si="8"/>
        <v>0</v>
      </c>
      <c r="M36" s="392" t="b">
        <f>INDUSTRIAL!AC19</f>
        <v>0</v>
      </c>
      <c r="N36" s="360" t="b">
        <f>INDUSTRIAL!AD19</f>
        <v>0</v>
      </c>
      <c r="O36" s="360" t="b">
        <f>INDUSTRIAL!AE19</f>
        <v>0</v>
      </c>
      <c r="P36" s="360" t="b">
        <f>INDUSTRIAL!AF19</f>
        <v>0</v>
      </c>
      <c r="Q36" s="380" t="b">
        <f>INDUSTRIAL!AG19</f>
        <v>0</v>
      </c>
      <c r="R36" s="395"/>
      <c r="S36" s="6"/>
      <c r="T36" s="410"/>
    </row>
    <row r="37" spans="1:20" ht="15" customHeight="1" x14ac:dyDescent="0.3">
      <c r="A37" s="538" t="s">
        <v>1362</v>
      </c>
      <c r="B37" s="954" t="str">
        <f>"Fornecimento de "&amp;INDUSTRIAL!M20&amp;"para "&amp;FD!A35</f>
        <v>Fornecimento de ; ; para 0</v>
      </c>
      <c r="C37" s="954"/>
      <c r="D37" s="954"/>
      <c r="E37" s="954"/>
      <c r="F37" s="154" t="s">
        <v>152</v>
      </c>
      <c r="G37" s="155">
        <f>IF(FD!G35="N+1",FD!R35,FD!Q35)</f>
        <v>0</v>
      </c>
      <c r="H37" s="364">
        <f>INDUSTRIAL!AB20</f>
        <v>0</v>
      </c>
      <c r="I37" s="364">
        <v>0</v>
      </c>
      <c r="J37" s="360">
        <f t="shared" si="6"/>
        <v>0</v>
      </c>
      <c r="K37" s="360">
        <f t="shared" si="7"/>
        <v>0</v>
      </c>
      <c r="L37" s="366">
        <f t="shared" si="8"/>
        <v>0</v>
      </c>
      <c r="M37" s="392" t="b">
        <f>INDUSTRIAL!AC20</f>
        <v>0</v>
      </c>
      <c r="N37" s="360" t="b">
        <f>INDUSTRIAL!AD20</f>
        <v>0</v>
      </c>
      <c r="O37" s="360" t="b">
        <f>INDUSTRIAL!AE20</f>
        <v>0</v>
      </c>
      <c r="P37" s="360" t="b">
        <f>INDUSTRIAL!AF20</f>
        <v>0</v>
      </c>
      <c r="Q37" s="380" t="b">
        <f>INDUSTRIAL!AG20</f>
        <v>0</v>
      </c>
      <c r="R37" s="395"/>
      <c r="S37" s="6"/>
      <c r="T37" s="410"/>
    </row>
    <row r="38" spans="1:20" ht="15" customHeight="1" x14ac:dyDescent="0.3">
      <c r="A38" s="538" t="s">
        <v>1363</v>
      </c>
      <c r="B38" s="954" t="str">
        <f>"Fornecimento de "&amp;INDUSTRIAL!M21&amp;"para "&amp;FD!A36</f>
        <v>Fornecimento de ; ; para 0</v>
      </c>
      <c r="C38" s="954"/>
      <c r="D38" s="954"/>
      <c r="E38" s="954"/>
      <c r="F38" s="154" t="s">
        <v>152</v>
      </c>
      <c r="G38" s="155">
        <f>IF(FD!G36="N+1",FD!R36,FD!Q36)</f>
        <v>0</v>
      </c>
      <c r="H38" s="364">
        <f>INDUSTRIAL!AB21</f>
        <v>0</v>
      </c>
      <c r="I38" s="364">
        <v>0</v>
      </c>
      <c r="J38" s="360">
        <f t="shared" si="6"/>
        <v>0</v>
      </c>
      <c r="K38" s="360">
        <f t="shared" si="7"/>
        <v>0</v>
      </c>
      <c r="L38" s="366">
        <f t="shared" si="8"/>
        <v>0</v>
      </c>
      <c r="M38" s="392" t="b">
        <f>INDUSTRIAL!AC21</f>
        <v>0</v>
      </c>
      <c r="N38" s="360" t="b">
        <f>INDUSTRIAL!AD21</f>
        <v>0</v>
      </c>
      <c r="O38" s="360" t="b">
        <f>INDUSTRIAL!AE21</f>
        <v>0</v>
      </c>
      <c r="P38" s="360" t="b">
        <f>INDUSTRIAL!AF21</f>
        <v>0</v>
      </c>
      <c r="Q38" s="380" t="b">
        <f>INDUSTRIAL!AG21</f>
        <v>0</v>
      </c>
      <c r="R38" s="395"/>
      <c r="S38" s="6"/>
      <c r="T38" s="410"/>
    </row>
    <row r="39" spans="1:20" ht="15" customHeight="1" x14ac:dyDescent="0.3">
      <c r="A39" s="538" t="s">
        <v>1364</v>
      </c>
      <c r="B39" s="954" t="str">
        <f>"Fornecimento de "&amp;INDUSTRIAL!M22&amp;"para "&amp;FD!A37</f>
        <v>Fornecimento de ; ; para 0</v>
      </c>
      <c r="C39" s="954"/>
      <c r="D39" s="954"/>
      <c r="E39" s="954"/>
      <c r="F39" s="154" t="s">
        <v>152</v>
      </c>
      <c r="G39" s="155">
        <f>IF(FD!G37="N+1",FD!R37,FD!Q37)</f>
        <v>0</v>
      </c>
      <c r="H39" s="364">
        <f>INDUSTRIAL!AB22</f>
        <v>0</v>
      </c>
      <c r="I39" s="364">
        <v>0</v>
      </c>
      <c r="J39" s="360">
        <f t="shared" si="6"/>
        <v>0</v>
      </c>
      <c r="K39" s="360">
        <f t="shared" si="7"/>
        <v>0</v>
      </c>
      <c r="L39" s="366">
        <f t="shared" si="8"/>
        <v>0</v>
      </c>
      <c r="M39" s="392" t="b">
        <f>INDUSTRIAL!AC22</f>
        <v>0</v>
      </c>
      <c r="N39" s="360" t="b">
        <f>INDUSTRIAL!AD22</f>
        <v>0</v>
      </c>
      <c r="O39" s="360" t="b">
        <f>INDUSTRIAL!AE22</f>
        <v>0</v>
      </c>
      <c r="P39" s="360" t="b">
        <f>INDUSTRIAL!AF22</f>
        <v>0</v>
      </c>
      <c r="Q39" s="380" t="b">
        <f>INDUSTRIAL!AG22</f>
        <v>0</v>
      </c>
      <c r="R39" s="395"/>
      <c r="S39" s="6"/>
      <c r="T39" s="410"/>
    </row>
    <row r="40" spans="1:20" ht="15" customHeight="1" x14ac:dyDescent="0.3">
      <c r="A40" s="538" t="s">
        <v>1365</v>
      </c>
      <c r="B40" s="954" t="str">
        <f>"Fornecimento de "&amp;INDUSTRIAL!M23&amp;"para "&amp;FD!A38</f>
        <v>Fornecimento de ; ; para 0</v>
      </c>
      <c r="C40" s="954"/>
      <c r="D40" s="954"/>
      <c r="E40" s="954"/>
      <c r="F40" s="154" t="s">
        <v>152</v>
      </c>
      <c r="G40" s="155">
        <f>IF(FD!G38="N+1",FD!R38,FD!Q38)</f>
        <v>0</v>
      </c>
      <c r="H40" s="364">
        <f>INDUSTRIAL!AB23</f>
        <v>0</v>
      </c>
      <c r="I40" s="364">
        <v>0</v>
      </c>
      <c r="J40" s="360">
        <f t="shared" si="6"/>
        <v>0</v>
      </c>
      <c r="K40" s="360">
        <f t="shared" si="7"/>
        <v>0</v>
      </c>
      <c r="L40" s="366">
        <f t="shared" si="8"/>
        <v>0</v>
      </c>
      <c r="M40" s="392" t="b">
        <f>INDUSTRIAL!AC23</f>
        <v>0</v>
      </c>
      <c r="N40" s="360" t="b">
        <f>INDUSTRIAL!AD23</f>
        <v>0</v>
      </c>
      <c r="O40" s="360" t="b">
        <f>INDUSTRIAL!AE23</f>
        <v>0</v>
      </c>
      <c r="P40" s="360" t="b">
        <f>INDUSTRIAL!AF23</f>
        <v>0</v>
      </c>
      <c r="Q40" s="380" t="b">
        <f>INDUSTRIAL!AG23</f>
        <v>0</v>
      </c>
      <c r="R40" s="395"/>
      <c r="S40" s="6"/>
      <c r="T40" s="410"/>
    </row>
    <row r="41" spans="1:20" ht="15" customHeight="1" x14ac:dyDescent="0.3">
      <c r="A41" s="538" t="s">
        <v>1366</v>
      </c>
      <c r="B41" s="954" t="str">
        <f>"Fornecimento de "&amp;INDUSTRIAL!M24&amp;"para "&amp;FD!A39</f>
        <v>Fornecimento de ; ; para 0</v>
      </c>
      <c r="C41" s="954"/>
      <c r="D41" s="954"/>
      <c r="E41" s="954"/>
      <c r="F41" s="154" t="s">
        <v>152</v>
      </c>
      <c r="G41" s="155">
        <f>IF(FD!G39="N+1",FD!R39,FD!Q39)</f>
        <v>0</v>
      </c>
      <c r="H41" s="364">
        <f>INDUSTRIAL!AB24</f>
        <v>0</v>
      </c>
      <c r="I41" s="364">
        <v>0</v>
      </c>
      <c r="J41" s="360">
        <f t="shared" si="6"/>
        <v>0</v>
      </c>
      <c r="K41" s="360">
        <f t="shared" si="7"/>
        <v>0</v>
      </c>
      <c r="L41" s="366">
        <f t="shared" si="8"/>
        <v>0</v>
      </c>
      <c r="M41" s="392" t="b">
        <f>INDUSTRIAL!AC24</f>
        <v>0</v>
      </c>
      <c r="N41" s="360" t="b">
        <f>INDUSTRIAL!AD24</f>
        <v>0</v>
      </c>
      <c r="O41" s="360" t="b">
        <f>INDUSTRIAL!AE24</f>
        <v>0</v>
      </c>
      <c r="P41" s="360" t="b">
        <f>INDUSTRIAL!AF24</f>
        <v>0</v>
      </c>
      <c r="Q41" s="380" t="b">
        <f>INDUSTRIAL!AG24</f>
        <v>0</v>
      </c>
      <c r="R41" s="395"/>
      <c r="S41" s="6"/>
      <c r="T41" s="410"/>
    </row>
    <row r="42" spans="1:20" ht="15" customHeight="1" x14ac:dyDescent="0.3">
      <c r="A42" s="538" t="s">
        <v>1367</v>
      </c>
      <c r="B42" s="954" t="str">
        <f>"Fornecimento de "&amp;INDUSTRIAL!M25&amp;"para "&amp;FD!A40</f>
        <v>Fornecimento de ; ; para 0</v>
      </c>
      <c r="C42" s="954"/>
      <c r="D42" s="954"/>
      <c r="E42" s="954"/>
      <c r="F42" s="154" t="s">
        <v>152</v>
      </c>
      <c r="G42" s="155">
        <f>IF(FD!G40="N+1",FD!R40,FD!Q40)</f>
        <v>0</v>
      </c>
      <c r="H42" s="364">
        <f>INDUSTRIAL!AB25</f>
        <v>0</v>
      </c>
      <c r="I42" s="364">
        <v>0</v>
      </c>
      <c r="J42" s="360">
        <f t="shared" si="6"/>
        <v>0</v>
      </c>
      <c r="K42" s="360">
        <f t="shared" si="7"/>
        <v>0</v>
      </c>
      <c r="L42" s="366">
        <f t="shared" si="8"/>
        <v>0</v>
      </c>
      <c r="M42" s="392" t="b">
        <f>INDUSTRIAL!AC25</f>
        <v>0</v>
      </c>
      <c r="N42" s="360" t="b">
        <f>INDUSTRIAL!AD25</f>
        <v>0</v>
      </c>
      <c r="O42" s="360" t="b">
        <f>INDUSTRIAL!AE25</f>
        <v>0</v>
      </c>
      <c r="P42" s="360" t="b">
        <f>INDUSTRIAL!AF25</f>
        <v>0</v>
      </c>
      <c r="Q42" s="380" t="b">
        <f>INDUSTRIAL!AG25</f>
        <v>0</v>
      </c>
      <c r="R42" s="395"/>
      <c r="S42" s="6"/>
      <c r="T42" s="410"/>
    </row>
    <row r="43" spans="1:20" ht="15" customHeight="1" x14ac:dyDescent="0.3">
      <c r="A43" s="538" t="s">
        <v>1368</v>
      </c>
      <c r="B43" s="954" t="str">
        <f>"Fornecimento de "&amp;INDUSTRIAL!M26&amp;"para "&amp;FD!A41</f>
        <v>Fornecimento de ; ; para 0</v>
      </c>
      <c r="C43" s="954"/>
      <c r="D43" s="954"/>
      <c r="E43" s="954"/>
      <c r="F43" s="154" t="s">
        <v>152</v>
      </c>
      <c r="G43" s="155">
        <f>IF(FD!G41="N+1",FD!R41,FD!Q41)</f>
        <v>0</v>
      </c>
      <c r="H43" s="364">
        <f>INDUSTRIAL!AB26</f>
        <v>0</v>
      </c>
      <c r="I43" s="364">
        <v>0</v>
      </c>
      <c r="J43" s="360">
        <f t="shared" si="6"/>
        <v>0</v>
      </c>
      <c r="K43" s="360">
        <f t="shared" si="7"/>
        <v>0</v>
      </c>
      <c r="L43" s="366">
        <f t="shared" si="8"/>
        <v>0</v>
      </c>
      <c r="M43" s="392" t="b">
        <f>INDUSTRIAL!AC26</f>
        <v>0</v>
      </c>
      <c r="N43" s="360" t="b">
        <f>INDUSTRIAL!AD26</f>
        <v>0</v>
      </c>
      <c r="O43" s="360" t="b">
        <f>INDUSTRIAL!AE26</f>
        <v>0</v>
      </c>
      <c r="P43" s="360" t="b">
        <f>INDUSTRIAL!AF26</f>
        <v>0</v>
      </c>
      <c r="Q43" s="380" t="b">
        <f>INDUSTRIAL!AG26</f>
        <v>0</v>
      </c>
      <c r="R43" s="395"/>
      <c r="S43" s="6"/>
      <c r="T43" s="410"/>
    </row>
    <row r="44" spans="1:20" ht="15" customHeight="1" x14ac:dyDescent="0.3">
      <c r="A44" s="538" t="s">
        <v>1369</v>
      </c>
      <c r="B44" s="954" t="str">
        <f>"Fornecimento de "&amp;INDUSTRIAL!M27&amp;"para "&amp;FD!A42</f>
        <v>Fornecimento de ; ; para 0</v>
      </c>
      <c r="C44" s="954"/>
      <c r="D44" s="954"/>
      <c r="E44" s="954"/>
      <c r="F44" s="154" t="s">
        <v>152</v>
      </c>
      <c r="G44" s="155">
        <f>IF(FD!G42="N+1",FD!R42,FD!Q42)</f>
        <v>0</v>
      </c>
      <c r="H44" s="364">
        <f>INDUSTRIAL!AB27</f>
        <v>0</v>
      </c>
      <c r="I44" s="364">
        <v>0</v>
      </c>
      <c r="J44" s="360">
        <f t="shared" si="6"/>
        <v>0</v>
      </c>
      <c r="K44" s="360">
        <f t="shared" si="7"/>
        <v>0</v>
      </c>
      <c r="L44" s="366">
        <f t="shared" si="8"/>
        <v>0</v>
      </c>
      <c r="M44" s="392" t="b">
        <f>INDUSTRIAL!AC27</f>
        <v>0</v>
      </c>
      <c r="N44" s="360" t="b">
        <f>INDUSTRIAL!AD27</f>
        <v>0</v>
      </c>
      <c r="O44" s="360" t="b">
        <f>INDUSTRIAL!AE27</f>
        <v>0</v>
      </c>
      <c r="P44" s="360" t="b">
        <f>INDUSTRIAL!AF27</f>
        <v>0</v>
      </c>
      <c r="Q44" s="380" t="b">
        <f>INDUSTRIAL!AG27</f>
        <v>0</v>
      </c>
      <c r="R44" s="395"/>
      <c r="S44" s="6"/>
      <c r="T44" s="410"/>
    </row>
    <row r="45" spans="1:20" ht="15" customHeight="1" x14ac:dyDescent="0.3">
      <c r="A45" s="538" t="s">
        <v>1370</v>
      </c>
      <c r="B45" s="954" t="str">
        <f>"Fornecimento de "&amp;INDUSTRIAL!M28&amp;"para "&amp;FD!A43</f>
        <v>Fornecimento de ; ; para 0</v>
      </c>
      <c r="C45" s="954"/>
      <c r="D45" s="954"/>
      <c r="E45" s="954"/>
      <c r="F45" s="154" t="s">
        <v>152</v>
      </c>
      <c r="G45" s="155">
        <f>IF(FD!G43="N+1",FD!R43,FD!Q43)</f>
        <v>0</v>
      </c>
      <c r="H45" s="364">
        <f>INDUSTRIAL!AB28</f>
        <v>0</v>
      </c>
      <c r="I45" s="364">
        <v>0</v>
      </c>
      <c r="J45" s="360">
        <f t="shared" si="6"/>
        <v>0</v>
      </c>
      <c r="K45" s="360">
        <f t="shared" si="7"/>
        <v>0</v>
      </c>
      <c r="L45" s="366">
        <f t="shared" si="8"/>
        <v>0</v>
      </c>
      <c r="M45" s="392" t="b">
        <f>INDUSTRIAL!AC28</f>
        <v>0</v>
      </c>
      <c r="N45" s="360" t="b">
        <f>INDUSTRIAL!AD28</f>
        <v>0</v>
      </c>
      <c r="O45" s="360" t="b">
        <f>INDUSTRIAL!AE28</f>
        <v>0</v>
      </c>
      <c r="P45" s="360" t="b">
        <f>INDUSTRIAL!AF28</f>
        <v>0</v>
      </c>
      <c r="Q45" s="380" t="b">
        <f>INDUSTRIAL!AG28</f>
        <v>0</v>
      </c>
      <c r="R45" s="395"/>
      <c r="S45" s="6"/>
      <c r="T45" s="410"/>
    </row>
    <row r="46" spans="1:20" ht="15" customHeight="1" x14ac:dyDescent="0.3">
      <c r="A46" s="538" t="s">
        <v>1371</v>
      </c>
      <c r="B46" s="954" t="str">
        <f>"Fornecimento de "&amp;INDUSTRIAL!M29&amp;"para "&amp;FD!A44</f>
        <v>Fornecimento de ; ; para 0</v>
      </c>
      <c r="C46" s="954"/>
      <c r="D46" s="954"/>
      <c r="E46" s="954"/>
      <c r="F46" s="154" t="s">
        <v>152</v>
      </c>
      <c r="G46" s="155">
        <f>IF(FD!G44="N+1",FD!R44,FD!Q44)</f>
        <v>0</v>
      </c>
      <c r="H46" s="364">
        <f>INDUSTRIAL!AB29</f>
        <v>0</v>
      </c>
      <c r="I46" s="364">
        <v>0</v>
      </c>
      <c r="J46" s="360">
        <f t="shared" si="6"/>
        <v>0</v>
      </c>
      <c r="K46" s="360">
        <f t="shared" si="7"/>
        <v>0</v>
      </c>
      <c r="L46" s="366">
        <f t="shared" si="8"/>
        <v>0</v>
      </c>
      <c r="M46" s="392" t="b">
        <f>INDUSTRIAL!AC29</f>
        <v>0</v>
      </c>
      <c r="N46" s="360" t="b">
        <f>INDUSTRIAL!AD29</f>
        <v>0</v>
      </c>
      <c r="O46" s="360" t="b">
        <f>INDUSTRIAL!AE29</f>
        <v>0</v>
      </c>
      <c r="P46" s="360" t="b">
        <f>INDUSTRIAL!AF29</f>
        <v>0</v>
      </c>
      <c r="Q46" s="380" t="b">
        <f>INDUSTRIAL!AG29</f>
        <v>0</v>
      </c>
      <c r="R46" s="395"/>
      <c r="S46" s="6"/>
      <c r="T46" s="410"/>
    </row>
    <row r="47" spans="1:20" ht="15" customHeight="1" x14ac:dyDescent="0.3">
      <c r="A47" s="538" t="s">
        <v>1372</v>
      </c>
      <c r="B47" s="954" t="str">
        <f>"Fornecimento de "&amp;INDUSTRIAL!M30&amp;"para "&amp;FD!A45</f>
        <v>Fornecimento de ; ; para 0</v>
      </c>
      <c r="C47" s="954"/>
      <c r="D47" s="954"/>
      <c r="E47" s="954"/>
      <c r="F47" s="154" t="s">
        <v>152</v>
      </c>
      <c r="G47" s="155">
        <f>IF(FD!G45="N+1",FD!R45,FD!Q45)</f>
        <v>0</v>
      </c>
      <c r="H47" s="364">
        <f>INDUSTRIAL!AB30</f>
        <v>0</v>
      </c>
      <c r="I47" s="364">
        <v>0</v>
      </c>
      <c r="J47" s="360">
        <f t="shared" si="6"/>
        <v>0</v>
      </c>
      <c r="K47" s="360">
        <f t="shared" si="7"/>
        <v>0</v>
      </c>
      <c r="L47" s="366">
        <f t="shared" si="8"/>
        <v>0</v>
      </c>
      <c r="M47" s="392" t="b">
        <f>INDUSTRIAL!AC30</f>
        <v>0</v>
      </c>
      <c r="N47" s="360" t="b">
        <f>INDUSTRIAL!AD30</f>
        <v>0</v>
      </c>
      <c r="O47" s="360" t="b">
        <f>INDUSTRIAL!AE30</f>
        <v>0</v>
      </c>
      <c r="P47" s="360" t="b">
        <f>INDUSTRIAL!AF30</f>
        <v>0</v>
      </c>
      <c r="Q47" s="380" t="b">
        <f>INDUSTRIAL!AG30</f>
        <v>0</v>
      </c>
      <c r="R47" s="395"/>
      <c r="S47" s="6"/>
      <c r="T47" s="410"/>
    </row>
    <row r="48" spans="1:20" ht="15" customHeight="1" x14ac:dyDescent="0.3">
      <c r="A48" s="538" t="s">
        <v>1373</v>
      </c>
      <c r="B48" s="954" t="str">
        <f>"Fornecimento de "&amp;INDUSTRIAL!M31&amp;"para "&amp;FD!A46</f>
        <v>Fornecimento de ; ; para 0</v>
      </c>
      <c r="C48" s="954"/>
      <c r="D48" s="954"/>
      <c r="E48" s="954"/>
      <c r="F48" s="154" t="s">
        <v>152</v>
      </c>
      <c r="G48" s="155">
        <f>IF(FD!G46="N+1",FD!R46,FD!Q46)</f>
        <v>0</v>
      </c>
      <c r="H48" s="364">
        <f>INDUSTRIAL!AB31</f>
        <v>0</v>
      </c>
      <c r="I48" s="364">
        <v>0</v>
      </c>
      <c r="J48" s="360">
        <f t="shared" si="6"/>
        <v>0</v>
      </c>
      <c r="K48" s="360">
        <f t="shared" si="7"/>
        <v>0</v>
      </c>
      <c r="L48" s="366">
        <f t="shared" si="8"/>
        <v>0</v>
      </c>
      <c r="M48" s="392" t="b">
        <f>INDUSTRIAL!AC31</f>
        <v>0</v>
      </c>
      <c r="N48" s="360" t="b">
        <f>INDUSTRIAL!AD31</f>
        <v>0</v>
      </c>
      <c r="O48" s="360" t="b">
        <f>INDUSTRIAL!AE31</f>
        <v>0</v>
      </c>
      <c r="P48" s="360" t="b">
        <f>INDUSTRIAL!AF31</f>
        <v>0</v>
      </c>
      <c r="Q48" s="380" t="b">
        <f>INDUSTRIAL!AG31</f>
        <v>0</v>
      </c>
      <c r="R48" s="395"/>
      <c r="S48" s="6"/>
      <c r="T48" s="410"/>
    </row>
    <row r="49" spans="1:20" ht="15" customHeight="1" x14ac:dyDescent="0.3">
      <c r="A49" s="538" t="s">
        <v>1374</v>
      </c>
      <c r="B49" s="954" t="str">
        <f>"Fornecimento de "&amp;INDUSTRIAL!M32&amp;"para "&amp;FD!A47</f>
        <v>Fornecimento de ; ; para 0</v>
      </c>
      <c r="C49" s="954"/>
      <c r="D49" s="954"/>
      <c r="E49" s="954"/>
      <c r="F49" s="154" t="s">
        <v>152</v>
      </c>
      <c r="G49" s="155">
        <f>IF(FD!G47="N+1",FD!R47,FD!Q47)</f>
        <v>0</v>
      </c>
      <c r="H49" s="364">
        <f>INDUSTRIAL!AB32</f>
        <v>0</v>
      </c>
      <c r="I49" s="364">
        <v>0</v>
      </c>
      <c r="J49" s="360">
        <f t="shared" si="6"/>
        <v>0</v>
      </c>
      <c r="K49" s="360">
        <f t="shared" si="7"/>
        <v>0</v>
      </c>
      <c r="L49" s="366">
        <f t="shared" si="8"/>
        <v>0</v>
      </c>
      <c r="M49" s="392" t="b">
        <f>INDUSTRIAL!AC32</f>
        <v>0</v>
      </c>
      <c r="N49" s="360" t="b">
        <f>INDUSTRIAL!AD32</f>
        <v>0</v>
      </c>
      <c r="O49" s="360" t="b">
        <f>INDUSTRIAL!AE32</f>
        <v>0</v>
      </c>
      <c r="P49" s="360" t="b">
        <f>INDUSTRIAL!AF32</f>
        <v>0</v>
      </c>
      <c r="Q49" s="380" t="b">
        <f>INDUSTRIAL!AG32</f>
        <v>0</v>
      </c>
      <c r="R49" s="395"/>
      <c r="S49" s="6"/>
      <c r="T49" s="410"/>
    </row>
    <row r="50" spans="1:20" ht="15" customHeight="1" x14ac:dyDescent="0.3">
      <c r="A50" s="538" t="s">
        <v>1375</v>
      </c>
      <c r="B50" s="954" t="str">
        <f>"Fornecimento de "&amp;INDUSTRIAL!M33&amp;"para "&amp;FD!A48</f>
        <v>Fornecimento de ; ; para 0</v>
      </c>
      <c r="C50" s="954"/>
      <c r="D50" s="954"/>
      <c r="E50" s="954"/>
      <c r="F50" s="154" t="s">
        <v>152</v>
      </c>
      <c r="G50" s="155">
        <f>IF(FD!G48="N+1",FD!R48,FD!Q48)</f>
        <v>0</v>
      </c>
      <c r="H50" s="364">
        <f>INDUSTRIAL!AB33</f>
        <v>0</v>
      </c>
      <c r="I50" s="364">
        <v>0</v>
      </c>
      <c r="J50" s="360">
        <f t="shared" si="6"/>
        <v>0</v>
      </c>
      <c r="K50" s="360">
        <f t="shared" si="7"/>
        <v>0</v>
      </c>
      <c r="L50" s="366">
        <f t="shared" si="8"/>
        <v>0</v>
      </c>
      <c r="M50" s="392" t="b">
        <f>INDUSTRIAL!AC33</f>
        <v>0</v>
      </c>
      <c r="N50" s="360" t="b">
        <f>INDUSTRIAL!AD33</f>
        <v>0</v>
      </c>
      <c r="O50" s="360" t="b">
        <f>INDUSTRIAL!AE33</f>
        <v>0</v>
      </c>
      <c r="P50" s="360" t="b">
        <f>INDUSTRIAL!AF33</f>
        <v>0</v>
      </c>
      <c r="Q50" s="380" t="b">
        <f>INDUSTRIAL!AG33</f>
        <v>0</v>
      </c>
      <c r="R50" s="395"/>
      <c r="S50" s="6"/>
      <c r="T50" s="410"/>
    </row>
    <row r="51" spans="1:20" ht="15" customHeight="1" x14ac:dyDescent="0.3">
      <c r="A51" s="538" t="s">
        <v>1376</v>
      </c>
      <c r="B51" s="954" t="str">
        <f>"Fornecimento de "&amp;INDUSTRIAL!M34&amp;"para "&amp;FD!A49</f>
        <v>Fornecimento de ; ; para Sala de Baterias:</v>
      </c>
      <c r="C51" s="954"/>
      <c r="D51" s="954"/>
      <c r="E51" s="954"/>
      <c r="F51" s="154" t="s">
        <v>152</v>
      </c>
      <c r="G51" s="155">
        <f>IF(FD!G49="N+1",FD!R49,FD!Q49)</f>
        <v>0</v>
      </c>
      <c r="H51" s="364">
        <f>INDUSTRIAL!AB34</f>
        <v>0</v>
      </c>
      <c r="I51" s="364">
        <v>0</v>
      </c>
      <c r="J51" s="360">
        <f t="shared" si="6"/>
        <v>0</v>
      </c>
      <c r="K51" s="360">
        <f t="shared" si="7"/>
        <v>0</v>
      </c>
      <c r="L51" s="366">
        <f t="shared" si="8"/>
        <v>0</v>
      </c>
      <c r="M51" s="392" t="b">
        <f>INDUSTRIAL!AC34</f>
        <v>0</v>
      </c>
      <c r="N51" s="360" t="b">
        <f>INDUSTRIAL!AD34</f>
        <v>0</v>
      </c>
      <c r="O51" s="360" t="b">
        <f>INDUSTRIAL!AE34</f>
        <v>0</v>
      </c>
      <c r="P51" s="360" t="b">
        <f>INDUSTRIAL!AF34</f>
        <v>0</v>
      </c>
      <c r="Q51" s="380" t="b">
        <f>INDUSTRIAL!AG34</f>
        <v>0</v>
      </c>
      <c r="R51" s="395"/>
      <c r="S51" s="6"/>
      <c r="T51" s="410"/>
    </row>
    <row r="52" spans="1:20" ht="15" customHeight="1" x14ac:dyDescent="0.3">
      <c r="A52" s="377" t="s">
        <v>93</v>
      </c>
      <c r="B52" s="1028" t="s">
        <v>948</v>
      </c>
      <c r="C52" s="1028"/>
      <c r="D52" s="1028"/>
      <c r="E52" s="1028"/>
      <c r="F52" s="367"/>
      <c r="G52" s="75"/>
      <c r="H52" s="75"/>
      <c r="I52" s="75"/>
      <c r="J52" s="385"/>
      <c r="K52" s="385"/>
      <c r="L52" s="541" t="e">
        <f>SUM(L53:L62)</f>
        <v>#REF!</v>
      </c>
      <c r="M52" s="1029"/>
      <c r="N52" s="1030"/>
      <c r="O52" s="1030"/>
      <c r="P52" s="1030"/>
      <c r="Q52" s="1031"/>
      <c r="R52" s="395"/>
      <c r="S52" s="6"/>
      <c r="T52" s="410"/>
    </row>
    <row r="53" spans="1:20" ht="15" customHeight="1" x14ac:dyDescent="0.3">
      <c r="A53" s="538" t="s">
        <v>290</v>
      </c>
      <c r="B53" s="954" t="e">
        <f>"Fornecimento de "&amp;#REF!</f>
        <v>#REF!</v>
      </c>
      <c r="C53" s="954"/>
      <c r="D53" s="954"/>
      <c r="E53" s="954"/>
      <c r="F53" s="154" t="s">
        <v>152</v>
      </c>
      <c r="G53" s="155">
        <v>0</v>
      </c>
      <c r="H53" s="364" t="e">
        <f>#REF!</f>
        <v>#REF!</v>
      </c>
      <c r="I53" s="364" t="e">
        <f>#REF!</f>
        <v>#REF!</v>
      </c>
      <c r="J53" s="360" t="e">
        <f>H53*G53</f>
        <v>#REF!</v>
      </c>
      <c r="K53" s="360" t="e">
        <f>I53*G53</f>
        <v>#REF!</v>
      </c>
      <c r="L53" s="366" t="e">
        <f t="shared" ref="L53:L55" si="9">J53+K53</f>
        <v>#REF!</v>
      </c>
      <c r="M53" s="392"/>
      <c r="N53" s="360"/>
      <c r="O53" s="360"/>
      <c r="P53" s="360" t="s">
        <v>716</v>
      </c>
      <c r="Q53" s="380" t="s">
        <v>717</v>
      </c>
      <c r="R53" s="395"/>
      <c r="S53" s="6"/>
      <c r="T53" s="410"/>
    </row>
    <row r="54" spans="1:20" ht="15" customHeight="1" x14ac:dyDescent="0.3">
      <c r="A54" s="538" t="s">
        <v>292</v>
      </c>
      <c r="B54" s="954" t="e">
        <f>"Fornecimento de "&amp;#REF!</f>
        <v>#REF!</v>
      </c>
      <c r="C54" s="954"/>
      <c r="D54" s="954"/>
      <c r="E54" s="954"/>
      <c r="F54" s="154" t="s">
        <v>152</v>
      </c>
      <c r="G54" s="155">
        <v>0</v>
      </c>
      <c r="H54" s="364" t="e">
        <f>#REF!</f>
        <v>#REF!</v>
      </c>
      <c r="I54" s="364" t="e">
        <f>#REF!</f>
        <v>#REF!</v>
      </c>
      <c r="J54" s="360" t="e">
        <f>H54*G54</f>
        <v>#REF!</v>
      </c>
      <c r="K54" s="360" t="e">
        <f>I54*G54</f>
        <v>#REF!</v>
      </c>
      <c r="L54" s="366" t="e">
        <f t="shared" si="9"/>
        <v>#REF!</v>
      </c>
      <c r="M54" s="392"/>
      <c r="N54" s="360"/>
      <c r="O54" s="360"/>
      <c r="P54" s="360"/>
      <c r="Q54" s="380"/>
      <c r="R54" s="395"/>
      <c r="S54" s="6"/>
      <c r="T54" s="410"/>
    </row>
    <row r="55" spans="1:20" ht="15" customHeight="1" x14ac:dyDescent="0.3">
      <c r="A55" s="538" t="s">
        <v>345</v>
      </c>
      <c r="B55" s="954" t="e">
        <f>"Fornecimento de "&amp;#REF!</f>
        <v>#REF!</v>
      </c>
      <c r="C55" s="954"/>
      <c r="D55" s="954"/>
      <c r="E55" s="954"/>
      <c r="F55" s="154" t="s">
        <v>152</v>
      </c>
      <c r="G55" s="155">
        <v>0</v>
      </c>
      <c r="H55" s="364" t="e">
        <f>#REF!</f>
        <v>#REF!</v>
      </c>
      <c r="I55" s="364" t="e">
        <f>#REF!</f>
        <v>#REF!</v>
      </c>
      <c r="J55" s="360" t="e">
        <f>H55*G55</f>
        <v>#REF!</v>
      </c>
      <c r="K55" s="360" t="e">
        <f>I55*G55</f>
        <v>#REF!</v>
      </c>
      <c r="L55" s="366" t="e">
        <f t="shared" si="9"/>
        <v>#REF!</v>
      </c>
      <c r="M55" s="392"/>
      <c r="N55" s="360"/>
      <c r="O55" s="360"/>
      <c r="P55" s="360"/>
      <c r="Q55" s="380"/>
      <c r="R55" s="395"/>
      <c r="S55" s="6"/>
      <c r="T55" s="410"/>
    </row>
    <row r="56" spans="1:20" ht="15" customHeight="1" x14ac:dyDescent="0.3">
      <c r="A56" s="538" t="s">
        <v>347</v>
      </c>
      <c r="B56" s="954" t="e">
        <f>"Fornecimento de "&amp;#REF!</f>
        <v>#REF!</v>
      </c>
      <c r="C56" s="954"/>
      <c r="D56" s="954"/>
      <c r="E56" s="954"/>
      <c r="F56" s="154" t="s">
        <v>152</v>
      </c>
      <c r="G56" s="155">
        <v>0</v>
      </c>
      <c r="H56" s="364" t="e">
        <f>#REF!</f>
        <v>#REF!</v>
      </c>
      <c r="I56" s="364" t="e">
        <f>#REF!</f>
        <v>#REF!</v>
      </c>
      <c r="J56" s="360" t="e">
        <f>G56*H56</f>
        <v>#REF!</v>
      </c>
      <c r="K56" s="360" t="e">
        <f>G56*I56</f>
        <v>#REF!</v>
      </c>
      <c r="L56" s="366" t="e">
        <f>SUM(J56:K56)</f>
        <v>#REF!</v>
      </c>
      <c r="M56" s="392"/>
      <c r="N56" s="360"/>
      <c r="O56" s="360"/>
      <c r="P56" s="360"/>
      <c r="Q56" s="380"/>
      <c r="R56" s="395"/>
      <c r="S56" s="6"/>
      <c r="T56" s="410"/>
    </row>
    <row r="57" spans="1:20" ht="15" customHeight="1" x14ac:dyDescent="0.3">
      <c r="A57" s="538" t="s">
        <v>349</v>
      </c>
      <c r="B57" s="954" t="e">
        <f>"Fornecimento de "&amp;#REF!</f>
        <v>#REF!</v>
      </c>
      <c r="C57" s="954"/>
      <c r="D57" s="954"/>
      <c r="E57" s="954"/>
      <c r="F57" s="154" t="s">
        <v>152</v>
      </c>
      <c r="G57" s="155">
        <v>0</v>
      </c>
      <c r="H57" s="364" t="e">
        <f>#REF!</f>
        <v>#REF!</v>
      </c>
      <c r="I57" s="364" t="e">
        <f>#REF!</f>
        <v>#REF!</v>
      </c>
      <c r="J57" s="360" t="e">
        <f t="shared" ref="J57:J62" si="10">G57*H57</f>
        <v>#REF!</v>
      </c>
      <c r="K57" s="360" t="e">
        <f t="shared" ref="K57:K62" si="11">G57*I57</f>
        <v>#REF!</v>
      </c>
      <c r="L57" s="366" t="e">
        <f t="shared" ref="L57:L62" si="12">SUM(J57:K57)</f>
        <v>#REF!</v>
      </c>
      <c r="M57" s="392"/>
      <c r="N57" s="360"/>
      <c r="O57" s="360"/>
      <c r="P57" s="360"/>
      <c r="Q57" s="380"/>
      <c r="R57" s="395"/>
      <c r="S57" s="6"/>
      <c r="T57" s="410"/>
    </row>
    <row r="58" spans="1:20" ht="15" customHeight="1" x14ac:dyDescent="0.3">
      <c r="A58" s="538" t="s">
        <v>351</v>
      </c>
      <c r="B58" s="954" t="e">
        <f>"Fornecimento de "&amp;#REF!</f>
        <v>#REF!</v>
      </c>
      <c r="C58" s="954"/>
      <c r="D58" s="954"/>
      <c r="E58" s="954"/>
      <c r="F58" s="154" t="s">
        <v>152</v>
      </c>
      <c r="G58" s="155">
        <v>0</v>
      </c>
      <c r="H58" s="364" t="e">
        <f>#REF!</f>
        <v>#REF!</v>
      </c>
      <c r="I58" s="364" t="e">
        <f>#REF!</f>
        <v>#REF!</v>
      </c>
      <c r="J58" s="360" t="e">
        <f t="shared" si="10"/>
        <v>#REF!</v>
      </c>
      <c r="K58" s="360" t="e">
        <f t="shared" si="11"/>
        <v>#REF!</v>
      </c>
      <c r="L58" s="366" t="e">
        <f t="shared" si="12"/>
        <v>#REF!</v>
      </c>
      <c r="M58" s="392"/>
      <c r="N58" s="360"/>
      <c r="O58" s="360"/>
      <c r="P58" s="360"/>
      <c r="Q58" s="380"/>
      <c r="R58" s="395"/>
      <c r="S58" s="6"/>
      <c r="T58" s="410"/>
    </row>
    <row r="59" spans="1:20" ht="15" customHeight="1" x14ac:dyDescent="0.3">
      <c r="A59" s="538" t="s">
        <v>353</v>
      </c>
      <c r="B59" s="954" t="e">
        <f>"Fornecimento de "&amp;#REF!</f>
        <v>#REF!</v>
      </c>
      <c r="C59" s="954"/>
      <c r="D59" s="954"/>
      <c r="E59" s="954"/>
      <c r="F59" s="154" t="s">
        <v>152</v>
      </c>
      <c r="G59" s="155">
        <v>0</v>
      </c>
      <c r="H59" s="364" t="e">
        <f>#REF!</f>
        <v>#REF!</v>
      </c>
      <c r="I59" s="364" t="e">
        <f>#REF!</f>
        <v>#REF!</v>
      </c>
      <c r="J59" s="360" t="e">
        <f t="shared" si="10"/>
        <v>#REF!</v>
      </c>
      <c r="K59" s="360" t="e">
        <f t="shared" si="11"/>
        <v>#REF!</v>
      </c>
      <c r="L59" s="366" t="e">
        <f t="shared" si="12"/>
        <v>#REF!</v>
      </c>
      <c r="M59" s="392"/>
      <c r="N59" s="360"/>
      <c r="O59" s="360"/>
      <c r="P59" s="360"/>
      <c r="Q59" s="380"/>
      <c r="R59" s="395"/>
      <c r="S59" s="6"/>
      <c r="T59" s="410"/>
    </row>
    <row r="60" spans="1:20" ht="15" customHeight="1" x14ac:dyDescent="0.3">
      <c r="A60" s="538" t="s">
        <v>355</v>
      </c>
      <c r="B60" s="954" t="e">
        <f>"Fornecimento de "&amp;#REF!</f>
        <v>#REF!</v>
      </c>
      <c r="C60" s="954"/>
      <c r="D60" s="954"/>
      <c r="E60" s="954"/>
      <c r="F60" s="154" t="s">
        <v>152</v>
      </c>
      <c r="G60" s="155">
        <v>0</v>
      </c>
      <c r="H60" s="364" t="e">
        <f>#REF!</f>
        <v>#REF!</v>
      </c>
      <c r="I60" s="364" t="e">
        <f>#REF!</f>
        <v>#REF!</v>
      </c>
      <c r="J60" s="360" t="e">
        <f t="shared" si="10"/>
        <v>#REF!</v>
      </c>
      <c r="K60" s="360" t="e">
        <f t="shared" si="11"/>
        <v>#REF!</v>
      </c>
      <c r="L60" s="366" t="e">
        <f t="shared" si="12"/>
        <v>#REF!</v>
      </c>
      <c r="M60" s="392"/>
      <c r="N60" s="360"/>
      <c r="O60" s="360"/>
      <c r="P60" s="360"/>
      <c r="Q60" s="380"/>
      <c r="R60" s="395"/>
      <c r="S60" s="6"/>
      <c r="T60" s="410"/>
    </row>
    <row r="61" spans="1:20" ht="15" customHeight="1" x14ac:dyDescent="0.3">
      <c r="A61" s="538" t="s">
        <v>951</v>
      </c>
      <c r="B61" s="954" t="e">
        <f>"Fornecimento de "&amp;#REF!</f>
        <v>#REF!</v>
      </c>
      <c r="C61" s="954"/>
      <c r="D61" s="954"/>
      <c r="E61" s="954"/>
      <c r="F61" s="154" t="s">
        <v>152</v>
      </c>
      <c r="G61" s="155">
        <v>0</v>
      </c>
      <c r="H61" s="364" t="e">
        <f>#REF!</f>
        <v>#REF!</v>
      </c>
      <c r="I61" s="364" t="e">
        <f>#REF!</f>
        <v>#REF!</v>
      </c>
      <c r="J61" s="360" t="e">
        <f t="shared" si="10"/>
        <v>#REF!</v>
      </c>
      <c r="K61" s="360" t="e">
        <f t="shared" si="11"/>
        <v>#REF!</v>
      </c>
      <c r="L61" s="366" t="e">
        <f t="shared" si="12"/>
        <v>#REF!</v>
      </c>
      <c r="M61" s="392"/>
      <c r="N61" s="360"/>
      <c r="O61" s="360"/>
      <c r="P61" s="360"/>
      <c r="Q61" s="380"/>
      <c r="R61" s="395"/>
      <c r="S61" s="6"/>
      <c r="T61" s="410"/>
    </row>
    <row r="62" spans="1:20" ht="15" customHeight="1" x14ac:dyDescent="0.3">
      <c r="A62" s="538" t="s">
        <v>952</v>
      </c>
      <c r="B62" s="954" t="e">
        <f>"Fornecimento de "&amp;#REF!</f>
        <v>#REF!</v>
      </c>
      <c r="C62" s="954"/>
      <c r="D62" s="954"/>
      <c r="E62" s="954"/>
      <c r="F62" s="154" t="s">
        <v>152</v>
      </c>
      <c r="G62" s="155">
        <v>0</v>
      </c>
      <c r="H62" s="364" t="e">
        <f>#REF!</f>
        <v>#REF!</v>
      </c>
      <c r="I62" s="364" t="e">
        <f>#REF!</f>
        <v>#REF!</v>
      </c>
      <c r="J62" s="360" t="e">
        <f t="shared" si="10"/>
        <v>#REF!</v>
      </c>
      <c r="K62" s="360" t="e">
        <f t="shared" si="11"/>
        <v>#REF!</v>
      </c>
      <c r="L62" s="366" t="e">
        <f t="shared" si="12"/>
        <v>#REF!</v>
      </c>
      <c r="M62" s="392"/>
      <c r="N62" s="360"/>
      <c r="O62" s="360"/>
      <c r="P62" s="360"/>
      <c r="Q62" s="380"/>
      <c r="R62" s="395"/>
      <c r="S62" s="6"/>
      <c r="T62" s="410"/>
    </row>
    <row r="63" spans="1:20" ht="15" customHeight="1" x14ac:dyDescent="0.3">
      <c r="A63" s="377" t="s">
        <v>94</v>
      </c>
      <c r="B63" s="1028" t="s">
        <v>1112</v>
      </c>
      <c r="C63" s="1028"/>
      <c r="D63" s="1028"/>
      <c r="E63" s="1028"/>
      <c r="F63" s="367"/>
      <c r="G63" s="75"/>
      <c r="H63" s="75"/>
      <c r="I63" s="75"/>
      <c r="J63" s="385"/>
      <c r="K63" s="385"/>
      <c r="L63" s="541">
        <f>SUM(L64:L68)</f>
        <v>0</v>
      </c>
      <c r="M63" s="1029"/>
      <c r="N63" s="1030"/>
      <c r="O63" s="1030"/>
      <c r="P63" s="1030"/>
      <c r="Q63" s="1031"/>
      <c r="R63" s="395"/>
      <c r="S63" s="6"/>
      <c r="T63" s="410"/>
    </row>
    <row r="64" spans="1:20" ht="15" customHeight="1" x14ac:dyDescent="0.3">
      <c r="A64" s="538" t="s">
        <v>295</v>
      </c>
      <c r="B64" s="954" t="e">
        <f>"Fornecimento de exaustor "&amp;#REF!</f>
        <v>#REF!</v>
      </c>
      <c r="C64" s="954"/>
      <c r="D64" s="954"/>
      <c r="E64" s="954"/>
      <c r="F64" s="154" t="s">
        <v>152</v>
      </c>
      <c r="G64" s="155">
        <v>0</v>
      </c>
      <c r="H64" s="364">
        <f>5000</f>
        <v>5000</v>
      </c>
      <c r="I64" s="364">
        <v>0</v>
      </c>
      <c r="J64" s="360">
        <f>H64*G64</f>
        <v>0</v>
      </c>
      <c r="K64" s="360">
        <f>I64*G64</f>
        <v>0</v>
      </c>
      <c r="L64" s="366">
        <f t="shared" ref="L64:L66" si="13">J64+K64</f>
        <v>0</v>
      </c>
      <c r="M64" s="392"/>
      <c r="N64" s="360"/>
      <c r="O64" s="360"/>
      <c r="P64" s="360" t="e">
        <f>#REF!</f>
        <v>#REF!</v>
      </c>
      <c r="Q64" s="380" t="e">
        <f>#REF!</f>
        <v>#REF!</v>
      </c>
      <c r="R64" s="395"/>
      <c r="S64" s="6"/>
      <c r="T64" s="410"/>
    </row>
    <row r="65" spans="1:20" ht="15" customHeight="1" x14ac:dyDescent="0.3">
      <c r="A65" s="538" t="s">
        <v>298</v>
      </c>
      <c r="B65" s="954" t="e">
        <f>"Fornecimento de "&amp;#REF!</f>
        <v>#REF!</v>
      </c>
      <c r="C65" s="954"/>
      <c r="D65" s="954"/>
      <c r="E65" s="954"/>
      <c r="F65" s="154" t="s">
        <v>152</v>
      </c>
      <c r="G65" s="155">
        <v>0</v>
      </c>
      <c r="H65" s="364">
        <v>0</v>
      </c>
      <c r="I65" s="364">
        <v>0</v>
      </c>
      <c r="J65" s="360">
        <f>H65*G65</f>
        <v>0</v>
      </c>
      <c r="K65" s="360">
        <f>I65*G65</f>
        <v>0</v>
      </c>
      <c r="L65" s="366">
        <f t="shared" si="13"/>
        <v>0</v>
      </c>
      <c r="M65" s="392"/>
      <c r="N65" s="360"/>
      <c r="O65" s="360"/>
      <c r="P65" s="360" t="e">
        <f>#REF!</f>
        <v>#REF!</v>
      </c>
      <c r="Q65" s="380" t="e">
        <f>#REF!</f>
        <v>#REF!</v>
      </c>
      <c r="R65" s="395"/>
      <c r="S65" s="6"/>
      <c r="T65" s="410"/>
    </row>
    <row r="66" spans="1:20" ht="15" customHeight="1" x14ac:dyDescent="0.3">
      <c r="A66" s="538" t="s">
        <v>360</v>
      </c>
      <c r="B66" s="954" t="e">
        <f>"Fornecimento de "&amp;#REF!</f>
        <v>#REF!</v>
      </c>
      <c r="C66" s="954"/>
      <c r="D66" s="954"/>
      <c r="E66" s="954"/>
      <c r="F66" s="154" t="s">
        <v>152</v>
      </c>
      <c r="G66" s="155">
        <v>0</v>
      </c>
      <c r="H66" s="364">
        <v>0</v>
      </c>
      <c r="I66" s="364">
        <v>0</v>
      </c>
      <c r="J66" s="360">
        <f>H66*G66</f>
        <v>0</v>
      </c>
      <c r="K66" s="360">
        <f>I66*G66</f>
        <v>0</v>
      </c>
      <c r="L66" s="366">
        <f t="shared" si="13"/>
        <v>0</v>
      </c>
      <c r="M66" s="392"/>
      <c r="N66" s="360"/>
      <c r="O66" s="360"/>
      <c r="P66" s="360" t="e">
        <f>#REF!</f>
        <v>#REF!</v>
      </c>
      <c r="Q66" s="380" t="e">
        <f>#REF!</f>
        <v>#REF!</v>
      </c>
      <c r="R66" s="395"/>
      <c r="S66" s="6"/>
      <c r="T66" s="410"/>
    </row>
    <row r="67" spans="1:20" ht="15" customHeight="1" x14ac:dyDescent="0.3">
      <c r="A67" s="538" t="s">
        <v>362</v>
      </c>
      <c r="B67" s="954" t="e">
        <f>"Fornecimento de "&amp;#REF!</f>
        <v>#REF!</v>
      </c>
      <c r="C67" s="954"/>
      <c r="D67" s="954"/>
      <c r="E67" s="954"/>
      <c r="F67" s="154" t="s">
        <v>152</v>
      </c>
      <c r="G67" s="155">
        <v>0</v>
      </c>
      <c r="H67" s="364"/>
      <c r="I67" s="364"/>
      <c r="J67" s="360">
        <f>G67*H67</f>
        <v>0</v>
      </c>
      <c r="K67" s="360">
        <f>G67*I67</f>
        <v>0</v>
      </c>
      <c r="L67" s="366">
        <f>SUM(J67:K67)</f>
        <v>0</v>
      </c>
      <c r="M67" s="392"/>
      <c r="N67" s="360"/>
      <c r="O67" s="360"/>
      <c r="P67" s="360" t="e">
        <f>#REF!</f>
        <v>#REF!</v>
      </c>
      <c r="Q67" s="380" t="e">
        <f>#REF!</f>
        <v>#REF!</v>
      </c>
      <c r="R67" s="395"/>
      <c r="S67" s="6"/>
      <c r="T67" s="410"/>
    </row>
    <row r="68" spans="1:20" ht="15" customHeight="1" x14ac:dyDescent="0.3">
      <c r="A68" s="538" t="s">
        <v>554</v>
      </c>
      <c r="B68" s="954" t="e">
        <f>"Fornecimento de "&amp;#REF!</f>
        <v>#REF!</v>
      </c>
      <c r="C68" s="954"/>
      <c r="D68" s="954"/>
      <c r="E68" s="954"/>
      <c r="F68" s="154" t="s">
        <v>152</v>
      </c>
      <c r="G68" s="155">
        <v>0</v>
      </c>
      <c r="H68" s="364"/>
      <c r="I68" s="364"/>
      <c r="J68" s="360">
        <f t="shared" ref="J68" si="14">G68*H68</f>
        <v>0</v>
      </c>
      <c r="K68" s="360">
        <f t="shared" ref="K68" si="15">G68*I68</f>
        <v>0</v>
      </c>
      <c r="L68" s="366">
        <f t="shared" ref="L68" si="16">SUM(J68:K68)</f>
        <v>0</v>
      </c>
      <c r="M68" s="392"/>
      <c r="N68" s="360"/>
      <c r="O68" s="360"/>
      <c r="P68" s="360" t="e">
        <f>#REF!</f>
        <v>#REF!</v>
      </c>
      <c r="Q68" s="380" t="e">
        <f>#REF!</f>
        <v>#REF!</v>
      </c>
      <c r="R68" s="395"/>
      <c r="S68" s="6"/>
      <c r="T68" s="410"/>
    </row>
    <row r="69" spans="1:20" ht="15" customHeight="1" x14ac:dyDescent="0.3">
      <c r="A69" s="377" t="s">
        <v>95</v>
      </c>
      <c r="B69" s="1028" t="s">
        <v>1113</v>
      </c>
      <c r="C69" s="1028"/>
      <c r="D69" s="1028"/>
      <c r="E69" s="1028"/>
      <c r="F69" s="367"/>
      <c r="G69" s="75"/>
      <c r="H69" s="75"/>
      <c r="I69" s="75"/>
      <c r="J69" s="385"/>
      <c r="K69" s="385"/>
      <c r="L69" s="541">
        <f>SUM(L70:L74)</f>
        <v>0</v>
      </c>
      <c r="M69" s="1029"/>
      <c r="N69" s="1030"/>
      <c r="O69" s="1030"/>
      <c r="P69" s="1030"/>
      <c r="Q69" s="1031"/>
      <c r="R69" s="395"/>
      <c r="S69" s="6"/>
      <c r="T69" s="410"/>
    </row>
    <row r="70" spans="1:20" ht="15" customHeight="1" x14ac:dyDescent="0.3">
      <c r="A70" s="538" t="s">
        <v>302</v>
      </c>
      <c r="B70" s="954" t="e">
        <f>"Fornecimento de "&amp;#REF!</f>
        <v>#REF!</v>
      </c>
      <c r="C70" s="954"/>
      <c r="D70" s="954"/>
      <c r="E70" s="954"/>
      <c r="F70" s="154" t="s">
        <v>152</v>
      </c>
      <c r="G70" s="155">
        <v>0</v>
      </c>
      <c r="H70" s="364">
        <v>3100</v>
      </c>
      <c r="I70" s="364">
        <v>0</v>
      </c>
      <c r="J70" s="360">
        <f>H70*G70</f>
        <v>0</v>
      </c>
      <c r="K70" s="360">
        <f>I70*G70</f>
        <v>0</v>
      </c>
      <c r="L70" s="366">
        <f t="shared" ref="L70:L72" si="17">J70+K70</f>
        <v>0</v>
      </c>
      <c r="M70" s="392"/>
      <c r="N70" s="360"/>
      <c r="O70" s="360"/>
      <c r="P70" s="360" t="e">
        <f>#REF!</f>
        <v>#REF!</v>
      </c>
      <c r="Q70" s="380" t="e">
        <f>#REF!</f>
        <v>#REF!</v>
      </c>
      <c r="R70" s="395"/>
      <c r="S70" s="6"/>
      <c r="T70" s="410"/>
    </row>
    <row r="71" spans="1:20" ht="15" customHeight="1" x14ac:dyDescent="0.3">
      <c r="A71" s="538" t="s">
        <v>305</v>
      </c>
      <c r="B71" s="954" t="e">
        <f>"Fornecimento de "&amp;#REF!</f>
        <v>#REF!</v>
      </c>
      <c r="C71" s="954"/>
      <c r="D71" s="954"/>
      <c r="E71" s="954"/>
      <c r="F71" s="154" t="s">
        <v>152</v>
      </c>
      <c r="G71" s="155">
        <v>0</v>
      </c>
      <c r="H71" s="364">
        <v>22100</v>
      </c>
      <c r="I71" s="364">
        <v>0</v>
      </c>
      <c r="J71" s="360">
        <f>H71*G71</f>
        <v>0</v>
      </c>
      <c r="K71" s="360">
        <f>I71*G71</f>
        <v>0</v>
      </c>
      <c r="L71" s="366">
        <f t="shared" si="17"/>
        <v>0</v>
      </c>
      <c r="M71" s="392"/>
      <c r="N71" s="360"/>
      <c r="O71" s="360"/>
      <c r="P71" s="360" t="e">
        <f>#REF!</f>
        <v>#REF!</v>
      </c>
      <c r="Q71" s="380" t="e">
        <f>#REF!</f>
        <v>#REF!</v>
      </c>
      <c r="R71" s="395"/>
      <c r="S71" s="6"/>
      <c r="T71" s="410"/>
    </row>
    <row r="72" spans="1:20" ht="15" customHeight="1" x14ac:dyDescent="0.3">
      <c r="A72" s="538" t="s">
        <v>556</v>
      </c>
      <c r="B72" s="954" t="e">
        <f>"Fornecimento de "&amp;#REF!</f>
        <v>#REF!</v>
      </c>
      <c r="C72" s="954"/>
      <c r="D72" s="954"/>
      <c r="E72" s="954"/>
      <c r="F72" s="154" t="s">
        <v>152</v>
      </c>
      <c r="G72" s="155">
        <v>0</v>
      </c>
      <c r="H72" s="364"/>
      <c r="I72" s="364">
        <v>0</v>
      </c>
      <c r="J72" s="360">
        <f>H72*G72</f>
        <v>0</v>
      </c>
      <c r="K72" s="360">
        <f>I72*G72</f>
        <v>0</v>
      </c>
      <c r="L72" s="366">
        <f t="shared" si="17"/>
        <v>0</v>
      </c>
      <c r="M72" s="392"/>
      <c r="N72" s="360"/>
      <c r="O72" s="360"/>
      <c r="P72" s="360"/>
      <c r="Q72" s="380"/>
      <c r="R72" s="395"/>
      <c r="S72" s="6"/>
      <c r="T72" s="410"/>
    </row>
    <row r="73" spans="1:20" ht="15" customHeight="1" x14ac:dyDescent="0.3">
      <c r="A73" s="538" t="s">
        <v>557</v>
      </c>
      <c r="B73" s="954" t="e">
        <f>"Fornecimento de "&amp;#REF!</f>
        <v>#REF!</v>
      </c>
      <c r="C73" s="954"/>
      <c r="D73" s="954"/>
      <c r="E73" s="954"/>
      <c r="F73" s="154" t="s">
        <v>152</v>
      </c>
      <c r="G73" s="155">
        <v>0</v>
      </c>
      <c r="H73" s="364"/>
      <c r="I73" s="364"/>
      <c r="J73" s="360">
        <f>G73*H73</f>
        <v>0</v>
      </c>
      <c r="K73" s="360">
        <f>G73*I73</f>
        <v>0</v>
      </c>
      <c r="L73" s="366">
        <f>SUM(J73:K73)</f>
        <v>0</v>
      </c>
      <c r="M73" s="392"/>
      <c r="N73" s="360"/>
      <c r="O73" s="360"/>
      <c r="P73" s="360"/>
      <c r="Q73" s="380"/>
      <c r="R73" s="395"/>
      <c r="S73" s="6"/>
      <c r="T73" s="410"/>
    </row>
    <row r="74" spans="1:20" ht="15" customHeight="1" x14ac:dyDescent="0.3">
      <c r="A74" s="538" t="s">
        <v>558</v>
      </c>
      <c r="B74" s="954" t="e">
        <f>"Fornecimento de "&amp;#REF!</f>
        <v>#REF!</v>
      </c>
      <c r="C74" s="954"/>
      <c r="D74" s="954"/>
      <c r="E74" s="954"/>
      <c r="F74" s="154" t="s">
        <v>152</v>
      </c>
      <c r="G74" s="155">
        <v>0</v>
      </c>
      <c r="H74" s="364"/>
      <c r="I74" s="364"/>
      <c r="J74" s="360">
        <f t="shared" ref="J74" si="18">G74*H74</f>
        <v>0</v>
      </c>
      <c r="K74" s="360">
        <f t="shared" ref="K74" si="19">G74*I74</f>
        <v>0</v>
      </c>
      <c r="L74" s="366">
        <f t="shared" ref="L74" si="20">SUM(J74:K74)</f>
        <v>0</v>
      </c>
      <c r="M74" s="392"/>
      <c r="N74" s="360"/>
      <c r="O74" s="360"/>
      <c r="P74" s="360"/>
      <c r="Q74" s="380"/>
      <c r="R74" s="395"/>
      <c r="S74" s="6"/>
      <c r="T74" s="410"/>
    </row>
    <row r="75" spans="1:20" ht="15" customHeight="1" x14ac:dyDescent="0.3">
      <c r="A75" s="377" t="s">
        <v>163</v>
      </c>
      <c r="B75" s="1014" t="s">
        <v>155</v>
      </c>
      <c r="C75" s="1014"/>
      <c r="D75" s="1014"/>
      <c r="E75" s="1014"/>
      <c r="F75" s="160"/>
      <c r="G75" s="161"/>
      <c r="H75" s="161"/>
      <c r="I75" s="161"/>
      <c r="J75" s="161"/>
      <c r="K75" s="161"/>
      <c r="L75" s="541">
        <f>SUM(L76:L81)</f>
        <v>2885</v>
      </c>
      <c r="M75" s="391"/>
      <c r="N75" s="372"/>
      <c r="O75" s="372"/>
      <c r="P75" s="372"/>
      <c r="Q75" s="378"/>
      <c r="R75" s="395"/>
      <c r="S75" s="6"/>
      <c r="T75" s="410" t="e">
        <f>L75/L17</f>
        <v>#REF!</v>
      </c>
    </row>
    <row r="76" spans="1:20" ht="15" customHeight="1" x14ac:dyDescent="0.3">
      <c r="A76" s="379" t="s">
        <v>308</v>
      </c>
      <c r="B76" s="954" t="s">
        <v>291</v>
      </c>
      <c r="C76" s="954"/>
      <c r="D76" s="954"/>
      <c r="E76" s="954"/>
      <c r="F76" s="154" t="s">
        <v>152</v>
      </c>
      <c r="G76" s="155">
        <v>4</v>
      </c>
      <c r="H76" s="364">
        <v>180</v>
      </c>
      <c r="I76" s="364">
        <v>20</v>
      </c>
      <c r="J76" s="360">
        <f t="shared" ref="J76:J81" si="21">H76*G76</f>
        <v>720</v>
      </c>
      <c r="K76" s="360">
        <f t="shared" ref="K76:K81" si="22">I76*G76</f>
        <v>80</v>
      </c>
      <c r="L76" s="366">
        <f>SUM(J76:K76)</f>
        <v>800</v>
      </c>
      <c r="M76" s="392" t="s">
        <v>708</v>
      </c>
      <c r="N76" s="394">
        <v>0.05</v>
      </c>
      <c r="O76" s="394">
        <v>0.18</v>
      </c>
      <c r="P76" s="360" t="s">
        <v>705</v>
      </c>
      <c r="Q76" s="380" t="s">
        <v>706</v>
      </c>
      <c r="R76" s="396"/>
      <c r="T76" s="410"/>
    </row>
    <row r="77" spans="1:20" ht="15" customHeight="1" x14ac:dyDescent="0.3">
      <c r="A77" s="379" t="s">
        <v>710</v>
      </c>
      <c r="B77" s="954" t="s">
        <v>293</v>
      </c>
      <c r="C77" s="954"/>
      <c r="D77" s="954"/>
      <c r="E77" s="954"/>
      <c r="F77" s="154" t="s">
        <v>152</v>
      </c>
      <c r="G77" s="155">
        <v>1</v>
      </c>
      <c r="H77" s="364">
        <v>250</v>
      </c>
      <c r="I77" s="364">
        <v>20</v>
      </c>
      <c r="J77" s="360">
        <f t="shared" si="21"/>
        <v>250</v>
      </c>
      <c r="K77" s="360">
        <f t="shared" si="22"/>
        <v>20</v>
      </c>
      <c r="L77" s="366">
        <f>SUM(J77:K77)</f>
        <v>270</v>
      </c>
      <c r="M77" s="392" t="s">
        <v>708</v>
      </c>
      <c r="N77" s="394">
        <v>0</v>
      </c>
      <c r="O77" s="394">
        <v>0.18</v>
      </c>
      <c r="P77" s="360" t="s">
        <v>705</v>
      </c>
      <c r="Q77" s="380" t="s">
        <v>706</v>
      </c>
      <c r="R77" s="396"/>
      <c r="T77" s="410"/>
    </row>
    <row r="78" spans="1:20" ht="15" customHeight="1" x14ac:dyDescent="0.3">
      <c r="A78" s="379" t="s">
        <v>711</v>
      </c>
      <c r="B78" s="954" t="s">
        <v>549</v>
      </c>
      <c r="C78" s="954"/>
      <c r="D78" s="954"/>
      <c r="E78" s="954"/>
      <c r="F78" s="154" t="s">
        <v>152</v>
      </c>
      <c r="G78" s="155">
        <v>1</v>
      </c>
      <c r="H78" s="364">
        <v>300</v>
      </c>
      <c r="I78" s="364">
        <v>20</v>
      </c>
      <c r="J78" s="360">
        <f t="shared" si="21"/>
        <v>300</v>
      </c>
      <c r="K78" s="360">
        <f t="shared" si="22"/>
        <v>20</v>
      </c>
      <c r="L78" s="366">
        <f t="shared" ref="L78:L81" si="23">SUM(J78:K78)</f>
        <v>320</v>
      </c>
      <c r="M78" s="392" t="s">
        <v>708</v>
      </c>
      <c r="N78" s="394">
        <v>0</v>
      </c>
      <c r="O78" s="394">
        <v>0.18</v>
      </c>
      <c r="P78" s="360" t="s">
        <v>705</v>
      </c>
      <c r="Q78" s="380" t="s">
        <v>706</v>
      </c>
      <c r="R78" s="396"/>
      <c r="T78" s="410"/>
    </row>
    <row r="79" spans="1:20" ht="15" customHeight="1" x14ac:dyDescent="0.3">
      <c r="A79" s="379" t="s">
        <v>1114</v>
      </c>
      <c r="B79" s="954" t="s">
        <v>550</v>
      </c>
      <c r="C79" s="954"/>
      <c r="D79" s="954"/>
      <c r="E79" s="954"/>
      <c r="F79" s="154" t="s">
        <v>152</v>
      </c>
      <c r="G79" s="155">
        <v>1</v>
      </c>
      <c r="H79" s="364">
        <v>35</v>
      </c>
      <c r="I79" s="364">
        <v>20</v>
      </c>
      <c r="J79" s="360">
        <f t="shared" si="21"/>
        <v>35</v>
      </c>
      <c r="K79" s="360">
        <f t="shared" si="22"/>
        <v>20</v>
      </c>
      <c r="L79" s="366">
        <f t="shared" si="23"/>
        <v>55</v>
      </c>
      <c r="M79" s="392" t="s">
        <v>708</v>
      </c>
      <c r="N79" s="360" t="s">
        <v>708</v>
      </c>
      <c r="O79" s="394">
        <v>0.18</v>
      </c>
      <c r="P79" s="360" t="s">
        <v>705</v>
      </c>
      <c r="Q79" s="380" t="s">
        <v>706</v>
      </c>
      <c r="R79" s="396"/>
      <c r="T79" s="410"/>
    </row>
    <row r="80" spans="1:20" ht="15" customHeight="1" x14ac:dyDescent="0.3">
      <c r="A80" s="379" t="s">
        <v>1115</v>
      </c>
      <c r="B80" s="954" t="s">
        <v>586</v>
      </c>
      <c r="C80" s="954"/>
      <c r="D80" s="954"/>
      <c r="E80" s="954"/>
      <c r="F80" s="154" t="s">
        <v>152</v>
      </c>
      <c r="G80" s="155">
        <v>1</v>
      </c>
      <c r="H80" s="364">
        <f>1200</f>
        <v>1200</v>
      </c>
      <c r="I80" s="364">
        <v>20</v>
      </c>
      <c r="J80" s="360">
        <f t="shared" si="21"/>
        <v>1200</v>
      </c>
      <c r="K80" s="360">
        <f t="shared" si="22"/>
        <v>20</v>
      </c>
      <c r="L80" s="366">
        <f t="shared" si="23"/>
        <v>1220</v>
      </c>
      <c r="M80" s="392" t="s">
        <v>708</v>
      </c>
      <c r="N80" s="394">
        <v>0.05</v>
      </c>
      <c r="O80" s="394">
        <v>0.18</v>
      </c>
      <c r="P80" s="360" t="s">
        <v>705</v>
      </c>
      <c r="Q80" s="380" t="s">
        <v>706</v>
      </c>
      <c r="R80" s="396"/>
      <c r="T80" s="410"/>
    </row>
    <row r="81" spans="1:20" ht="15" customHeight="1" x14ac:dyDescent="0.3">
      <c r="A81" s="379" t="s">
        <v>1116</v>
      </c>
      <c r="B81" s="954" t="s">
        <v>587</v>
      </c>
      <c r="C81" s="954"/>
      <c r="D81" s="954"/>
      <c r="E81" s="954"/>
      <c r="F81" s="154" t="s">
        <v>152</v>
      </c>
      <c r="G81" s="155">
        <v>1</v>
      </c>
      <c r="H81" s="364">
        <f>200</f>
        <v>200</v>
      </c>
      <c r="I81" s="364">
        <v>20</v>
      </c>
      <c r="J81" s="360">
        <f t="shared" si="21"/>
        <v>200</v>
      </c>
      <c r="K81" s="360">
        <f t="shared" si="22"/>
        <v>20</v>
      </c>
      <c r="L81" s="366">
        <f t="shared" si="23"/>
        <v>220</v>
      </c>
      <c r="M81" s="392" t="s">
        <v>708</v>
      </c>
      <c r="N81" s="394">
        <v>0.05</v>
      </c>
      <c r="O81" s="394">
        <v>0.18</v>
      </c>
      <c r="P81" s="360" t="s">
        <v>705</v>
      </c>
      <c r="Q81" s="380" t="s">
        <v>706</v>
      </c>
      <c r="R81" s="396"/>
      <c r="T81" s="410"/>
    </row>
    <row r="82" spans="1:20" ht="15" customHeight="1" x14ac:dyDescent="0.3">
      <c r="A82" s="377" t="s">
        <v>202</v>
      </c>
      <c r="B82" s="1014" t="s">
        <v>294</v>
      </c>
      <c r="C82" s="1014"/>
      <c r="D82" s="1014"/>
      <c r="E82" s="1014"/>
      <c r="F82" s="160"/>
      <c r="G82" s="161"/>
      <c r="H82" s="161"/>
      <c r="I82" s="161"/>
      <c r="J82" s="161"/>
      <c r="K82" s="161"/>
      <c r="L82" s="541">
        <f>SUM(L83:L88)</f>
        <v>6183.4000000000005</v>
      </c>
      <c r="M82" s="391"/>
      <c r="N82" s="372"/>
      <c r="O82" s="372"/>
      <c r="P82" s="372"/>
      <c r="Q82" s="378"/>
      <c r="T82" s="410" t="e">
        <f>L82/L17</f>
        <v>#REF!</v>
      </c>
    </row>
    <row r="83" spans="1:20" ht="15" customHeight="1" x14ac:dyDescent="0.3">
      <c r="A83" s="379" t="s">
        <v>310</v>
      </c>
      <c r="B83" s="954" t="s">
        <v>296</v>
      </c>
      <c r="C83" s="954"/>
      <c r="D83" s="954"/>
      <c r="E83" s="954"/>
      <c r="F83" s="154" t="s">
        <v>297</v>
      </c>
      <c r="G83" s="155">
        <v>200</v>
      </c>
      <c r="H83" s="364">
        <v>28</v>
      </c>
      <c r="I83" s="364">
        <v>0</v>
      </c>
      <c r="J83" s="360">
        <f t="shared" ref="J83:J88" si="24">H83*G83</f>
        <v>5600</v>
      </c>
      <c r="K83" s="360">
        <f t="shared" ref="K83:K88" si="25">I83*G83</f>
        <v>0</v>
      </c>
      <c r="L83" s="366">
        <f>SUM(J83:K83)</f>
        <v>5600</v>
      </c>
      <c r="M83" s="392" t="s">
        <v>708</v>
      </c>
      <c r="N83" s="360" t="s">
        <v>708</v>
      </c>
      <c r="O83" s="360" t="s">
        <v>708</v>
      </c>
      <c r="P83" s="360" t="s">
        <v>708</v>
      </c>
      <c r="Q83" s="380" t="s">
        <v>708</v>
      </c>
      <c r="T83" s="410"/>
    </row>
    <row r="84" spans="1:20" ht="15" customHeight="1" x14ac:dyDescent="0.3">
      <c r="A84" s="379" t="s">
        <v>1117</v>
      </c>
      <c r="B84" s="954" t="s">
        <v>299</v>
      </c>
      <c r="C84" s="954"/>
      <c r="D84" s="954"/>
      <c r="E84" s="954"/>
      <c r="F84" s="154" t="s">
        <v>300</v>
      </c>
      <c r="G84" s="155">
        <v>1</v>
      </c>
      <c r="H84" s="364">
        <v>500</v>
      </c>
      <c r="I84" s="364">
        <v>0</v>
      </c>
      <c r="J84" s="360">
        <f t="shared" si="24"/>
        <v>500</v>
      </c>
      <c r="K84" s="360">
        <f t="shared" si="25"/>
        <v>0</v>
      </c>
      <c r="L84" s="366">
        <f>SUM(J84:K84)</f>
        <v>500</v>
      </c>
      <c r="M84" s="392" t="s">
        <v>708</v>
      </c>
      <c r="N84" s="360" t="s">
        <v>708</v>
      </c>
      <c r="O84" s="360" t="s">
        <v>708</v>
      </c>
      <c r="P84" s="360" t="s">
        <v>708</v>
      </c>
      <c r="Q84" s="380" t="s">
        <v>708</v>
      </c>
      <c r="T84" s="410"/>
    </row>
    <row r="85" spans="1:20" ht="15" customHeight="1" x14ac:dyDescent="0.3">
      <c r="A85" s="379" t="s">
        <v>1118</v>
      </c>
      <c r="B85" s="954" t="s">
        <v>564</v>
      </c>
      <c r="C85" s="954"/>
      <c r="D85" s="954"/>
      <c r="E85" s="954"/>
      <c r="F85" s="154" t="s">
        <v>547</v>
      </c>
      <c r="G85" s="155">
        <v>1</v>
      </c>
      <c r="H85" s="364">
        <f>11*2</f>
        <v>22</v>
      </c>
      <c r="I85" s="364">
        <v>0</v>
      </c>
      <c r="J85" s="360">
        <f t="shared" si="24"/>
        <v>22</v>
      </c>
      <c r="K85" s="360">
        <f t="shared" si="25"/>
        <v>0</v>
      </c>
      <c r="L85" s="366">
        <f>SUM(J85:K85)</f>
        <v>22</v>
      </c>
      <c r="M85" s="392" t="s">
        <v>708</v>
      </c>
      <c r="N85" s="360" t="s">
        <v>708</v>
      </c>
      <c r="O85" s="360" t="s">
        <v>708</v>
      </c>
      <c r="P85" s="360" t="s">
        <v>708</v>
      </c>
      <c r="Q85" s="380" t="s">
        <v>708</v>
      </c>
      <c r="T85" s="410"/>
    </row>
    <row r="86" spans="1:20" ht="15" customHeight="1" x14ac:dyDescent="0.3">
      <c r="A86" s="379" t="s">
        <v>1119</v>
      </c>
      <c r="B86" s="954" t="s">
        <v>551</v>
      </c>
      <c r="C86" s="954"/>
      <c r="D86" s="954"/>
      <c r="E86" s="954"/>
      <c r="F86" s="154" t="s">
        <v>304</v>
      </c>
      <c r="G86" s="155">
        <v>1</v>
      </c>
      <c r="H86" s="364">
        <f>24*1.2</f>
        <v>28.799999999999997</v>
      </c>
      <c r="I86" s="364">
        <v>0</v>
      </c>
      <c r="J86" s="360">
        <f t="shared" si="24"/>
        <v>28.799999999999997</v>
      </c>
      <c r="K86" s="360">
        <f t="shared" si="25"/>
        <v>0</v>
      </c>
      <c r="L86" s="366">
        <f t="shared" ref="L86:L88" si="26">SUM(J86:K86)</f>
        <v>28.799999999999997</v>
      </c>
      <c r="M86" s="392" t="s">
        <v>708</v>
      </c>
      <c r="N86" s="360" t="s">
        <v>708</v>
      </c>
      <c r="O86" s="360" t="s">
        <v>708</v>
      </c>
      <c r="P86" s="360" t="s">
        <v>708</v>
      </c>
      <c r="Q86" s="380" t="s">
        <v>708</v>
      </c>
      <c r="T86" s="410"/>
    </row>
    <row r="87" spans="1:20" ht="15" customHeight="1" x14ac:dyDescent="0.3">
      <c r="A87" s="379" t="s">
        <v>1120</v>
      </c>
      <c r="B87" s="954" t="s">
        <v>553</v>
      </c>
      <c r="C87" s="954"/>
      <c r="D87" s="954"/>
      <c r="E87" s="954"/>
      <c r="F87" s="154" t="s">
        <v>152</v>
      </c>
      <c r="G87" s="155">
        <v>1</v>
      </c>
      <c r="H87" s="364">
        <f>23*1.2</f>
        <v>27.599999999999998</v>
      </c>
      <c r="I87" s="364">
        <v>0</v>
      </c>
      <c r="J87" s="360">
        <f t="shared" si="24"/>
        <v>27.599999999999998</v>
      </c>
      <c r="K87" s="360">
        <f t="shared" si="25"/>
        <v>0</v>
      </c>
      <c r="L87" s="366">
        <f t="shared" si="26"/>
        <v>27.599999999999998</v>
      </c>
      <c r="M87" s="392" t="s">
        <v>708</v>
      </c>
      <c r="N87" s="360" t="s">
        <v>708</v>
      </c>
      <c r="O87" s="360" t="s">
        <v>708</v>
      </c>
      <c r="P87" s="360" t="s">
        <v>708</v>
      </c>
      <c r="Q87" s="380" t="s">
        <v>708</v>
      </c>
      <c r="T87" s="410"/>
    </row>
    <row r="88" spans="1:20" ht="15" customHeight="1" x14ac:dyDescent="0.3">
      <c r="A88" s="379" t="s">
        <v>1121</v>
      </c>
      <c r="B88" s="954" t="s">
        <v>555</v>
      </c>
      <c r="C88" s="954"/>
      <c r="D88" s="954"/>
      <c r="E88" s="954"/>
      <c r="F88" s="154" t="s">
        <v>304</v>
      </c>
      <c r="G88" s="155">
        <v>1</v>
      </c>
      <c r="H88" s="364">
        <v>5</v>
      </c>
      <c r="I88" s="364">
        <v>0</v>
      </c>
      <c r="J88" s="360">
        <f t="shared" si="24"/>
        <v>5</v>
      </c>
      <c r="K88" s="360">
        <f t="shared" si="25"/>
        <v>0</v>
      </c>
      <c r="L88" s="366">
        <f t="shared" si="26"/>
        <v>5</v>
      </c>
      <c r="M88" s="392" t="s">
        <v>708</v>
      </c>
      <c r="N88" s="360" t="s">
        <v>708</v>
      </c>
      <c r="O88" s="360" t="s">
        <v>708</v>
      </c>
      <c r="P88" s="360" t="s">
        <v>708</v>
      </c>
      <c r="Q88" s="380" t="s">
        <v>708</v>
      </c>
      <c r="T88" s="410"/>
    </row>
    <row r="89" spans="1:20" ht="15" customHeight="1" x14ac:dyDescent="0.3">
      <c r="A89" s="377" t="s">
        <v>203</v>
      </c>
      <c r="B89" s="1014" t="s">
        <v>301</v>
      </c>
      <c r="C89" s="1014"/>
      <c r="D89" s="1014"/>
      <c r="E89" s="1014"/>
      <c r="F89" s="160"/>
      <c r="G89" s="161"/>
      <c r="H89" s="161"/>
      <c r="I89" s="161"/>
      <c r="J89" s="161"/>
      <c r="K89" s="161"/>
      <c r="L89" s="541">
        <f>SUM(L90:L95)</f>
        <v>2147.6</v>
      </c>
      <c r="M89" s="391"/>
      <c r="N89" s="372"/>
      <c r="O89" s="372"/>
      <c r="P89" s="372"/>
      <c r="Q89" s="378"/>
      <c r="T89" s="410" t="e">
        <f>L89/L17</f>
        <v>#REF!</v>
      </c>
    </row>
    <row r="90" spans="1:20" ht="15" customHeight="1" x14ac:dyDescent="0.3">
      <c r="A90" s="379" t="s">
        <v>312</v>
      </c>
      <c r="B90" s="954" t="s">
        <v>303</v>
      </c>
      <c r="C90" s="954"/>
      <c r="D90" s="954"/>
      <c r="E90" s="954"/>
      <c r="F90" s="154" t="s">
        <v>304</v>
      </c>
      <c r="G90" s="155">
        <v>20</v>
      </c>
      <c r="H90" s="364">
        <v>76.13</v>
      </c>
      <c r="I90" s="364">
        <v>0</v>
      </c>
      <c r="J90" s="360">
        <f t="shared" ref="J90:J95" si="27">H90*G90</f>
        <v>1522.6</v>
      </c>
      <c r="K90" s="360">
        <f t="shared" ref="K90:K95" si="28">I90*G90</f>
        <v>0</v>
      </c>
      <c r="L90" s="366">
        <f>SUM(J90:K90)</f>
        <v>1522.6</v>
      </c>
      <c r="M90" s="392" t="s">
        <v>708</v>
      </c>
      <c r="N90" s="360" t="s">
        <v>708</v>
      </c>
      <c r="O90" s="360" t="s">
        <v>708</v>
      </c>
      <c r="P90" s="360" t="s">
        <v>707</v>
      </c>
      <c r="Q90" s="380" t="s">
        <v>708</v>
      </c>
      <c r="T90" s="410"/>
    </row>
    <row r="91" spans="1:20" ht="15" customHeight="1" x14ac:dyDescent="0.3">
      <c r="A91" s="379" t="s">
        <v>1122</v>
      </c>
      <c r="B91" s="954" t="s">
        <v>306</v>
      </c>
      <c r="C91" s="954"/>
      <c r="D91" s="954"/>
      <c r="E91" s="954"/>
      <c r="F91" s="154" t="s">
        <v>304</v>
      </c>
      <c r="G91" s="155">
        <f>G90</f>
        <v>20</v>
      </c>
      <c r="H91" s="364">
        <v>31.25</v>
      </c>
      <c r="I91" s="364">
        <v>0</v>
      </c>
      <c r="J91" s="360">
        <f t="shared" si="27"/>
        <v>625</v>
      </c>
      <c r="K91" s="360">
        <f t="shared" si="28"/>
        <v>0</v>
      </c>
      <c r="L91" s="366">
        <f>SUM(J91:K91)</f>
        <v>625</v>
      </c>
      <c r="M91" s="392" t="s">
        <v>708</v>
      </c>
      <c r="N91" s="360" t="s">
        <v>708</v>
      </c>
      <c r="O91" s="360" t="s">
        <v>708</v>
      </c>
      <c r="P91" s="360" t="s">
        <v>707</v>
      </c>
      <c r="Q91" s="380" t="s">
        <v>708</v>
      </c>
      <c r="T91" s="410"/>
    </row>
    <row r="92" spans="1:20" ht="15" customHeight="1" x14ac:dyDescent="0.3">
      <c r="A92" s="379" t="s">
        <v>1123</v>
      </c>
      <c r="B92" s="954" t="s">
        <v>559</v>
      </c>
      <c r="C92" s="954"/>
      <c r="D92" s="954"/>
      <c r="E92" s="954"/>
      <c r="F92" s="154" t="s">
        <v>304</v>
      </c>
      <c r="G92" s="155">
        <f>G20*4</f>
        <v>0</v>
      </c>
      <c r="H92" s="364">
        <f>5.95*1.2</f>
        <v>7.14</v>
      </c>
      <c r="I92" s="364">
        <v>0</v>
      </c>
      <c r="J92" s="360">
        <f t="shared" si="27"/>
        <v>0</v>
      </c>
      <c r="K92" s="360">
        <f t="shared" si="28"/>
        <v>0</v>
      </c>
      <c r="L92" s="366">
        <f t="shared" ref="L92:L94" si="29">SUM(J92:K92)</f>
        <v>0</v>
      </c>
      <c r="M92" s="392" t="s">
        <v>708</v>
      </c>
      <c r="N92" s="360" t="s">
        <v>708</v>
      </c>
      <c r="O92" s="360" t="s">
        <v>708</v>
      </c>
      <c r="P92" s="360" t="s">
        <v>707</v>
      </c>
      <c r="Q92" s="380" t="s">
        <v>708</v>
      </c>
      <c r="T92" s="410"/>
    </row>
    <row r="93" spans="1:20" ht="15" customHeight="1" x14ac:dyDescent="0.3">
      <c r="A93" s="379" t="s">
        <v>1124</v>
      </c>
      <c r="B93" s="954" t="s">
        <v>560</v>
      </c>
      <c r="C93" s="954"/>
      <c r="D93" s="954"/>
      <c r="E93" s="954"/>
      <c r="F93" s="154" t="s">
        <v>304</v>
      </c>
      <c r="G93" s="155">
        <f>20*G20</f>
        <v>0</v>
      </c>
      <c r="H93" s="364">
        <f>7.2*1.25</f>
        <v>9</v>
      </c>
      <c r="I93" s="364">
        <v>0</v>
      </c>
      <c r="J93" s="360">
        <f t="shared" si="27"/>
        <v>0</v>
      </c>
      <c r="K93" s="360">
        <f t="shared" si="28"/>
        <v>0</v>
      </c>
      <c r="L93" s="366">
        <f t="shared" si="29"/>
        <v>0</v>
      </c>
      <c r="M93" s="392" t="s">
        <v>708</v>
      </c>
      <c r="N93" s="360" t="s">
        <v>708</v>
      </c>
      <c r="O93" s="360" t="s">
        <v>708</v>
      </c>
      <c r="P93" s="360" t="s">
        <v>707</v>
      </c>
      <c r="Q93" s="380" t="s">
        <v>708</v>
      </c>
      <c r="T93" s="410"/>
    </row>
    <row r="94" spans="1:20" ht="15" customHeight="1" x14ac:dyDescent="0.3">
      <c r="A94" s="379" t="s">
        <v>1125</v>
      </c>
      <c r="B94" s="954" t="s">
        <v>561</v>
      </c>
      <c r="C94" s="954"/>
      <c r="D94" s="954"/>
      <c r="E94" s="954"/>
      <c r="F94" s="154" t="s">
        <v>304</v>
      </c>
      <c r="G94" s="155">
        <f>6*G20</f>
        <v>0</v>
      </c>
      <c r="H94" s="364">
        <f>5.87*1.2</f>
        <v>7.0439999999999996</v>
      </c>
      <c r="I94" s="364">
        <v>0</v>
      </c>
      <c r="J94" s="360">
        <f t="shared" si="27"/>
        <v>0</v>
      </c>
      <c r="K94" s="360">
        <f t="shared" si="28"/>
        <v>0</v>
      </c>
      <c r="L94" s="366">
        <f t="shared" si="29"/>
        <v>0</v>
      </c>
      <c r="M94" s="392" t="s">
        <v>708</v>
      </c>
      <c r="N94" s="360" t="s">
        <v>708</v>
      </c>
      <c r="O94" s="360" t="s">
        <v>708</v>
      </c>
      <c r="P94" s="360" t="s">
        <v>707</v>
      </c>
      <c r="Q94" s="380" t="s">
        <v>708</v>
      </c>
      <c r="T94" s="410"/>
    </row>
    <row r="95" spans="1:20" ht="15" customHeight="1" x14ac:dyDescent="0.3">
      <c r="A95" s="379" t="s">
        <v>1126</v>
      </c>
      <c r="B95" s="954" t="s">
        <v>792</v>
      </c>
      <c r="C95" s="954"/>
      <c r="D95" s="954"/>
      <c r="E95" s="954"/>
      <c r="F95" s="154" t="s">
        <v>152</v>
      </c>
      <c r="G95" s="155">
        <f>SUM(G19,G20)*4</f>
        <v>0</v>
      </c>
      <c r="H95" s="364">
        <v>105</v>
      </c>
      <c r="I95" s="364">
        <v>0</v>
      </c>
      <c r="J95" s="360">
        <f t="shared" si="27"/>
        <v>0</v>
      </c>
      <c r="K95" s="360">
        <f t="shared" si="28"/>
        <v>0</v>
      </c>
      <c r="L95" s="366">
        <f t="shared" ref="L95" si="30">SUM(J95:K95)</f>
        <v>0</v>
      </c>
      <c r="M95" s="392" t="s">
        <v>708</v>
      </c>
      <c r="N95" s="360" t="s">
        <v>708</v>
      </c>
      <c r="O95" s="360" t="s">
        <v>708</v>
      </c>
      <c r="P95" s="360" t="s">
        <v>707</v>
      </c>
      <c r="Q95" s="380" t="s">
        <v>708</v>
      </c>
      <c r="T95" s="410"/>
    </row>
    <row r="96" spans="1:20" ht="15" customHeight="1" x14ac:dyDescent="0.3">
      <c r="A96" s="377" t="s">
        <v>314</v>
      </c>
      <c r="B96" s="1014" t="s">
        <v>562</v>
      </c>
      <c r="C96" s="1014"/>
      <c r="D96" s="1014"/>
      <c r="E96" s="1014"/>
      <c r="F96" s="160"/>
      <c r="G96" s="161"/>
      <c r="H96" s="161"/>
      <c r="I96" s="161"/>
      <c r="J96" s="161"/>
      <c r="K96" s="161"/>
      <c r="L96" s="541">
        <f>SUM(L97:L99)</f>
        <v>528.41999999999996</v>
      </c>
      <c r="M96" s="391"/>
      <c r="N96" s="372"/>
      <c r="O96" s="372"/>
      <c r="P96" s="372"/>
      <c r="Q96" s="378"/>
      <c r="T96" s="410" t="e">
        <f>L96/L17</f>
        <v>#REF!</v>
      </c>
    </row>
    <row r="97" spans="1:20" ht="15" customHeight="1" x14ac:dyDescent="0.3">
      <c r="A97" s="379" t="s">
        <v>315</v>
      </c>
      <c r="B97" s="954" t="s">
        <v>1080</v>
      </c>
      <c r="C97" s="954"/>
      <c r="D97" s="954"/>
      <c r="E97" s="954"/>
      <c r="F97" s="154" t="s">
        <v>304</v>
      </c>
      <c r="G97" s="155">
        <f>G90</f>
        <v>20</v>
      </c>
      <c r="H97" s="364">
        <f>15.18*1.2</f>
        <v>18.215999999999998</v>
      </c>
      <c r="I97" s="364">
        <v>0</v>
      </c>
      <c r="J97" s="360">
        <f>H97*G97</f>
        <v>364.31999999999994</v>
      </c>
      <c r="K97" s="360">
        <f>I97*G97</f>
        <v>0</v>
      </c>
      <c r="L97" s="366">
        <f>SUM(J97:K97)</f>
        <v>364.31999999999994</v>
      </c>
      <c r="M97" s="392" t="s">
        <v>708</v>
      </c>
      <c r="N97" s="360" t="s">
        <v>708</v>
      </c>
      <c r="O97" s="360" t="s">
        <v>708</v>
      </c>
      <c r="P97" s="360" t="s">
        <v>707</v>
      </c>
      <c r="Q97" s="380" t="s">
        <v>708</v>
      </c>
      <c r="T97" s="410"/>
    </row>
    <row r="98" spans="1:20" ht="15" customHeight="1" x14ac:dyDescent="0.3">
      <c r="A98" s="379" t="s">
        <v>1127</v>
      </c>
      <c r="B98" s="954" t="s">
        <v>1081</v>
      </c>
      <c r="C98" s="954"/>
      <c r="D98" s="954"/>
      <c r="E98" s="954"/>
      <c r="F98" s="154" t="s">
        <v>304</v>
      </c>
      <c r="G98" s="155">
        <f>G91</f>
        <v>20</v>
      </c>
      <c r="H98" s="364">
        <f>6.4*1.2</f>
        <v>7.68</v>
      </c>
      <c r="I98" s="364">
        <v>0</v>
      </c>
      <c r="J98" s="360">
        <f>H98*G98</f>
        <v>153.6</v>
      </c>
      <c r="K98" s="360">
        <f>I98*G98</f>
        <v>0</v>
      </c>
      <c r="L98" s="366">
        <f>SUM(J98:K98)</f>
        <v>153.6</v>
      </c>
      <c r="M98" s="392" t="s">
        <v>708</v>
      </c>
      <c r="N98" s="360" t="s">
        <v>708</v>
      </c>
      <c r="O98" s="360" t="s">
        <v>708</v>
      </c>
      <c r="P98" s="360" t="s">
        <v>707</v>
      </c>
      <c r="Q98" s="380" t="s">
        <v>708</v>
      </c>
      <c r="T98" s="410"/>
    </row>
    <row r="99" spans="1:20" ht="15" customHeight="1" x14ac:dyDescent="0.3">
      <c r="A99" s="379" t="s">
        <v>1128</v>
      </c>
      <c r="B99" s="954" t="s">
        <v>563</v>
      </c>
      <c r="C99" s="954"/>
      <c r="D99" s="954"/>
      <c r="E99" s="954"/>
      <c r="F99" s="154" t="s">
        <v>304</v>
      </c>
      <c r="G99" s="155">
        <v>20</v>
      </c>
      <c r="H99" s="364">
        <f>3.5*1.5/10</f>
        <v>0.52500000000000002</v>
      </c>
      <c r="I99" s="364">
        <v>0</v>
      </c>
      <c r="J99" s="360">
        <f>H99*G99</f>
        <v>10.5</v>
      </c>
      <c r="K99" s="360">
        <f>I99*G99</f>
        <v>0</v>
      </c>
      <c r="L99" s="366">
        <f t="shared" ref="L99" si="31">SUM(J99:K99)</f>
        <v>10.5</v>
      </c>
      <c r="M99" s="392" t="s">
        <v>708</v>
      </c>
      <c r="N99" s="360" t="s">
        <v>708</v>
      </c>
      <c r="O99" s="360" t="s">
        <v>708</v>
      </c>
      <c r="P99" s="360" t="s">
        <v>707</v>
      </c>
      <c r="Q99" s="380" t="s">
        <v>708</v>
      </c>
      <c r="T99" s="410"/>
    </row>
    <row r="100" spans="1:20" ht="15" customHeight="1" x14ac:dyDescent="0.3">
      <c r="A100" s="377" t="s">
        <v>1129</v>
      </c>
      <c r="B100" s="1014" t="s">
        <v>565</v>
      </c>
      <c r="C100" s="1014"/>
      <c r="D100" s="1014"/>
      <c r="E100" s="1014"/>
      <c r="F100" s="160"/>
      <c r="G100" s="161"/>
      <c r="H100" s="161"/>
      <c r="I100" s="161"/>
      <c r="J100" s="161"/>
      <c r="K100" s="161"/>
      <c r="L100" s="541">
        <f>SUM(L101:L103)</f>
        <v>346.03199999999998</v>
      </c>
      <c r="M100" s="391"/>
      <c r="N100" s="372"/>
      <c r="O100" s="372"/>
      <c r="P100" s="372"/>
      <c r="Q100" s="378"/>
      <c r="T100" s="410" t="e">
        <f>L100/L17</f>
        <v>#REF!</v>
      </c>
    </row>
    <row r="101" spans="1:20" ht="15" customHeight="1" x14ac:dyDescent="0.3">
      <c r="A101" s="379" t="s">
        <v>594</v>
      </c>
      <c r="B101" s="954" t="s">
        <v>566</v>
      </c>
      <c r="C101" s="954"/>
      <c r="D101" s="954"/>
      <c r="E101" s="954"/>
      <c r="F101" s="154" t="s">
        <v>304</v>
      </c>
      <c r="G101" s="155">
        <f>3*6</f>
        <v>18</v>
      </c>
      <c r="H101" s="364">
        <f>75.8*1.2/6</f>
        <v>15.159999999999998</v>
      </c>
      <c r="I101" s="364">
        <v>0</v>
      </c>
      <c r="J101" s="360">
        <f>H101*G101</f>
        <v>272.88</v>
      </c>
      <c r="K101" s="360">
        <f>I101*G101</f>
        <v>0</v>
      </c>
      <c r="L101" s="366">
        <f>SUM(J101:K101)</f>
        <v>272.88</v>
      </c>
      <c r="M101" s="392" t="s">
        <v>708</v>
      </c>
      <c r="N101" s="360" t="s">
        <v>708</v>
      </c>
      <c r="O101" s="360" t="s">
        <v>708</v>
      </c>
      <c r="P101" s="360" t="s">
        <v>707</v>
      </c>
      <c r="Q101" s="380" t="s">
        <v>708</v>
      </c>
      <c r="T101" s="410"/>
    </row>
    <row r="102" spans="1:20" ht="15" customHeight="1" x14ac:dyDescent="0.3">
      <c r="A102" s="379" t="s">
        <v>712</v>
      </c>
      <c r="B102" s="954" t="s">
        <v>567</v>
      </c>
      <c r="C102" s="954"/>
      <c r="D102" s="954"/>
      <c r="E102" s="954"/>
      <c r="F102" s="154" t="s">
        <v>304</v>
      </c>
      <c r="G102" s="155">
        <f>4*3</f>
        <v>12</v>
      </c>
      <c r="H102" s="364">
        <f>5.5</f>
        <v>5.5</v>
      </c>
      <c r="I102" s="364">
        <v>0</v>
      </c>
      <c r="J102" s="360">
        <f>H102*G102</f>
        <v>66</v>
      </c>
      <c r="K102" s="360">
        <f>I102*G102</f>
        <v>0</v>
      </c>
      <c r="L102" s="366">
        <f>SUM(J102:K102)</f>
        <v>66</v>
      </c>
      <c r="M102" s="392" t="s">
        <v>708</v>
      </c>
      <c r="N102" s="360" t="s">
        <v>708</v>
      </c>
      <c r="O102" s="360" t="s">
        <v>708</v>
      </c>
      <c r="P102" s="360" t="s">
        <v>707</v>
      </c>
      <c r="Q102" s="380" t="s">
        <v>708</v>
      </c>
      <c r="T102" s="410"/>
    </row>
    <row r="103" spans="1:20" ht="15" customHeight="1" x14ac:dyDescent="0.3">
      <c r="A103" s="379" t="s">
        <v>713</v>
      </c>
      <c r="B103" s="954" t="s">
        <v>568</v>
      </c>
      <c r="C103" s="954"/>
      <c r="D103" s="954"/>
      <c r="E103" s="954"/>
      <c r="F103" s="154" t="s">
        <v>304</v>
      </c>
      <c r="G103" s="155">
        <v>20</v>
      </c>
      <c r="H103" s="364">
        <f>14.9*1.2/50</f>
        <v>0.35759999999999997</v>
      </c>
      <c r="I103" s="364">
        <v>0</v>
      </c>
      <c r="J103" s="360">
        <f>H103*G103</f>
        <v>7.1519999999999992</v>
      </c>
      <c r="K103" s="360">
        <f>I103*G103</f>
        <v>0</v>
      </c>
      <c r="L103" s="366">
        <f t="shared" ref="L103" si="32">SUM(J103:K103)</f>
        <v>7.1519999999999992</v>
      </c>
      <c r="M103" s="392" t="s">
        <v>708</v>
      </c>
      <c r="N103" s="360" t="s">
        <v>708</v>
      </c>
      <c r="O103" s="360" t="s">
        <v>708</v>
      </c>
      <c r="P103" s="360" t="s">
        <v>707</v>
      </c>
      <c r="Q103" s="380" t="s">
        <v>708</v>
      </c>
      <c r="T103" s="410"/>
    </row>
    <row r="104" spans="1:20" ht="15" customHeight="1" x14ac:dyDescent="0.3">
      <c r="A104" s="377" t="s">
        <v>595</v>
      </c>
      <c r="B104" s="1014" t="s">
        <v>307</v>
      </c>
      <c r="C104" s="1014"/>
      <c r="D104" s="1014"/>
      <c r="E104" s="1014"/>
      <c r="F104" s="160"/>
      <c r="G104" s="161"/>
      <c r="H104" s="161"/>
      <c r="I104" s="161"/>
      <c r="J104" s="161"/>
      <c r="K104" s="161"/>
      <c r="L104" s="541">
        <f>SUM(L105)</f>
        <v>1081.5999999999999</v>
      </c>
      <c r="M104" s="391"/>
      <c r="N104" s="372"/>
      <c r="O104" s="372"/>
      <c r="P104" s="372"/>
      <c r="Q104" s="378"/>
      <c r="T104" s="410" t="e">
        <f>L104/L17</f>
        <v>#REF!</v>
      </c>
    </row>
    <row r="105" spans="1:20" ht="15" customHeight="1" x14ac:dyDescent="0.3">
      <c r="A105" s="379" t="s">
        <v>596</v>
      </c>
      <c r="B105" s="954" t="s">
        <v>1079</v>
      </c>
      <c r="C105" s="954"/>
      <c r="D105" s="954"/>
      <c r="E105" s="954"/>
      <c r="F105" s="154" t="s">
        <v>304</v>
      </c>
      <c r="G105" s="155">
        <v>40</v>
      </c>
      <c r="H105" s="364">
        <v>27.04</v>
      </c>
      <c r="I105" s="364">
        <v>0</v>
      </c>
      <c r="J105" s="360">
        <f>H105*G105</f>
        <v>1081.5999999999999</v>
      </c>
      <c r="K105" s="360">
        <f>I105*G105</f>
        <v>0</v>
      </c>
      <c r="L105" s="366">
        <f>SUM(J105:K105)</f>
        <v>1081.5999999999999</v>
      </c>
      <c r="M105" s="392" t="s">
        <v>708</v>
      </c>
      <c r="N105" s="360" t="s">
        <v>708</v>
      </c>
      <c r="O105" s="360" t="s">
        <v>708</v>
      </c>
      <c r="P105" s="360" t="s">
        <v>707</v>
      </c>
      <c r="Q105" s="380" t="s">
        <v>708</v>
      </c>
      <c r="T105" s="410"/>
    </row>
    <row r="106" spans="1:20" ht="15" customHeight="1" x14ac:dyDescent="0.3">
      <c r="A106" s="377" t="s">
        <v>714</v>
      </c>
      <c r="B106" s="1014" t="s">
        <v>309</v>
      </c>
      <c r="C106" s="1014"/>
      <c r="D106" s="1014"/>
      <c r="E106" s="1014"/>
      <c r="F106" s="160"/>
      <c r="G106" s="161"/>
      <c r="H106" s="161"/>
      <c r="I106" s="161"/>
      <c r="J106" s="161"/>
      <c r="K106" s="161"/>
      <c r="L106" s="541">
        <f>SUM(L107)</f>
        <v>673.55600000000004</v>
      </c>
      <c r="M106" s="391"/>
      <c r="N106" s="372"/>
      <c r="O106" s="372"/>
      <c r="P106" s="372"/>
      <c r="Q106" s="378"/>
      <c r="T106" s="410" t="e">
        <f>L106/L17</f>
        <v>#REF!</v>
      </c>
    </row>
    <row r="107" spans="1:20" ht="15" customHeight="1" x14ac:dyDescent="0.3">
      <c r="A107" s="379" t="s">
        <v>715</v>
      </c>
      <c r="B107" s="954" t="s">
        <v>311</v>
      </c>
      <c r="C107" s="954"/>
      <c r="D107" s="954"/>
      <c r="E107" s="954"/>
      <c r="F107" s="154" t="s">
        <v>152</v>
      </c>
      <c r="G107" s="155">
        <v>1</v>
      </c>
      <c r="H107" s="364">
        <f>518.12*1.3</f>
        <v>673.55600000000004</v>
      </c>
      <c r="I107" s="364">
        <v>0</v>
      </c>
      <c r="J107" s="360">
        <f>H107*G107</f>
        <v>673.55600000000004</v>
      </c>
      <c r="K107" s="360">
        <f>I107*G107</f>
        <v>0</v>
      </c>
      <c r="L107" s="366">
        <f>SUM(J107:K107)</f>
        <v>673.55600000000004</v>
      </c>
      <c r="M107" s="392" t="s">
        <v>708</v>
      </c>
      <c r="N107" s="360" t="s">
        <v>708</v>
      </c>
      <c r="O107" s="360" t="s">
        <v>708</v>
      </c>
      <c r="P107" s="360" t="s">
        <v>708</v>
      </c>
      <c r="Q107" s="380" t="s">
        <v>708</v>
      </c>
      <c r="T107" s="410"/>
    </row>
    <row r="108" spans="1:20" ht="15" customHeight="1" x14ac:dyDescent="0.3">
      <c r="A108" s="377" t="s">
        <v>1130</v>
      </c>
      <c r="B108" s="1014" t="s">
        <v>588</v>
      </c>
      <c r="C108" s="1014"/>
      <c r="D108" s="1014"/>
      <c r="E108" s="1014"/>
      <c r="F108" s="160"/>
      <c r="G108" s="161"/>
      <c r="H108" s="161"/>
      <c r="I108" s="161"/>
      <c r="J108" s="161"/>
      <c r="K108" s="161"/>
      <c r="L108" s="541">
        <f>SUM(L109:L115)</f>
        <v>331.61039999999997</v>
      </c>
      <c r="M108" s="391"/>
      <c r="N108" s="372"/>
      <c r="O108" s="372"/>
      <c r="P108" s="372"/>
      <c r="Q108" s="378"/>
      <c r="T108" s="410" t="e">
        <f>L108/L17</f>
        <v>#REF!</v>
      </c>
    </row>
    <row r="109" spans="1:20" ht="15" customHeight="1" x14ac:dyDescent="0.3">
      <c r="A109" s="379" t="s">
        <v>1131</v>
      </c>
      <c r="B109" s="954" t="s">
        <v>313</v>
      </c>
      <c r="C109" s="954"/>
      <c r="D109" s="954"/>
      <c r="E109" s="954"/>
      <c r="F109" s="154" t="s">
        <v>152</v>
      </c>
      <c r="G109" s="155">
        <f>G19</f>
        <v>0</v>
      </c>
      <c r="H109" s="364">
        <v>550</v>
      </c>
      <c r="I109" s="364">
        <v>0</v>
      </c>
      <c r="J109" s="360">
        <f t="shared" ref="J109:J115" si="33">H109*G109</f>
        <v>0</v>
      </c>
      <c r="K109" s="360">
        <f t="shared" ref="K109:K115" si="34">I109*G109</f>
        <v>0</v>
      </c>
      <c r="L109" s="366">
        <f>SUM(J109:K109)</f>
        <v>0</v>
      </c>
      <c r="M109" s="392" t="s">
        <v>708</v>
      </c>
      <c r="N109" s="360" t="s">
        <v>708</v>
      </c>
      <c r="O109" s="360" t="s">
        <v>708</v>
      </c>
      <c r="P109" s="360" t="s">
        <v>708</v>
      </c>
      <c r="Q109" s="380" t="s">
        <v>708</v>
      </c>
      <c r="T109" s="410"/>
    </row>
    <row r="110" spans="1:20" ht="15" customHeight="1" x14ac:dyDescent="0.3">
      <c r="A110" s="379" t="s">
        <v>1132</v>
      </c>
      <c r="B110" s="954" t="s">
        <v>569</v>
      </c>
      <c r="C110" s="954"/>
      <c r="D110" s="954"/>
      <c r="E110" s="954"/>
      <c r="F110" s="154" t="s">
        <v>152</v>
      </c>
      <c r="G110" s="155">
        <f>G20</f>
        <v>0</v>
      </c>
      <c r="H110" s="364">
        <v>300</v>
      </c>
      <c r="I110" s="364">
        <v>0</v>
      </c>
      <c r="J110" s="360">
        <f t="shared" si="33"/>
        <v>0</v>
      </c>
      <c r="K110" s="360">
        <f t="shared" si="34"/>
        <v>0</v>
      </c>
      <c r="L110" s="366">
        <f>SUM(J110:K110)</f>
        <v>0</v>
      </c>
      <c r="M110" s="392" t="s">
        <v>708</v>
      </c>
      <c r="N110" s="360" t="s">
        <v>708</v>
      </c>
      <c r="O110" s="360" t="s">
        <v>708</v>
      </c>
      <c r="P110" s="360" t="s">
        <v>708</v>
      </c>
      <c r="Q110" s="380" t="s">
        <v>708</v>
      </c>
      <c r="T110" s="410"/>
    </row>
    <row r="111" spans="1:20" ht="15" customHeight="1" x14ac:dyDescent="0.3">
      <c r="A111" s="379" t="s">
        <v>1133</v>
      </c>
      <c r="B111" s="954" t="s">
        <v>570</v>
      </c>
      <c r="C111" s="954"/>
      <c r="D111" s="954"/>
      <c r="E111" s="954"/>
      <c r="F111" s="154" t="s">
        <v>152</v>
      </c>
      <c r="G111" s="155">
        <f>G22</f>
        <v>0</v>
      </c>
      <c r="H111" s="364">
        <v>220</v>
      </c>
      <c r="I111" s="364">
        <v>0</v>
      </c>
      <c r="J111" s="360">
        <f t="shared" si="33"/>
        <v>0</v>
      </c>
      <c r="K111" s="360">
        <f t="shared" si="34"/>
        <v>0</v>
      </c>
      <c r="L111" s="366">
        <f t="shared" ref="L111:L112" si="35">SUM(J111:K111)</f>
        <v>0</v>
      </c>
      <c r="M111" s="392" t="s">
        <v>708</v>
      </c>
      <c r="N111" s="360" t="s">
        <v>708</v>
      </c>
      <c r="O111" s="360" t="s">
        <v>708</v>
      </c>
      <c r="P111" s="360" t="s">
        <v>708</v>
      </c>
      <c r="Q111" s="380" t="s">
        <v>708</v>
      </c>
      <c r="T111" s="410"/>
    </row>
    <row r="112" spans="1:20" ht="15" customHeight="1" x14ac:dyDescent="0.3">
      <c r="A112" s="379" t="s">
        <v>1134</v>
      </c>
      <c r="B112" s="954" t="s">
        <v>571</v>
      </c>
      <c r="C112" s="954"/>
      <c r="D112" s="954"/>
      <c r="E112" s="954"/>
      <c r="F112" s="154" t="s">
        <v>152</v>
      </c>
      <c r="G112" s="155">
        <v>5</v>
      </c>
      <c r="H112" s="364">
        <f>3.99*1.2</f>
        <v>4.7880000000000003</v>
      </c>
      <c r="I112" s="364">
        <v>0</v>
      </c>
      <c r="J112" s="360">
        <f t="shared" si="33"/>
        <v>23.94</v>
      </c>
      <c r="K112" s="360">
        <f t="shared" si="34"/>
        <v>0</v>
      </c>
      <c r="L112" s="366">
        <f t="shared" si="35"/>
        <v>23.94</v>
      </c>
      <c r="M112" s="392" t="s">
        <v>708</v>
      </c>
      <c r="N112" s="360" t="s">
        <v>708</v>
      </c>
      <c r="O112" s="360" t="s">
        <v>708</v>
      </c>
      <c r="P112" s="360" t="s">
        <v>708</v>
      </c>
      <c r="Q112" s="380" t="s">
        <v>708</v>
      </c>
      <c r="T112" s="410"/>
    </row>
    <row r="113" spans="1:20" ht="15" customHeight="1" x14ac:dyDescent="0.3">
      <c r="A113" s="379" t="s">
        <v>1135</v>
      </c>
      <c r="B113" s="954" t="s">
        <v>573</v>
      </c>
      <c r="C113" s="954"/>
      <c r="D113" s="954"/>
      <c r="E113" s="954"/>
      <c r="F113" s="154" t="s">
        <v>152</v>
      </c>
      <c r="G113" s="155">
        <f>6*3</f>
        <v>18</v>
      </c>
      <c r="H113" s="364">
        <f>9.99*1.2</f>
        <v>11.988</v>
      </c>
      <c r="I113" s="364">
        <v>0</v>
      </c>
      <c r="J113" s="360">
        <f t="shared" si="33"/>
        <v>215.78399999999999</v>
      </c>
      <c r="K113" s="360">
        <f t="shared" si="34"/>
        <v>0</v>
      </c>
      <c r="L113" s="366">
        <f t="shared" ref="L113:L114" si="36">SUM(J113:K113)</f>
        <v>215.78399999999999</v>
      </c>
      <c r="M113" s="392" t="s">
        <v>708</v>
      </c>
      <c r="N113" s="360" t="s">
        <v>708</v>
      </c>
      <c r="O113" s="360" t="s">
        <v>708</v>
      </c>
      <c r="P113" s="360" t="s">
        <v>708</v>
      </c>
      <c r="Q113" s="380" t="s">
        <v>708</v>
      </c>
      <c r="T113" s="410"/>
    </row>
    <row r="114" spans="1:20" ht="15" customHeight="1" x14ac:dyDescent="0.3">
      <c r="A114" s="379" t="s">
        <v>1136</v>
      </c>
      <c r="B114" s="954" t="s">
        <v>572</v>
      </c>
      <c r="C114" s="954"/>
      <c r="D114" s="954"/>
      <c r="E114" s="954"/>
      <c r="F114" s="154" t="s">
        <v>152</v>
      </c>
      <c r="G114" s="155">
        <f>G113</f>
        <v>18</v>
      </c>
      <c r="H114" s="364">
        <f>25.4*1.2/100</f>
        <v>0.30479999999999996</v>
      </c>
      <c r="I114" s="364">
        <v>0</v>
      </c>
      <c r="J114" s="360">
        <f t="shared" si="33"/>
        <v>5.4863999999999997</v>
      </c>
      <c r="K114" s="360">
        <f t="shared" si="34"/>
        <v>0</v>
      </c>
      <c r="L114" s="366">
        <f t="shared" si="36"/>
        <v>5.4863999999999997</v>
      </c>
      <c r="M114" s="392" t="s">
        <v>708</v>
      </c>
      <c r="N114" s="360" t="s">
        <v>708</v>
      </c>
      <c r="O114" s="360" t="s">
        <v>708</v>
      </c>
      <c r="P114" s="360" t="s">
        <v>708</v>
      </c>
      <c r="Q114" s="380" t="s">
        <v>708</v>
      </c>
      <c r="T114" s="410"/>
    </row>
    <row r="115" spans="1:20" ht="15" customHeight="1" x14ac:dyDescent="0.3">
      <c r="A115" s="379" t="s">
        <v>1137</v>
      </c>
      <c r="B115" s="954" t="s">
        <v>552</v>
      </c>
      <c r="C115" s="954"/>
      <c r="D115" s="954"/>
      <c r="E115" s="954"/>
      <c r="F115" s="154" t="s">
        <v>152</v>
      </c>
      <c r="G115" s="155">
        <f>3*4</f>
        <v>12</v>
      </c>
      <c r="H115" s="364">
        <f>6*1.2</f>
        <v>7.1999999999999993</v>
      </c>
      <c r="I115" s="364">
        <v>0</v>
      </c>
      <c r="J115" s="360">
        <f t="shared" si="33"/>
        <v>86.399999999999991</v>
      </c>
      <c r="K115" s="360">
        <f t="shared" si="34"/>
        <v>0</v>
      </c>
      <c r="L115" s="366">
        <f>SUM(J115:K115)</f>
        <v>86.399999999999991</v>
      </c>
      <c r="M115" s="392" t="s">
        <v>708</v>
      </c>
      <c r="N115" s="360" t="s">
        <v>708</v>
      </c>
      <c r="O115" s="360" t="s">
        <v>708</v>
      </c>
      <c r="P115" s="360" t="s">
        <v>708</v>
      </c>
      <c r="Q115" s="380" t="s">
        <v>708</v>
      </c>
      <c r="T115" s="410"/>
    </row>
    <row r="116" spans="1:20" ht="15" customHeight="1" x14ac:dyDescent="0.3">
      <c r="A116" s="377" t="s">
        <v>1138</v>
      </c>
      <c r="B116" s="1014" t="s">
        <v>589</v>
      </c>
      <c r="C116" s="1014"/>
      <c r="D116" s="1014"/>
      <c r="E116" s="1014"/>
      <c r="F116" s="160"/>
      <c r="G116" s="161"/>
      <c r="H116" s="161"/>
      <c r="I116" s="161"/>
      <c r="J116" s="161"/>
      <c r="K116" s="161"/>
      <c r="L116" s="541">
        <f>SUM(L117)</f>
        <v>2</v>
      </c>
      <c r="M116" s="391"/>
      <c r="N116" s="372"/>
      <c r="O116" s="372"/>
      <c r="P116" s="372"/>
      <c r="Q116" s="378"/>
      <c r="T116" s="410" t="e">
        <f>L116/L17</f>
        <v>#REF!</v>
      </c>
    </row>
    <row r="117" spans="1:20" ht="15" customHeight="1" x14ac:dyDescent="0.3">
      <c r="A117" s="379" t="s">
        <v>1139</v>
      </c>
      <c r="B117" s="954" t="s">
        <v>590</v>
      </c>
      <c r="C117" s="954"/>
      <c r="D117" s="954"/>
      <c r="E117" s="954"/>
      <c r="F117" s="154" t="s">
        <v>152</v>
      </c>
      <c r="G117" s="155">
        <v>1</v>
      </c>
      <c r="H117" s="364">
        <v>0</v>
      </c>
      <c r="I117" s="364">
        <v>2</v>
      </c>
      <c r="J117" s="360">
        <f>H117*G117</f>
        <v>0</v>
      </c>
      <c r="K117" s="360">
        <f>I117*G117</f>
        <v>2</v>
      </c>
      <c r="L117" s="366">
        <f>SUM(J117:K117)</f>
        <v>2</v>
      </c>
      <c r="M117" s="392" t="s">
        <v>507</v>
      </c>
      <c r="N117" s="360" t="s">
        <v>507</v>
      </c>
      <c r="O117" s="360" t="s">
        <v>507</v>
      </c>
      <c r="P117" s="360" t="s">
        <v>507</v>
      </c>
      <c r="Q117" s="380" t="s">
        <v>507</v>
      </c>
      <c r="T117" s="410"/>
    </row>
    <row r="118" spans="1:20" ht="15" customHeight="1" x14ac:dyDescent="0.3">
      <c r="A118" s="377" t="s">
        <v>1140</v>
      </c>
      <c r="B118" s="1014" t="s">
        <v>591</v>
      </c>
      <c r="C118" s="1014"/>
      <c r="D118" s="1014"/>
      <c r="E118" s="1014"/>
      <c r="F118" s="160"/>
      <c r="G118" s="161"/>
      <c r="H118" s="161"/>
      <c r="I118" s="161"/>
      <c r="J118" s="161"/>
      <c r="K118" s="161"/>
      <c r="L118" s="541">
        <f>SUM(L119)</f>
        <v>1400</v>
      </c>
      <c r="M118" s="391"/>
      <c r="N118" s="372"/>
      <c r="O118" s="372"/>
      <c r="P118" s="372"/>
      <c r="Q118" s="378"/>
      <c r="T118" s="410" t="e">
        <f>L118/L17</f>
        <v>#REF!</v>
      </c>
    </row>
    <row r="119" spans="1:20" ht="15" customHeight="1" x14ac:dyDescent="0.3">
      <c r="A119" s="379" t="s">
        <v>1141</v>
      </c>
      <c r="B119" s="954" t="s">
        <v>592</v>
      </c>
      <c r="C119" s="954"/>
      <c r="D119" s="954"/>
      <c r="E119" s="954"/>
      <c r="F119" s="154" t="s">
        <v>593</v>
      </c>
      <c r="G119" s="155">
        <v>1</v>
      </c>
      <c r="H119" s="364">
        <v>0</v>
      </c>
      <c r="I119" s="364">
        <v>1400</v>
      </c>
      <c r="J119" s="360">
        <f>H119*G119</f>
        <v>0</v>
      </c>
      <c r="K119" s="360">
        <f>I119*G119</f>
        <v>1400</v>
      </c>
      <c r="L119" s="366">
        <f>SUM(J119:K119)</f>
        <v>1400</v>
      </c>
      <c r="M119" s="392" t="s">
        <v>507</v>
      </c>
      <c r="N119" s="360" t="s">
        <v>507</v>
      </c>
      <c r="O119" s="360" t="s">
        <v>507</v>
      </c>
      <c r="P119" s="360" t="s">
        <v>507</v>
      </c>
      <c r="Q119" s="380" t="s">
        <v>507</v>
      </c>
      <c r="T119" s="410"/>
    </row>
    <row r="120" spans="1:20" ht="15" customHeight="1" x14ac:dyDescent="0.3">
      <c r="A120" s="377" t="s">
        <v>1142</v>
      </c>
      <c r="B120" s="1014" t="s">
        <v>597</v>
      </c>
      <c r="C120" s="1014"/>
      <c r="D120" s="1014"/>
      <c r="E120" s="1014"/>
      <c r="F120" s="160"/>
      <c r="G120" s="161"/>
      <c r="H120" s="161"/>
      <c r="I120" s="161"/>
      <c r="J120" s="161"/>
      <c r="K120" s="161"/>
      <c r="L120" s="541">
        <f>SUM(L121)</f>
        <v>6130</v>
      </c>
      <c r="M120" s="391"/>
      <c r="N120" s="372"/>
      <c r="O120" s="372"/>
      <c r="P120" s="372"/>
      <c r="Q120" s="378"/>
      <c r="T120" s="410" t="e">
        <f>L120/L17</f>
        <v>#REF!</v>
      </c>
    </row>
    <row r="121" spans="1:20" ht="15" customHeight="1" x14ac:dyDescent="0.3">
      <c r="A121" s="379" t="s">
        <v>1143</v>
      </c>
      <c r="B121" s="954" t="s">
        <v>316</v>
      </c>
      <c r="C121" s="954"/>
      <c r="D121" s="954"/>
      <c r="E121" s="954"/>
      <c r="F121" s="154" t="s">
        <v>152</v>
      </c>
      <c r="G121" s="155">
        <v>1</v>
      </c>
      <c r="H121" s="364">
        <v>0</v>
      </c>
      <c r="I121" s="364">
        <f>6130</f>
        <v>6130</v>
      </c>
      <c r="J121" s="360">
        <f>H121*G121</f>
        <v>0</v>
      </c>
      <c r="K121" s="360">
        <f>I121*G121</f>
        <v>6130</v>
      </c>
      <c r="L121" s="366">
        <f>SUM(J121:K121)</f>
        <v>6130</v>
      </c>
      <c r="M121" s="392" t="s">
        <v>507</v>
      </c>
      <c r="N121" s="360" t="s">
        <v>507</v>
      </c>
      <c r="O121" s="360" t="s">
        <v>507</v>
      </c>
      <c r="P121" s="360" t="s">
        <v>507</v>
      </c>
      <c r="Q121" s="380" t="s">
        <v>507</v>
      </c>
      <c r="R121" s="101"/>
    </row>
    <row r="122" spans="1:20" ht="5.0999999999999996" customHeight="1" x14ac:dyDescent="0.3">
      <c r="A122" s="424"/>
      <c r="B122" s="425"/>
      <c r="C122" s="425"/>
      <c r="D122" s="425"/>
      <c r="E122" s="425"/>
      <c r="F122" s="426"/>
      <c r="G122" s="427"/>
      <c r="H122" s="428"/>
      <c r="I122" s="428"/>
      <c r="J122" s="429"/>
      <c r="K122" s="429"/>
      <c r="L122" s="430"/>
      <c r="M122" s="431"/>
      <c r="N122" s="432"/>
      <c r="O122" s="432"/>
      <c r="P122" s="432"/>
      <c r="Q122" s="433"/>
      <c r="R122" s="101"/>
    </row>
    <row r="123" spans="1:20" ht="15" customHeight="1" thickBot="1" x14ac:dyDescent="0.35">
      <c r="A123" s="1015" t="s">
        <v>781</v>
      </c>
      <c r="B123" s="1016"/>
      <c r="C123" s="1016"/>
      <c r="D123" s="1016"/>
      <c r="E123" s="1016"/>
      <c r="F123" s="1016"/>
      <c r="G123" s="1016"/>
      <c r="H123" s="1016"/>
      <c r="I123" s="1016"/>
      <c r="J123" s="481" t="e">
        <f>SUM(J19:J28,J53:J62,J64:J68,J70:J74,J76:J81,J83:J88,J90:J95,J97:J99,J101:J103,J105,J107,J109:J115,J117,J119,J121)</f>
        <v>#REF!</v>
      </c>
      <c r="K123" s="481" t="e">
        <f>SUM(K19:K28,K53:K62,K64:K68,K70:K74,K76:K81,K83:K88,K90:K95,K97:K99,K101:K103,K105,K107,K109:K115,K117,K117:K119,K121)</f>
        <v>#REF!</v>
      </c>
      <c r="L123" s="482" t="e">
        <f t="shared" ref="L123" si="37">SUM(J123:K123)</f>
        <v>#REF!</v>
      </c>
      <c r="M123" s="1001"/>
      <c r="N123" s="1002"/>
      <c r="O123" s="1002"/>
      <c r="P123" s="1002"/>
      <c r="Q123" s="1003"/>
      <c r="R123" s="101"/>
    </row>
    <row r="124" spans="1:20" ht="15" customHeight="1" x14ac:dyDescent="0.3">
      <c r="A124" s="1004" t="s">
        <v>782</v>
      </c>
      <c r="B124" s="1005"/>
      <c r="C124" s="1005"/>
      <c r="D124" s="1005"/>
      <c r="E124" s="1005"/>
      <c r="F124" s="1005"/>
      <c r="G124" s="1005"/>
      <c r="H124" s="1005"/>
      <c r="I124" s="1005"/>
      <c r="J124" s="483" t="s">
        <v>787</v>
      </c>
      <c r="K124" s="484" t="e">
        <f>L124/L126</f>
        <v>#REF!</v>
      </c>
      <c r="L124" s="485" t="e">
        <f>L126-L125-L123</f>
        <v>#REF!</v>
      </c>
      <c r="M124" s="1006" t="s">
        <v>788</v>
      </c>
      <c r="N124" s="1007"/>
      <c r="O124" s="1007"/>
      <c r="P124" s="1007"/>
      <c r="Q124" s="1008"/>
      <c r="R124" s="101"/>
    </row>
    <row r="125" spans="1:20" ht="15" customHeight="1" x14ac:dyDescent="0.3">
      <c r="A125" s="1009" t="s">
        <v>785</v>
      </c>
      <c r="B125" s="1010"/>
      <c r="C125" s="1010"/>
      <c r="D125" s="1010"/>
      <c r="E125" s="1010"/>
      <c r="F125" s="1010"/>
      <c r="G125" s="1010"/>
      <c r="H125" s="1010"/>
      <c r="I125" s="1010"/>
      <c r="J125" s="162" t="s">
        <v>786</v>
      </c>
      <c r="K125" s="414">
        <v>0.18</v>
      </c>
      <c r="L125" s="452" t="e">
        <f>L126*K125</f>
        <v>#REF!</v>
      </c>
      <c r="M125" s="1006"/>
      <c r="N125" s="1007"/>
      <c r="O125" s="1007"/>
      <c r="P125" s="1007"/>
      <c r="Q125" s="1008"/>
      <c r="R125" s="101"/>
    </row>
    <row r="126" spans="1:20" ht="16.8" x14ac:dyDescent="0.3">
      <c r="A126" s="1009" t="s">
        <v>783</v>
      </c>
      <c r="B126" s="1010"/>
      <c r="C126" s="1010"/>
      <c r="D126" s="1010"/>
      <c r="E126" s="1010"/>
      <c r="F126" s="1010"/>
      <c r="G126" s="1010"/>
      <c r="H126" s="1010"/>
      <c r="I126" s="1010"/>
      <c r="J126" s="162" t="s">
        <v>784</v>
      </c>
      <c r="K126" s="414">
        <v>0.35</v>
      </c>
      <c r="L126" s="452" t="e">
        <f>L123*(K126+1)</f>
        <v>#REF!</v>
      </c>
      <c r="M126" s="1006"/>
      <c r="N126" s="1007"/>
      <c r="O126" s="1007"/>
      <c r="P126" s="1007"/>
      <c r="Q126" s="1008"/>
    </row>
    <row r="127" spans="1:20" ht="5.0999999999999996" customHeight="1" x14ac:dyDescent="0.3">
      <c r="A127" s="415"/>
      <c r="B127" s="416"/>
      <c r="C127" s="416"/>
      <c r="D127" s="416"/>
      <c r="E127" s="416"/>
      <c r="F127" s="416"/>
      <c r="G127" s="416"/>
      <c r="H127" s="416"/>
      <c r="I127" s="416"/>
      <c r="J127" s="417"/>
      <c r="K127" s="418"/>
      <c r="L127" s="419"/>
      <c r="M127" s="421"/>
      <c r="N127" s="422"/>
      <c r="O127" s="422"/>
      <c r="P127" s="422"/>
      <c r="Q127" s="423"/>
    </row>
    <row r="128" spans="1:20" ht="16.8" x14ac:dyDescent="0.3">
      <c r="A128" s="1009" t="s">
        <v>790</v>
      </c>
      <c r="B128" s="1010"/>
      <c r="C128" s="1010"/>
      <c r="D128" s="1010"/>
      <c r="E128" s="1010"/>
      <c r="F128" s="1010"/>
      <c r="G128" s="1010"/>
      <c r="H128" s="1010"/>
      <c r="I128" s="1010"/>
      <c r="J128" s="162" t="s">
        <v>7</v>
      </c>
      <c r="K128" s="420" t="s">
        <v>7</v>
      </c>
      <c r="L128" s="386" t="e">
        <f>L123-J18</f>
        <v>#REF!</v>
      </c>
      <c r="M128" s="1011" t="s">
        <v>791</v>
      </c>
      <c r="N128" s="1012"/>
      <c r="O128" s="1012"/>
      <c r="P128" s="1012"/>
      <c r="Q128" s="1013"/>
    </row>
    <row r="129" spans="1:54" ht="16.8" x14ac:dyDescent="0.3">
      <c r="A129" s="1009" t="s">
        <v>782</v>
      </c>
      <c r="B129" s="1010"/>
      <c r="C129" s="1010"/>
      <c r="D129" s="1010"/>
      <c r="E129" s="1010"/>
      <c r="F129" s="1010"/>
      <c r="G129" s="1010"/>
      <c r="H129" s="1010"/>
      <c r="I129" s="1010"/>
      <c r="J129" s="162" t="s">
        <v>787</v>
      </c>
      <c r="K129" s="414" t="e">
        <f>L129/L131</f>
        <v>#REF!</v>
      </c>
      <c r="L129" s="452" t="e">
        <f>L131-L130-L128</f>
        <v>#REF!</v>
      </c>
      <c r="M129" s="1006"/>
      <c r="N129" s="1007"/>
      <c r="O129" s="1007"/>
      <c r="P129" s="1007"/>
      <c r="Q129" s="1008"/>
    </row>
    <row r="130" spans="1:54" ht="16.5" customHeight="1" x14ac:dyDescent="0.3">
      <c r="A130" s="1009" t="s">
        <v>785</v>
      </c>
      <c r="B130" s="1010"/>
      <c r="C130" s="1010"/>
      <c r="D130" s="1010"/>
      <c r="E130" s="1010"/>
      <c r="F130" s="1010"/>
      <c r="G130" s="1010"/>
      <c r="H130" s="1010"/>
      <c r="I130" s="1010"/>
      <c r="J130" s="162" t="s">
        <v>786</v>
      </c>
      <c r="K130" s="414">
        <v>0.18</v>
      </c>
      <c r="L130" s="452" t="e">
        <f>L131*K130</f>
        <v>#REF!</v>
      </c>
      <c r="M130" s="1006"/>
      <c r="N130" s="1007"/>
      <c r="O130" s="1007"/>
      <c r="P130" s="1007"/>
      <c r="Q130" s="1008"/>
    </row>
    <row r="131" spans="1:54" ht="16.8" x14ac:dyDescent="0.3">
      <c r="A131" s="1009" t="s">
        <v>789</v>
      </c>
      <c r="B131" s="1010"/>
      <c r="C131" s="1010"/>
      <c r="D131" s="1010"/>
      <c r="E131" s="1010"/>
      <c r="F131" s="1010"/>
      <c r="G131" s="1010"/>
      <c r="H131" s="1010"/>
      <c r="I131" s="1010"/>
      <c r="J131" s="162" t="s">
        <v>784</v>
      </c>
      <c r="K131" s="414">
        <v>0.35</v>
      </c>
      <c r="L131" s="452" t="e">
        <f>L128*(K131+1)</f>
        <v>#REF!</v>
      </c>
      <c r="M131" s="1006"/>
      <c r="N131" s="1007"/>
      <c r="O131" s="1007"/>
      <c r="P131" s="1007"/>
      <c r="Q131" s="1008"/>
    </row>
    <row r="132" spans="1:54" ht="5.0999999999999996" customHeight="1" thickBot="1" x14ac:dyDescent="0.35">
      <c r="A132" s="381"/>
      <c r="B132" s="382"/>
      <c r="C132" s="382"/>
      <c r="D132" s="382"/>
      <c r="E132" s="382"/>
      <c r="F132" s="382"/>
      <c r="G132" s="382"/>
      <c r="H132" s="382"/>
      <c r="I132" s="382"/>
      <c r="J132" s="383"/>
      <c r="K132" s="383"/>
      <c r="L132" s="383"/>
      <c r="M132" s="393"/>
      <c r="N132" s="383"/>
      <c r="O132" s="383"/>
      <c r="P132" s="383"/>
      <c r="Q132" s="384"/>
    </row>
    <row r="133" spans="1:54" ht="15.75" customHeight="1" thickBot="1" x14ac:dyDescent="0.35">
      <c r="A133" s="163"/>
      <c r="B133" s="164"/>
      <c r="C133" s="164"/>
      <c r="D133" s="164"/>
      <c r="E133" s="164"/>
      <c r="F133" s="163"/>
      <c r="G133" s="165"/>
      <c r="H133" s="165"/>
      <c r="I133" s="165"/>
      <c r="J133" s="165"/>
      <c r="K133" s="165"/>
      <c r="L133" s="166"/>
      <c r="M133" s="166"/>
      <c r="N133" s="166"/>
      <c r="O133" s="166"/>
      <c r="P133" s="166"/>
      <c r="Q133" s="166"/>
    </row>
    <row r="134" spans="1:54" hidden="1" x14ac:dyDescent="0.3">
      <c r="A134" s="163"/>
      <c r="B134" s="164"/>
      <c r="C134" s="164"/>
      <c r="D134" s="164"/>
      <c r="E134" s="164"/>
      <c r="F134" s="163"/>
      <c r="G134" s="165"/>
      <c r="H134" s="165"/>
      <c r="I134" s="165"/>
      <c r="J134" s="165"/>
      <c r="K134" s="165"/>
      <c r="L134" s="166"/>
      <c r="M134" s="166"/>
      <c r="N134" s="166"/>
      <c r="O134" s="166"/>
      <c r="P134" s="166"/>
      <c r="Q134" s="166"/>
      <c r="S134" s="206"/>
      <c r="T134" s="207"/>
      <c r="U134" s="207"/>
      <c r="V134" s="207"/>
      <c r="W134" s="207"/>
      <c r="X134" s="207"/>
      <c r="Y134" s="207"/>
      <c r="Z134" s="207"/>
      <c r="AA134" s="207"/>
      <c r="AB134" s="207"/>
      <c r="AC134" s="207"/>
      <c r="AD134" s="207"/>
      <c r="AE134" s="207"/>
      <c r="AF134" s="207"/>
      <c r="AG134" s="207"/>
      <c r="AH134" s="207"/>
      <c r="AI134" s="207"/>
      <c r="AJ134" s="207"/>
      <c r="AK134" s="207"/>
      <c r="AL134" s="207"/>
      <c r="AM134" s="207"/>
      <c r="AN134" s="207"/>
      <c r="AO134" s="207"/>
      <c r="AP134" s="208"/>
    </row>
    <row r="135" spans="1:54" ht="15" hidden="1" thickBot="1" x14ac:dyDescent="0.35">
      <c r="A135" s="163"/>
      <c r="B135" s="164"/>
      <c r="C135" s="164"/>
      <c r="D135" s="164"/>
      <c r="E135" s="164"/>
      <c r="F135" s="163"/>
      <c r="G135" s="165"/>
      <c r="H135" s="165"/>
      <c r="I135" s="165"/>
      <c r="J135" s="165"/>
      <c r="K135" s="165"/>
      <c r="L135" s="166"/>
      <c r="M135" s="166"/>
      <c r="N135" s="166"/>
      <c r="O135" s="166"/>
      <c r="P135" s="166"/>
      <c r="Q135" s="166"/>
      <c r="S135" s="121"/>
      <c r="AP135" s="108"/>
      <c r="AS135" t="s">
        <v>379</v>
      </c>
      <c r="AT135" t="s">
        <v>382</v>
      </c>
    </row>
    <row r="136" spans="1:54" hidden="1" x14ac:dyDescent="0.3">
      <c r="A136" s="167"/>
      <c r="B136" s="168"/>
      <c r="C136" s="168"/>
      <c r="D136" s="168"/>
      <c r="E136" s="168"/>
      <c r="F136" s="167"/>
      <c r="G136" s="169"/>
      <c r="H136" s="170"/>
      <c r="I136" s="170"/>
      <c r="J136" s="171"/>
      <c r="K136" s="171"/>
      <c r="L136" s="171"/>
      <c r="M136" s="171"/>
      <c r="N136" s="171"/>
      <c r="O136" s="171"/>
      <c r="P136" s="171"/>
      <c r="Q136" s="171"/>
      <c r="S136" s="121"/>
      <c r="T136" s="995" t="s">
        <v>253</v>
      </c>
      <c r="U136" s="996"/>
      <c r="V136" s="996"/>
      <c r="W136" s="996"/>
      <c r="X136" s="996"/>
      <c r="Y136" s="996"/>
      <c r="Z136" s="996"/>
      <c r="AA136" s="996"/>
      <c r="AB136" s="996"/>
      <c r="AC136" s="7"/>
      <c r="AD136" s="7"/>
      <c r="AE136" s="997" t="s">
        <v>259</v>
      </c>
      <c r="AF136" s="985"/>
      <c r="AG136" s="985"/>
      <c r="AH136" s="985"/>
      <c r="AI136" s="985"/>
      <c r="AJ136" s="986"/>
      <c r="AK136" s="7"/>
      <c r="AL136" s="7"/>
      <c r="AM136" s="997" t="s">
        <v>368</v>
      </c>
      <c r="AN136" s="985"/>
      <c r="AO136" s="986"/>
      <c r="AP136" s="108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</row>
    <row r="137" spans="1:54" ht="15.75" hidden="1" customHeight="1" thickBot="1" x14ac:dyDescent="0.35">
      <c r="A137" s="167"/>
      <c r="B137" s="168"/>
      <c r="C137" s="168"/>
      <c r="D137" s="168"/>
      <c r="E137" s="168"/>
      <c r="F137" s="167"/>
      <c r="G137" s="169"/>
      <c r="H137" s="170"/>
      <c r="I137" s="170"/>
      <c r="J137" s="171"/>
      <c r="K137" s="171"/>
      <c r="L137" s="171"/>
      <c r="M137" s="171"/>
      <c r="N137" s="171"/>
      <c r="O137" s="171"/>
      <c r="P137" s="171"/>
      <c r="Q137" s="171"/>
      <c r="S137" s="121"/>
      <c r="T137" s="187" t="s">
        <v>256</v>
      </c>
      <c r="U137" s="111" t="s">
        <v>200</v>
      </c>
      <c r="V137" s="187" t="s">
        <v>199</v>
      </c>
      <c r="W137" s="187" t="s">
        <v>251</v>
      </c>
      <c r="X137" s="187" t="s">
        <v>257</v>
      </c>
      <c r="Y137" s="187" t="s">
        <v>258</v>
      </c>
      <c r="Z137" s="187" t="s">
        <v>250</v>
      </c>
      <c r="AA137" s="187" t="s">
        <v>255</v>
      </c>
      <c r="AB137" s="187" t="s">
        <v>201</v>
      </c>
      <c r="AC137" s="3"/>
      <c r="AD137" s="3"/>
      <c r="AE137" s="998"/>
      <c r="AF137" s="999"/>
      <c r="AG137" s="999"/>
      <c r="AH137" s="999"/>
      <c r="AI137" s="999"/>
      <c r="AJ137" s="1000"/>
      <c r="AK137" s="7"/>
      <c r="AL137" s="3"/>
      <c r="AM137" s="998"/>
      <c r="AN137" s="999"/>
      <c r="AO137" s="1000"/>
      <c r="AP137" s="108"/>
      <c r="AQ137" s="3"/>
      <c r="AR137" s="6"/>
      <c r="AS137" s="210">
        <v>0.5</v>
      </c>
      <c r="AT137" s="3">
        <v>0.39200000000000002</v>
      </c>
      <c r="AU137" s="3"/>
      <c r="AV137" s="3"/>
      <c r="AW137" s="3"/>
      <c r="AX137" s="3"/>
      <c r="AY137" s="3"/>
      <c r="AZ137" s="3"/>
      <c r="BA137" s="3"/>
      <c r="BB137" s="3"/>
    </row>
    <row r="138" spans="1:54" ht="15.75" hidden="1" customHeight="1" thickBot="1" x14ac:dyDescent="0.35">
      <c r="A138" s="163"/>
      <c r="B138" s="172"/>
      <c r="C138" s="172"/>
      <c r="D138" s="172"/>
      <c r="E138" s="172"/>
      <c r="F138" s="163"/>
      <c r="G138" s="165"/>
      <c r="H138" s="165"/>
      <c r="I138" s="165"/>
      <c r="J138" s="165"/>
      <c r="K138" s="165"/>
      <c r="L138" s="166"/>
      <c r="M138" s="166"/>
      <c r="N138" s="166"/>
      <c r="O138" s="166"/>
      <c r="P138" s="166"/>
      <c r="Q138" s="166"/>
      <c r="S138" s="121"/>
      <c r="T138" s="187" t="e">
        <f>VLOOKUP(#REF!,T184:U196,2,)</f>
        <v>#REF!</v>
      </c>
      <c r="U138" s="187" t="e">
        <f>VLOOKUP(#REF!,T184:AN196,AJ138,)</f>
        <v>#REF!</v>
      </c>
      <c r="V138" s="187" t="e">
        <f>VLOOKUP(#REF!,T184:AN196,AJ145,)</f>
        <v>#REF!</v>
      </c>
      <c r="W138" s="187" t="e">
        <f>VLOOKUP(#REF!,T184:AN196,AJ151,)</f>
        <v>#REF!</v>
      </c>
      <c r="X138" s="187" t="e">
        <f>VLOOKUP(#REF!,T184:AN196,AJ155,)</f>
        <v>#REF!</v>
      </c>
      <c r="Y138" s="187" t="e">
        <f>VLOOKUP(#REF!,T184:AN196,AJ159,)</f>
        <v>#REF!</v>
      </c>
      <c r="Z138" s="187" t="e">
        <f>VLOOKUP(#REF!,T184:AN196,AJ164,)</f>
        <v>#REF!</v>
      </c>
      <c r="AA138" s="187"/>
      <c r="AB138" s="187" t="e">
        <f>SUM(T138:Z138)</f>
        <v>#REF!</v>
      </c>
      <c r="AC138" s="3"/>
      <c r="AD138" s="3"/>
      <c r="AE138" s="993" t="s">
        <v>260</v>
      </c>
      <c r="AF138" s="994"/>
      <c r="AG138" s="994"/>
      <c r="AH138" s="149"/>
      <c r="AI138" s="149"/>
      <c r="AJ138" s="150" t="e">
        <f>VLOOKUP(#REF!,AE139:AH143,4,)</f>
        <v>#REF!</v>
      </c>
      <c r="AL138" s="3"/>
      <c r="AM138" s="993"/>
      <c r="AN138" s="994"/>
      <c r="AO138" s="150"/>
      <c r="AP138" s="108"/>
      <c r="AQ138" s="3"/>
      <c r="AR138" s="3"/>
      <c r="AS138" s="210">
        <v>0.75</v>
      </c>
      <c r="AT138" s="3">
        <v>0.64400000000000002</v>
      </c>
      <c r="AU138" s="3"/>
      <c r="AV138" s="3"/>
      <c r="AW138" s="3"/>
      <c r="AX138" s="3"/>
      <c r="AY138" s="3"/>
      <c r="AZ138" s="3"/>
      <c r="BA138" s="3"/>
      <c r="BB138" s="3"/>
    </row>
    <row r="139" spans="1:54" ht="15.75" hidden="1" customHeight="1" x14ac:dyDescent="0.3">
      <c r="A139" s="167"/>
      <c r="B139" s="168"/>
      <c r="C139" s="168"/>
      <c r="D139" s="168"/>
      <c r="E139" s="168"/>
      <c r="F139" s="167"/>
      <c r="G139" s="169"/>
      <c r="H139" s="170"/>
      <c r="I139" s="170"/>
      <c r="J139" s="171"/>
      <c r="K139" s="171"/>
      <c r="L139" s="171"/>
      <c r="M139" s="171"/>
      <c r="N139" s="171"/>
      <c r="O139" s="171"/>
      <c r="P139" s="171"/>
      <c r="Q139" s="171"/>
      <c r="S139" s="121"/>
      <c r="AE139" s="121" t="s">
        <v>283</v>
      </c>
      <c r="AH139">
        <v>3</v>
      </c>
      <c r="AI139" s="6"/>
      <c r="AJ139" s="125"/>
      <c r="AK139" s="6"/>
      <c r="AM139" s="121" t="s">
        <v>157</v>
      </c>
      <c r="AO139" s="196" t="e">
        <f>AB138</f>
        <v>#REF!</v>
      </c>
      <c r="AP139" s="108"/>
      <c r="AS139" s="210">
        <v>1</v>
      </c>
      <c r="AT139" s="3">
        <v>1</v>
      </c>
    </row>
    <row r="140" spans="1:54" ht="15.75" hidden="1" customHeight="1" x14ac:dyDescent="0.3">
      <c r="A140" s="163"/>
      <c r="B140" s="172"/>
      <c r="C140" s="172"/>
      <c r="D140" s="172"/>
      <c r="E140" s="172"/>
      <c r="F140" s="163"/>
      <c r="G140" s="165"/>
      <c r="H140" s="165"/>
      <c r="I140" s="165"/>
      <c r="J140" s="165"/>
      <c r="K140" s="165"/>
      <c r="L140" s="166"/>
      <c r="M140" s="166"/>
      <c r="N140" s="166"/>
      <c r="O140" s="166"/>
      <c r="P140" s="166"/>
      <c r="Q140" s="166"/>
      <c r="S140" s="121"/>
      <c r="T140" s="995" t="s">
        <v>365</v>
      </c>
      <c r="U140" s="996"/>
      <c r="V140" s="996"/>
      <c r="W140" s="996"/>
      <c r="X140" s="996"/>
      <c r="Y140" s="996"/>
      <c r="Z140" s="996"/>
      <c r="AA140" s="996"/>
      <c r="AB140" s="996"/>
      <c r="AC140" s="7"/>
      <c r="AD140" s="7"/>
      <c r="AE140" s="121" t="s">
        <v>284</v>
      </c>
      <c r="AH140">
        <v>4</v>
      </c>
      <c r="AJ140" s="108"/>
      <c r="AL140" s="7"/>
      <c r="AM140" s="121" t="s">
        <v>177</v>
      </c>
      <c r="AO140" s="197" t="e">
        <f>AB142</f>
        <v>#REF!</v>
      </c>
      <c r="AP140" s="108"/>
      <c r="AQ140" s="7"/>
      <c r="AR140" s="7"/>
      <c r="AS140" s="210" t="s">
        <v>380</v>
      </c>
      <c r="AT140" s="3">
        <v>1.3180000000000001</v>
      </c>
      <c r="AU140" s="7"/>
      <c r="AV140" s="7"/>
      <c r="AW140" s="7"/>
      <c r="AX140" s="7"/>
      <c r="AY140" s="7"/>
      <c r="AZ140" s="7"/>
      <c r="BA140" s="7"/>
      <c r="BB140" s="7"/>
    </row>
    <row r="141" spans="1:54" ht="15.75" hidden="1" customHeight="1" x14ac:dyDescent="0.3">
      <c r="A141" s="167"/>
      <c r="B141" s="168"/>
      <c r="C141" s="168"/>
      <c r="D141" s="168"/>
      <c r="E141" s="168"/>
      <c r="F141" s="167"/>
      <c r="G141" s="169"/>
      <c r="H141" s="170"/>
      <c r="I141" s="170"/>
      <c r="J141" s="171"/>
      <c r="K141" s="171"/>
      <c r="L141" s="171"/>
      <c r="M141" s="171"/>
      <c r="N141" s="171"/>
      <c r="O141" s="171"/>
      <c r="P141" s="171"/>
      <c r="Q141" s="171"/>
      <c r="S141" s="121"/>
      <c r="T141" s="187" t="s">
        <v>256</v>
      </c>
      <c r="U141" s="111" t="s">
        <v>200</v>
      </c>
      <c r="V141" s="187" t="s">
        <v>199</v>
      </c>
      <c r="W141" s="187" t="s">
        <v>367</v>
      </c>
      <c r="X141" s="187" t="s">
        <v>257</v>
      </c>
      <c r="Y141" s="187" t="s">
        <v>258</v>
      </c>
      <c r="Z141" s="187" t="s">
        <v>250</v>
      </c>
      <c r="AA141" s="187" t="s">
        <v>255</v>
      </c>
      <c r="AB141" s="187" t="s">
        <v>201</v>
      </c>
      <c r="AC141" s="3"/>
      <c r="AD141" s="3"/>
      <c r="AE141" s="121" t="s">
        <v>285</v>
      </c>
      <c r="AH141">
        <v>5</v>
      </c>
      <c r="AJ141" s="108"/>
      <c r="AL141" s="3"/>
      <c r="AM141" s="121" t="s">
        <v>158</v>
      </c>
      <c r="AO141" s="108"/>
      <c r="AP141" s="108"/>
      <c r="AQ141" s="3"/>
      <c r="AR141" s="6"/>
      <c r="AS141" s="210" t="s">
        <v>381</v>
      </c>
      <c r="AT141" s="3">
        <v>1.593</v>
      </c>
      <c r="AU141" s="3"/>
      <c r="AV141" s="3"/>
      <c r="AW141" s="3"/>
      <c r="AX141" s="3"/>
      <c r="AY141" s="3"/>
      <c r="AZ141" s="3"/>
      <c r="BA141" s="3"/>
      <c r="BB141" s="3"/>
    </row>
    <row r="142" spans="1:54" ht="15.75" hidden="1" customHeight="1" thickBot="1" x14ac:dyDescent="0.35">
      <c r="A142" s="163"/>
      <c r="B142" s="172"/>
      <c r="C142" s="172"/>
      <c r="D142" s="172"/>
      <c r="E142" s="172"/>
      <c r="F142" s="163"/>
      <c r="G142" s="165"/>
      <c r="H142" s="165"/>
      <c r="I142" s="165"/>
      <c r="J142" s="165"/>
      <c r="K142" s="165"/>
      <c r="L142" s="166"/>
      <c r="M142" s="166"/>
      <c r="N142" s="166"/>
      <c r="O142" s="166"/>
      <c r="P142" s="166"/>
      <c r="Q142" s="166"/>
      <c r="S142" s="121"/>
      <c r="T142" s="187" t="e">
        <f>VLOOKUP(#REF!,T220:AL232,2,)</f>
        <v>#REF!</v>
      </c>
      <c r="U142" s="187" t="e">
        <f>VLOOKUP(#REF!,T220:AL232,7,)</f>
        <v>#REF!</v>
      </c>
      <c r="V142" s="187" t="e">
        <f>VLOOKUP(#REF!,T220:AL232,8,)</f>
        <v>#REF!</v>
      </c>
      <c r="W142" s="187" t="e">
        <f>VLOOKUP(#REF!,T220:AL232,17,)</f>
        <v>#REF!</v>
      </c>
      <c r="X142" s="187" t="e">
        <f>VLOOKUP(#REF!,T220:AL232,14,)</f>
        <v>#REF!</v>
      </c>
      <c r="Y142" s="187" t="e">
        <f>VLOOKUP(#REF!,T220:AL232,16,)</f>
        <v>#REF!</v>
      </c>
      <c r="Z142" s="187" t="e">
        <f>VLOOKUP(#REF!,T220:AL232,19,)</f>
        <v>#REF!</v>
      </c>
      <c r="AA142" s="187"/>
      <c r="AB142" s="187" t="e">
        <f>SUM(T142:AA142)</f>
        <v>#REF!</v>
      </c>
      <c r="AC142" s="3"/>
      <c r="AD142" s="3"/>
      <c r="AE142" s="121" t="s">
        <v>286</v>
      </c>
      <c r="AH142">
        <v>6</v>
      </c>
      <c r="AJ142" s="108"/>
      <c r="AL142" s="3"/>
      <c r="AM142" s="122" t="s">
        <v>268</v>
      </c>
      <c r="AN142" s="109"/>
      <c r="AO142" s="123"/>
      <c r="AP142" s="108"/>
      <c r="AQ142" s="3"/>
      <c r="AR142" s="3"/>
      <c r="AS142" s="210">
        <v>2</v>
      </c>
      <c r="AT142" s="3">
        <v>2.206</v>
      </c>
      <c r="AU142" s="3"/>
      <c r="AV142" s="3"/>
      <c r="AW142" s="3"/>
      <c r="AX142" s="3"/>
      <c r="AY142" s="3"/>
      <c r="AZ142" s="3"/>
      <c r="BA142" s="3"/>
      <c r="BB142" s="3"/>
    </row>
    <row r="143" spans="1:54" ht="15.75" hidden="1" customHeight="1" thickBot="1" x14ac:dyDescent="0.35">
      <c r="A143" s="167"/>
      <c r="B143" s="168"/>
      <c r="C143" s="168"/>
      <c r="D143" s="168"/>
      <c r="E143" s="168"/>
      <c r="F143" s="167"/>
      <c r="G143" s="169"/>
      <c r="H143" s="170"/>
      <c r="I143" s="170"/>
      <c r="J143" s="171"/>
      <c r="K143" s="171"/>
      <c r="L143" s="171"/>
      <c r="M143" s="171"/>
      <c r="N143" s="171"/>
      <c r="O143" s="171"/>
      <c r="P143" s="171"/>
      <c r="Q143" s="171"/>
      <c r="S143" s="121"/>
      <c r="T143" s="105"/>
      <c r="U143" s="105"/>
      <c r="V143" s="105"/>
      <c r="W143" s="105"/>
      <c r="X143" s="105"/>
      <c r="Y143" s="105"/>
      <c r="Z143" s="105"/>
      <c r="AA143" s="105"/>
      <c r="AB143" s="105"/>
      <c r="AE143" s="122" t="s">
        <v>287</v>
      </c>
      <c r="AF143" s="109"/>
      <c r="AG143" s="109"/>
      <c r="AH143" s="109">
        <v>7</v>
      </c>
      <c r="AI143" s="109"/>
      <c r="AJ143" s="123"/>
      <c r="AP143" s="108"/>
      <c r="AS143" s="211"/>
    </row>
    <row r="144" spans="1:54" ht="15.75" hidden="1" customHeight="1" thickBot="1" x14ac:dyDescent="0.35">
      <c r="A144" s="167"/>
      <c r="B144" s="168"/>
      <c r="C144" s="168"/>
      <c r="D144" s="168"/>
      <c r="E144" s="168"/>
      <c r="F144" s="167"/>
      <c r="G144" s="169"/>
      <c r="H144" s="170"/>
      <c r="I144" s="170"/>
      <c r="J144" s="171"/>
      <c r="K144" s="171"/>
      <c r="L144" s="171"/>
      <c r="M144" s="171"/>
      <c r="N144" s="171"/>
      <c r="O144" s="171"/>
      <c r="P144" s="171"/>
      <c r="Q144" s="171"/>
      <c r="S144" s="121"/>
      <c r="T144" s="989" t="s">
        <v>374</v>
      </c>
      <c r="U144" s="990"/>
      <c r="V144" s="990"/>
      <c r="W144" s="990"/>
      <c r="X144" s="990"/>
      <c r="Y144" s="990"/>
      <c r="Z144" s="990"/>
      <c r="AA144" s="990"/>
      <c r="AB144" s="990"/>
      <c r="AC144" s="7"/>
      <c r="AD144" s="7"/>
      <c r="AE144" s="127"/>
      <c r="AF144" s="128"/>
      <c r="AG144" s="128"/>
      <c r="AH144" s="128"/>
      <c r="AI144" s="128"/>
      <c r="AJ144" s="129"/>
      <c r="AP144" s="108"/>
      <c r="AQ144" s="7"/>
      <c r="AR144" s="7"/>
      <c r="AS144" s="63"/>
      <c r="AT144" s="7"/>
      <c r="AU144" s="7"/>
      <c r="AV144" s="7"/>
      <c r="AW144" s="7"/>
      <c r="AX144" s="7"/>
      <c r="AY144" s="7"/>
      <c r="AZ144" s="7"/>
      <c r="BA144" s="7"/>
      <c r="BB144" s="7"/>
    </row>
    <row r="145" spans="1:54" ht="15.75" hidden="1" customHeight="1" thickBot="1" x14ac:dyDescent="0.35">
      <c r="A145" s="163"/>
      <c r="B145" s="172"/>
      <c r="C145" s="172"/>
      <c r="D145" s="172"/>
      <c r="E145" s="172"/>
      <c r="F145" s="163"/>
      <c r="G145" s="165"/>
      <c r="H145" s="165"/>
      <c r="I145" s="165"/>
      <c r="J145" s="165"/>
      <c r="K145" s="165"/>
      <c r="L145" s="166"/>
      <c r="M145" s="166"/>
      <c r="N145" s="166"/>
      <c r="O145" s="166"/>
      <c r="P145" s="166"/>
      <c r="Q145" s="166"/>
      <c r="S145" s="121"/>
      <c r="T145" s="203" t="s">
        <v>256</v>
      </c>
      <c r="U145" s="204" t="s">
        <v>200</v>
      </c>
      <c r="V145" s="203" t="s">
        <v>199</v>
      </c>
      <c r="W145" s="203" t="s">
        <v>376</v>
      </c>
      <c r="X145" s="203" t="s">
        <v>257</v>
      </c>
      <c r="Y145" s="203" t="s">
        <v>258</v>
      </c>
      <c r="Z145" s="203" t="s">
        <v>250</v>
      </c>
      <c r="AA145" s="203" t="s">
        <v>255</v>
      </c>
      <c r="AB145" s="203" t="s">
        <v>201</v>
      </c>
      <c r="AC145" s="3"/>
      <c r="AD145" s="3"/>
      <c r="AE145" s="991" t="s">
        <v>264</v>
      </c>
      <c r="AF145" s="992"/>
      <c r="AG145" s="992"/>
      <c r="AH145" s="149"/>
      <c r="AI145" s="149"/>
      <c r="AJ145" s="150" t="e">
        <f>VLOOKUP(#REF!,AE146:AH149,4,)</f>
        <v>#REF!</v>
      </c>
      <c r="AP145" s="108"/>
      <c r="AQ145" s="3"/>
      <c r="AR145" s="6"/>
      <c r="AS145" s="210"/>
      <c r="AT145" s="3"/>
      <c r="AU145" s="3"/>
      <c r="AV145" s="3"/>
      <c r="AW145" s="3"/>
      <c r="AX145" s="3"/>
      <c r="AY145" s="3"/>
      <c r="AZ145" s="3"/>
      <c r="BA145" s="3"/>
      <c r="BB145" s="3"/>
    </row>
    <row r="146" spans="1:54" ht="15.75" hidden="1" customHeight="1" x14ac:dyDescent="0.3">
      <c r="A146" s="167"/>
      <c r="B146" s="168"/>
      <c r="C146" s="168"/>
      <c r="D146" s="168"/>
      <c r="E146" s="168"/>
      <c r="F146" s="167"/>
      <c r="G146" s="169"/>
      <c r="H146" s="170"/>
      <c r="I146" s="170"/>
      <c r="J146" s="171"/>
      <c r="K146" s="171"/>
      <c r="L146" s="171"/>
      <c r="M146" s="171"/>
      <c r="N146" s="171"/>
      <c r="O146" s="171"/>
      <c r="P146" s="171"/>
      <c r="Q146" s="171"/>
      <c r="S146" s="121"/>
      <c r="T146" s="203" t="e">
        <f>VLOOKUP(#REF!,T245:U253,2,)</f>
        <v>#REF!</v>
      </c>
      <c r="U146" s="203">
        <v>0</v>
      </c>
      <c r="V146" s="203">
        <v>0</v>
      </c>
      <c r="W146" s="203" t="e">
        <f>VLOOKUP(#REF!,T245:AE253,12,)</f>
        <v>#REF!</v>
      </c>
      <c r="X146" s="203">
        <v>0</v>
      </c>
      <c r="Y146" s="203">
        <v>0</v>
      </c>
      <c r="Z146" s="203">
        <v>0</v>
      </c>
      <c r="AA146" s="203">
        <v>0</v>
      </c>
      <c r="AB146" s="203" t="e">
        <f>SUM(T146:AA146)</f>
        <v>#REF!</v>
      </c>
      <c r="AC146" s="3"/>
      <c r="AD146" s="3"/>
      <c r="AE146" s="121" t="s">
        <v>378</v>
      </c>
      <c r="AH146">
        <v>8</v>
      </c>
      <c r="AJ146" s="108"/>
      <c r="AP146" s="108"/>
      <c r="AQ146" s="3"/>
      <c r="AR146" s="3"/>
      <c r="AS146" s="210"/>
      <c r="AT146" s="3"/>
      <c r="AU146" s="3"/>
      <c r="AV146" s="3"/>
      <c r="AW146" s="3"/>
      <c r="AX146" s="3"/>
      <c r="AY146" s="3"/>
      <c r="AZ146" s="3"/>
      <c r="BA146" s="3"/>
      <c r="BB146" s="3"/>
    </row>
    <row r="147" spans="1:54" ht="23.25" hidden="1" customHeight="1" x14ac:dyDescent="0.3">
      <c r="A147" s="173"/>
      <c r="B147" s="173"/>
      <c r="C147" s="173"/>
      <c r="D147" s="173"/>
      <c r="E147" s="173"/>
      <c r="F147" s="173"/>
      <c r="G147" s="173"/>
      <c r="H147" s="173"/>
      <c r="I147" s="173"/>
      <c r="J147" s="174"/>
      <c r="K147" s="174"/>
      <c r="L147" s="174"/>
      <c r="M147" s="174"/>
      <c r="N147" s="174"/>
      <c r="O147" s="174"/>
      <c r="P147" s="174"/>
      <c r="Q147" s="174"/>
      <c r="S147" s="121"/>
      <c r="T147" s="105"/>
      <c r="U147" s="105"/>
      <c r="V147" s="105"/>
      <c r="W147" s="105"/>
      <c r="X147" s="105"/>
      <c r="Y147" s="105"/>
      <c r="Z147" s="105"/>
      <c r="AA147" s="105"/>
      <c r="AB147" s="105"/>
      <c r="AE147" s="121" t="s">
        <v>245</v>
      </c>
      <c r="AH147">
        <v>9</v>
      </c>
      <c r="AI147" s="6"/>
      <c r="AJ147" s="125"/>
      <c r="AK147" s="6"/>
      <c r="AP147" s="108"/>
      <c r="AS147" s="211"/>
    </row>
    <row r="148" spans="1:54" hidden="1" x14ac:dyDescent="0.3">
      <c r="A148" s="168"/>
      <c r="B148" s="168"/>
      <c r="C148" s="168"/>
      <c r="D148" s="168"/>
      <c r="E148" s="168"/>
      <c r="F148" s="168"/>
      <c r="G148" s="168"/>
      <c r="H148" s="168"/>
      <c r="I148" s="168"/>
      <c r="J148" s="175"/>
      <c r="K148" s="175"/>
      <c r="L148" s="175"/>
      <c r="M148" s="175"/>
      <c r="N148" s="175"/>
      <c r="O148" s="175"/>
      <c r="P148" s="175"/>
      <c r="Q148" s="175"/>
      <c r="S148" s="121"/>
      <c r="T148" s="978" t="s">
        <v>253</v>
      </c>
      <c r="U148" s="979"/>
      <c r="V148" s="979"/>
      <c r="W148" s="979"/>
      <c r="X148" s="979"/>
      <c r="Y148" s="979"/>
      <c r="Z148" s="979"/>
      <c r="AA148" s="979"/>
      <c r="AB148" s="979"/>
      <c r="AC148" s="7"/>
      <c r="AD148" s="7"/>
      <c r="AE148" s="121" t="s">
        <v>175</v>
      </c>
      <c r="AH148">
        <v>10</v>
      </c>
      <c r="AJ148" s="108"/>
      <c r="AP148" s="108"/>
      <c r="AS148" s="211"/>
    </row>
    <row r="149" spans="1:54" ht="15" hidden="1" thickBot="1" x14ac:dyDescent="0.35">
      <c r="S149" s="121"/>
      <c r="T149" s="188" t="s">
        <v>256</v>
      </c>
      <c r="U149" s="115" t="s">
        <v>200</v>
      </c>
      <c r="V149" s="188" t="s">
        <v>199</v>
      </c>
      <c r="W149" s="188" t="s">
        <v>251</v>
      </c>
      <c r="X149" s="188" t="s">
        <v>257</v>
      </c>
      <c r="Y149" s="188" t="s">
        <v>258</v>
      </c>
      <c r="Z149" s="188" t="s">
        <v>250</v>
      </c>
      <c r="AA149" s="188" t="s">
        <v>255</v>
      </c>
      <c r="AB149" s="188" t="s">
        <v>201</v>
      </c>
      <c r="AC149" s="3"/>
      <c r="AD149" s="3"/>
      <c r="AE149" s="122" t="s">
        <v>7</v>
      </c>
      <c r="AF149" s="109"/>
      <c r="AG149" s="109"/>
      <c r="AH149" s="109">
        <v>11</v>
      </c>
      <c r="AI149" s="109"/>
      <c r="AJ149" s="123"/>
      <c r="AP149" s="108"/>
      <c r="AS149" s="211"/>
    </row>
    <row r="150" spans="1:54" ht="15" hidden="1" thickBot="1" x14ac:dyDescent="0.35">
      <c r="S150" s="121"/>
      <c r="T150" s="188" t="e">
        <f>VLOOKUP(#REF!,U$175:AA$203,3,)</f>
        <v>#REF!</v>
      </c>
      <c r="U150" s="188" t="e">
        <f>VLOOKUP(#REF!,U$184:AN$196,#REF!,)</f>
        <v>#REF!</v>
      </c>
      <c r="V150" s="188" t="e">
        <f>VLOOKUP(#REF!,U195:AN208,AP185,)</f>
        <v>#REF!</v>
      </c>
      <c r="W150" s="188" t="e">
        <f>VLOOKUP(#REF!,U195:AN208,AR185,)</f>
        <v>#REF!</v>
      </c>
      <c r="X150" s="188" t="e">
        <f>VLOOKUP(#REF!,U195:AN208,AT185,)</f>
        <v>#REF!</v>
      </c>
      <c r="Y150" s="188" t="e">
        <f>VLOOKUP(#REF!,U195:AN208,AV185,)</f>
        <v>#REF!</v>
      </c>
      <c r="Z150" s="188" t="e">
        <f>VLOOKUP(#REF!,U195:AN208,AX185,)</f>
        <v>#REF!</v>
      </c>
      <c r="AA150" s="188"/>
      <c r="AB150" s="188" t="e">
        <f>SUM(U150:AA150)</f>
        <v>#REF!</v>
      </c>
      <c r="AC150" s="3"/>
      <c r="AD150" s="3"/>
      <c r="AE150" s="130"/>
      <c r="AF150" s="29"/>
      <c r="AG150" s="29"/>
      <c r="AH150" s="29"/>
      <c r="AI150" s="29"/>
      <c r="AJ150" s="131"/>
      <c r="AP150" s="108"/>
      <c r="AS150" s="211"/>
    </row>
    <row r="151" spans="1:54" ht="20.399999999999999" hidden="1" thickBot="1" x14ac:dyDescent="0.35">
      <c r="S151" s="121"/>
      <c r="T151" s="105"/>
      <c r="U151" s="105"/>
      <c r="V151" s="105"/>
      <c r="W151" s="105"/>
      <c r="X151" s="105"/>
      <c r="Y151" s="105"/>
      <c r="Z151" s="105"/>
      <c r="AA151" s="105"/>
      <c r="AB151" s="105"/>
      <c r="AE151" s="991" t="s">
        <v>263</v>
      </c>
      <c r="AF151" s="992"/>
      <c r="AG151" s="992"/>
      <c r="AH151" s="149"/>
      <c r="AI151" s="149"/>
      <c r="AJ151" s="150" t="e">
        <f>VLOOKUP(#REF!,AE152:AH153,4,)</f>
        <v>#REF!</v>
      </c>
      <c r="AP151" s="108"/>
      <c r="AS151" s="211"/>
    </row>
    <row r="152" spans="1:54" hidden="1" x14ac:dyDescent="0.3">
      <c r="S152" s="121"/>
      <c r="T152" s="978" t="s">
        <v>253</v>
      </c>
      <c r="U152" s="979"/>
      <c r="V152" s="979"/>
      <c r="W152" s="979"/>
      <c r="X152" s="979"/>
      <c r="Y152" s="979"/>
      <c r="Z152" s="979"/>
      <c r="AA152" s="979"/>
      <c r="AB152" s="979"/>
      <c r="AC152" s="7"/>
      <c r="AD152" s="7"/>
      <c r="AE152" s="121" t="s">
        <v>176</v>
      </c>
      <c r="AH152">
        <v>12</v>
      </c>
      <c r="AJ152" s="108"/>
      <c r="AP152" s="108"/>
      <c r="AS152" s="211"/>
    </row>
    <row r="153" spans="1:54" hidden="1" x14ac:dyDescent="0.3">
      <c r="S153" s="121"/>
      <c r="T153" s="188" t="s">
        <v>256</v>
      </c>
      <c r="U153" s="115" t="s">
        <v>200</v>
      </c>
      <c r="V153" s="188" t="s">
        <v>199</v>
      </c>
      <c r="W153" s="188" t="s">
        <v>251</v>
      </c>
      <c r="X153" s="188" t="s">
        <v>257</v>
      </c>
      <c r="Y153" s="188" t="s">
        <v>258</v>
      </c>
      <c r="Z153" s="188" t="s">
        <v>250</v>
      </c>
      <c r="AA153" s="188" t="s">
        <v>255</v>
      </c>
      <c r="AB153" s="188" t="s">
        <v>201</v>
      </c>
      <c r="AC153" s="3"/>
      <c r="AD153" s="3"/>
      <c r="AE153" s="121" t="s">
        <v>7</v>
      </c>
      <c r="AH153">
        <v>13</v>
      </c>
      <c r="AJ153" s="108"/>
      <c r="AP153" s="108"/>
      <c r="AS153" s="211"/>
    </row>
    <row r="154" spans="1:54" ht="15" hidden="1" thickBot="1" x14ac:dyDescent="0.35">
      <c r="S154" s="121"/>
      <c r="T154" s="188" t="e">
        <f>VLOOKUP(#REF!,U$175:AA$203,3,)</f>
        <v>#REF!</v>
      </c>
      <c r="U154" s="188" t="e">
        <f>VLOOKUP(#REF!,U$184:AN$196,#REF!,)</f>
        <v>#REF!</v>
      </c>
      <c r="V154" s="188" t="e">
        <f>VLOOKUP(C84,U199:AN212,AP189,)</f>
        <v>#N/A</v>
      </c>
      <c r="W154" s="188" t="e">
        <f>VLOOKUP(C84,U199:AN212,AR189,)</f>
        <v>#N/A</v>
      </c>
      <c r="X154" s="188" t="e">
        <f>VLOOKUP(C84,U199:AN212,AT189,)</f>
        <v>#N/A</v>
      </c>
      <c r="Y154" s="188" t="e">
        <f>VLOOKUP(C84,U199:AN212,AV189,)</f>
        <v>#N/A</v>
      </c>
      <c r="Z154" s="188" t="e">
        <f>VLOOKUP(C84,U199:AN212,AX189,)</f>
        <v>#N/A</v>
      </c>
      <c r="AA154" s="188"/>
      <c r="AB154" s="188" t="e">
        <f>SUM(U154:AA154)</f>
        <v>#REF!</v>
      </c>
      <c r="AC154" s="3"/>
      <c r="AD154" s="3"/>
      <c r="AE154" s="130"/>
      <c r="AF154" s="29"/>
      <c r="AG154" s="29"/>
      <c r="AH154" s="29"/>
      <c r="AI154" s="132"/>
      <c r="AJ154" s="133"/>
      <c r="AK154" s="6"/>
      <c r="AP154" s="108"/>
      <c r="AS154" s="211"/>
    </row>
    <row r="155" spans="1:54" ht="20.399999999999999" hidden="1" thickBot="1" x14ac:dyDescent="0.35">
      <c r="S155" s="121"/>
      <c r="T155" s="105"/>
      <c r="U155" s="105"/>
      <c r="V155" s="105"/>
      <c r="W155" s="105"/>
      <c r="X155" s="105"/>
      <c r="Y155" s="105"/>
      <c r="Z155" s="105"/>
      <c r="AA155" s="105"/>
      <c r="AB155" s="105"/>
      <c r="AE155" s="993" t="s">
        <v>261</v>
      </c>
      <c r="AF155" s="994"/>
      <c r="AG155" s="994"/>
      <c r="AH155" s="994"/>
      <c r="AI155" s="149"/>
      <c r="AJ155" s="150" t="e">
        <f>VLOOKUP(#REF!,AE156:AH157,4,)</f>
        <v>#REF!</v>
      </c>
      <c r="AP155" s="108"/>
    </row>
    <row r="156" spans="1:54" hidden="1" x14ac:dyDescent="0.3">
      <c r="S156" s="121"/>
      <c r="T156" s="978" t="s">
        <v>253</v>
      </c>
      <c r="U156" s="979"/>
      <c r="V156" s="979"/>
      <c r="W156" s="979"/>
      <c r="X156" s="979"/>
      <c r="Y156" s="979"/>
      <c r="Z156" s="979"/>
      <c r="AA156" s="979"/>
      <c r="AB156" s="979"/>
      <c r="AC156" s="7"/>
      <c r="AD156" s="7"/>
      <c r="AE156" s="121" t="s">
        <v>243</v>
      </c>
      <c r="AH156">
        <v>14</v>
      </c>
      <c r="AJ156" s="108"/>
      <c r="AO156" s="6"/>
      <c r="AP156" s="108"/>
    </row>
    <row r="157" spans="1:54" ht="15" hidden="1" thickBot="1" x14ac:dyDescent="0.35">
      <c r="S157" s="121"/>
      <c r="T157" s="188" t="s">
        <v>256</v>
      </c>
      <c r="U157" s="115" t="s">
        <v>200</v>
      </c>
      <c r="V157" s="188" t="s">
        <v>199</v>
      </c>
      <c r="W157" s="188" t="s">
        <v>251</v>
      </c>
      <c r="X157" s="188" t="s">
        <v>257</v>
      </c>
      <c r="Y157" s="188" t="s">
        <v>258</v>
      </c>
      <c r="Z157" s="188" t="s">
        <v>250</v>
      </c>
      <c r="AA157" s="188" t="s">
        <v>255</v>
      </c>
      <c r="AB157" s="188" t="s">
        <v>201</v>
      </c>
      <c r="AC157" s="3"/>
      <c r="AD157" s="3"/>
      <c r="AE157" s="121" t="s">
        <v>7</v>
      </c>
      <c r="AH157">
        <v>15</v>
      </c>
      <c r="AJ157" s="108"/>
      <c r="AP157" s="108"/>
    </row>
    <row r="158" spans="1:54" ht="16.2" hidden="1" thickBot="1" x14ac:dyDescent="0.35">
      <c r="S158" s="121"/>
      <c r="T158" s="188" t="e">
        <f>VLOOKUP(#REF!,U$175:AA$203,3,)</f>
        <v>#REF!</v>
      </c>
      <c r="U158" s="188" t="e">
        <f>VLOOKUP(#REF!,U$184:AN$196,#REF!,)</f>
        <v>#REF!</v>
      </c>
      <c r="V158" s="188" t="e">
        <f>VLOOKUP(C138,U203:AN216,#REF!,)</f>
        <v>#REF!</v>
      </c>
      <c r="W158" s="188" t="e">
        <f>VLOOKUP(C138,U203:AN216,#REF!,)</f>
        <v>#REF!</v>
      </c>
      <c r="X158" s="188" t="e">
        <f>VLOOKUP(C138,U203:AN216,#REF!,)</f>
        <v>#REF!</v>
      </c>
      <c r="Y158" s="188" t="e">
        <f>VLOOKUP(C138,U203:AN216,#REF!,)</f>
        <v>#REF!</v>
      </c>
      <c r="Z158" s="188" t="e">
        <f>VLOOKUP(C138,U203:AN216,#REF!,)</f>
        <v>#REF!</v>
      </c>
      <c r="AA158" s="188"/>
      <c r="AB158" s="188" t="e">
        <f>SUM(U158:AA158)</f>
        <v>#REF!</v>
      </c>
      <c r="AC158" s="3"/>
      <c r="AD158" s="3"/>
      <c r="AE158" s="980"/>
      <c r="AF158" s="981"/>
      <c r="AG158" s="981"/>
      <c r="AH158" s="981"/>
      <c r="AI158" s="134"/>
      <c r="AJ158" s="135"/>
      <c r="AP158" s="108"/>
    </row>
    <row r="159" spans="1:54" ht="20.399999999999999" hidden="1" thickBot="1" x14ac:dyDescent="0.35">
      <c r="S159" s="121"/>
      <c r="T159" s="105"/>
      <c r="U159" s="105"/>
      <c r="V159" s="105"/>
      <c r="W159" s="105"/>
      <c r="X159" s="105"/>
      <c r="Y159" s="105"/>
      <c r="Z159" s="105"/>
      <c r="AA159" s="105"/>
      <c r="AB159" s="105"/>
      <c r="AE159" s="982" t="s">
        <v>262</v>
      </c>
      <c r="AF159" s="983"/>
      <c r="AG159" s="983"/>
      <c r="AH159" s="983"/>
      <c r="AI159" s="149"/>
      <c r="AJ159" s="150" t="e">
        <f>VLOOKUP(#REF!,AE160:AH162,4,)</f>
        <v>#REF!</v>
      </c>
      <c r="AP159" s="108"/>
    </row>
    <row r="160" spans="1:54" ht="15.6" hidden="1" x14ac:dyDescent="0.3">
      <c r="S160" s="121"/>
      <c r="T160" s="978" t="s">
        <v>253</v>
      </c>
      <c r="U160" s="979"/>
      <c r="V160" s="979"/>
      <c r="W160" s="979"/>
      <c r="X160" s="979"/>
      <c r="Y160" s="979"/>
      <c r="Z160" s="979"/>
      <c r="AA160" s="979"/>
      <c r="AB160" s="979"/>
      <c r="AC160" s="7"/>
      <c r="AD160" s="7"/>
      <c r="AE160" s="121" t="s">
        <v>246</v>
      </c>
      <c r="AH160">
        <v>16</v>
      </c>
      <c r="AI160" s="6"/>
      <c r="AJ160" s="125"/>
      <c r="AM160" s="136"/>
      <c r="AN160" s="136"/>
      <c r="AO160" s="136"/>
      <c r="AP160" s="108"/>
    </row>
    <row r="161" spans="18:85" hidden="1" x14ac:dyDescent="0.3">
      <c r="S161" s="121"/>
      <c r="T161" s="188" t="s">
        <v>256</v>
      </c>
      <c r="U161" s="115" t="s">
        <v>200</v>
      </c>
      <c r="V161" s="188" t="s">
        <v>199</v>
      </c>
      <c r="W161" s="188" t="s">
        <v>251</v>
      </c>
      <c r="X161" s="188" t="s">
        <v>257</v>
      </c>
      <c r="Y161" s="188" t="s">
        <v>258</v>
      </c>
      <c r="Z161" s="188" t="s">
        <v>250</v>
      </c>
      <c r="AA161" s="188" t="s">
        <v>255</v>
      </c>
      <c r="AB161" s="188" t="s">
        <v>201</v>
      </c>
      <c r="AC161" s="3"/>
      <c r="AD161" s="3"/>
      <c r="AE161" s="121" t="s">
        <v>249</v>
      </c>
      <c r="AH161">
        <v>17</v>
      </c>
      <c r="AJ161" s="108"/>
      <c r="AK161" s="6"/>
      <c r="AP161" s="108"/>
    </row>
    <row r="162" spans="18:85" ht="15" hidden="1" thickBot="1" x14ac:dyDescent="0.35">
      <c r="S162" s="121"/>
      <c r="T162" s="188" t="e">
        <f>VLOOKUP(#REF!,U$175:AA$203,3,)</f>
        <v>#REF!</v>
      </c>
      <c r="U162" s="188" t="e">
        <f>VLOOKUP(#REF!,U$184:AN$196,#REF!,)</f>
        <v>#REF!</v>
      </c>
      <c r="V162" s="188" t="e">
        <f>VLOOKUP(C142,U207:AN220,AP196,)</f>
        <v>#N/A</v>
      </c>
      <c r="W162" s="188" t="e">
        <f>VLOOKUP(C142,U207:AN220,AR196,)</f>
        <v>#N/A</v>
      </c>
      <c r="X162" s="188" t="e">
        <f>VLOOKUP(C142,U207:AN220,AT196,)</f>
        <v>#N/A</v>
      </c>
      <c r="Y162" s="188" t="e">
        <f>VLOOKUP(C142,U207:AN220,AV196,)</f>
        <v>#N/A</v>
      </c>
      <c r="Z162" s="188" t="e">
        <f>VLOOKUP(C142,U207:AN220,AX196,)</f>
        <v>#N/A</v>
      </c>
      <c r="AA162" s="188"/>
      <c r="AB162" s="188" t="e">
        <f>SUM(U162:AA162)</f>
        <v>#REF!</v>
      </c>
      <c r="AC162" s="3"/>
      <c r="AD162" s="3"/>
      <c r="AE162" s="122" t="s">
        <v>7</v>
      </c>
      <c r="AF162" s="109"/>
      <c r="AG162" s="109"/>
      <c r="AH162" s="109">
        <v>18</v>
      </c>
      <c r="AI162" s="109"/>
      <c r="AJ162" s="123"/>
      <c r="AP162" s="108"/>
    </row>
    <row r="163" spans="18:85" ht="15" hidden="1" thickBot="1" x14ac:dyDescent="0.35">
      <c r="S163" s="121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29"/>
      <c r="AF163" s="29"/>
      <c r="AG163" s="29"/>
      <c r="AH163" s="29"/>
      <c r="AI163" s="29"/>
      <c r="AJ163" s="29"/>
      <c r="AO163" s="6"/>
      <c r="AP163" s="108"/>
    </row>
    <row r="164" spans="18:85" ht="20.399999999999999" hidden="1" thickBot="1" x14ac:dyDescent="0.35">
      <c r="R164" s="49"/>
      <c r="S164" s="121"/>
      <c r="T164" s="984" t="s">
        <v>267</v>
      </c>
      <c r="U164" s="985"/>
      <c r="V164" s="985"/>
      <c r="W164" s="985"/>
      <c r="X164" s="985"/>
      <c r="Y164" s="985"/>
      <c r="Z164" s="985"/>
      <c r="AA164" s="985"/>
      <c r="AB164" s="986"/>
      <c r="AE164" s="987" t="s">
        <v>288</v>
      </c>
      <c r="AF164" s="988"/>
      <c r="AG164" s="988"/>
      <c r="AH164" s="151"/>
      <c r="AI164" s="151"/>
      <c r="AJ164" s="150" t="e">
        <f>VLOOKUP(#REF!,AE165:AH167,4,)</f>
        <v>#REF!</v>
      </c>
      <c r="AP164" s="108"/>
    </row>
    <row r="165" spans="18:85" hidden="1" x14ac:dyDescent="0.3">
      <c r="R165" s="49"/>
      <c r="S165" s="121"/>
      <c r="T165" s="88" t="s">
        <v>269</v>
      </c>
      <c r="U165" s="38" t="s">
        <v>157</v>
      </c>
      <c r="V165" s="38" t="s">
        <v>177</v>
      </c>
      <c r="W165" s="38" t="s">
        <v>158</v>
      </c>
      <c r="X165" s="38" t="s">
        <v>268</v>
      </c>
      <c r="Y165" s="86"/>
      <c r="Z165" s="86"/>
      <c r="AA165" s="86"/>
      <c r="AB165" s="86"/>
      <c r="AC165" s="7"/>
      <c r="AD165" s="7"/>
      <c r="AE165" s="121" t="s">
        <v>247</v>
      </c>
      <c r="AH165">
        <v>19</v>
      </c>
      <c r="AJ165" s="108"/>
      <c r="AL165" s="7"/>
      <c r="AM165" s="7"/>
      <c r="AN165" s="7"/>
      <c r="AO165" s="7"/>
      <c r="AP165" s="209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  <c r="CC165" s="7"/>
      <c r="CD165" s="7"/>
      <c r="CE165" s="7"/>
      <c r="CF165" s="7"/>
      <c r="CG165" s="7"/>
    </row>
    <row r="166" spans="18:85" hidden="1" x14ac:dyDescent="0.3">
      <c r="R166" s="49"/>
      <c r="S166" s="121"/>
      <c r="T166" s="88" t="s">
        <v>270</v>
      </c>
      <c r="U166" s="38" t="s">
        <v>273</v>
      </c>
      <c r="V166" s="38" t="s">
        <v>274</v>
      </c>
      <c r="W166" s="38" t="s">
        <v>275</v>
      </c>
      <c r="X166" s="38" t="s">
        <v>277</v>
      </c>
      <c r="Y166" s="86" t="s">
        <v>276</v>
      </c>
      <c r="Z166" s="86"/>
      <c r="AA166" s="86"/>
      <c r="AB166" s="86"/>
      <c r="AC166" s="7"/>
      <c r="AD166" s="7"/>
      <c r="AE166" s="121" t="s">
        <v>248</v>
      </c>
      <c r="AH166">
        <v>20</v>
      </c>
      <c r="AJ166" s="108"/>
      <c r="AL166" s="7"/>
      <c r="AM166" s="7"/>
      <c r="AN166" s="7"/>
      <c r="AO166" s="7"/>
      <c r="AP166" s="209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  <c r="CC166" s="7"/>
      <c r="CD166" s="7"/>
      <c r="CE166" s="7"/>
      <c r="CF166" s="7"/>
      <c r="CG166" s="7"/>
    </row>
    <row r="167" spans="18:85" ht="15" hidden="1" thickBot="1" x14ac:dyDescent="0.35">
      <c r="S167" s="121"/>
      <c r="T167" s="88" t="s">
        <v>159</v>
      </c>
      <c r="U167" s="38" t="s">
        <v>161</v>
      </c>
      <c r="V167" s="38" t="s">
        <v>160</v>
      </c>
      <c r="W167" s="38" t="s">
        <v>279</v>
      </c>
      <c r="X167" s="38" t="s">
        <v>278</v>
      </c>
      <c r="Y167" s="14"/>
      <c r="Z167" s="14"/>
      <c r="AA167" s="14"/>
      <c r="AB167" s="14"/>
      <c r="AE167" s="122" t="s">
        <v>7</v>
      </c>
      <c r="AF167" s="109"/>
      <c r="AG167" s="109"/>
      <c r="AH167" s="109">
        <v>21</v>
      </c>
      <c r="AI167" s="124"/>
      <c r="AJ167" s="126"/>
      <c r="AP167" s="108"/>
    </row>
    <row r="168" spans="18:85" hidden="1" x14ac:dyDescent="0.3">
      <c r="S168" s="121"/>
      <c r="T168" s="88" t="s">
        <v>271</v>
      </c>
      <c r="U168" s="38" t="s">
        <v>72</v>
      </c>
      <c r="V168" s="38" t="s">
        <v>71</v>
      </c>
      <c r="W168" s="38" t="s">
        <v>70</v>
      </c>
      <c r="X168" s="38" t="s">
        <v>69</v>
      </c>
      <c r="Y168" s="38" t="s">
        <v>68</v>
      </c>
      <c r="Z168" s="38" t="s">
        <v>67</v>
      </c>
      <c r="AA168" s="38" t="s">
        <v>65</v>
      </c>
      <c r="AB168" s="38" t="s">
        <v>63</v>
      </c>
      <c r="AI168" s="6"/>
      <c r="AJ168" s="6"/>
      <c r="AP168" s="108"/>
    </row>
    <row r="169" spans="18:85" ht="15" hidden="1" thickBot="1" x14ac:dyDescent="0.35">
      <c r="S169" s="121"/>
      <c r="T169" s="114" t="s">
        <v>272</v>
      </c>
      <c r="U169" s="148" t="s">
        <v>280</v>
      </c>
      <c r="V169" s="38" t="s">
        <v>281</v>
      </c>
      <c r="W169" s="38" t="s">
        <v>282</v>
      </c>
      <c r="X169" s="14"/>
      <c r="Y169" s="14"/>
      <c r="Z169" s="14"/>
      <c r="AA169" s="14"/>
      <c r="AB169" s="14"/>
      <c r="AI169" s="6"/>
      <c r="AJ169" s="6"/>
      <c r="AP169" s="108"/>
    </row>
    <row r="170" spans="18:85" ht="15" hidden="1" thickBot="1" x14ac:dyDescent="0.35">
      <c r="S170" s="121"/>
      <c r="T170" s="3"/>
      <c r="U170" s="6"/>
      <c r="AI170" s="6"/>
      <c r="AJ170" s="6"/>
      <c r="AP170" s="108"/>
    </row>
    <row r="171" spans="18:85" hidden="1" x14ac:dyDescent="0.3">
      <c r="S171" s="121"/>
      <c r="T171" s="972" t="s">
        <v>254</v>
      </c>
      <c r="U171" s="973"/>
      <c r="V171" s="973"/>
      <c r="W171" s="973"/>
      <c r="X171" s="973"/>
      <c r="Y171" s="973"/>
      <c r="Z171" s="973"/>
      <c r="AA171" s="973"/>
      <c r="AB171" s="973"/>
      <c r="AC171" s="973"/>
      <c r="AD171" s="973"/>
      <c r="AE171" s="973"/>
      <c r="AF171" s="973"/>
      <c r="AG171" s="973"/>
      <c r="AH171" s="973"/>
      <c r="AI171" s="973"/>
      <c r="AJ171" s="973"/>
      <c r="AK171" s="973"/>
      <c r="AL171" s="973"/>
      <c r="AM171" s="973"/>
      <c r="AN171" s="974"/>
      <c r="AP171" s="108"/>
    </row>
    <row r="172" spans="18:85" ht="15" hidden="1" thickBot="1" x14ac:dyDescent="0.35">
      <c r="S172" s="121"/>
      <c r="T172" s="975"/>
      <c r="U172" s="976"/>
      <c r="V172" s="976"/>
      <c r="W172" s="976"/>
      <c r="X172" s="976"/>
      <c r="Y172" s="976"/>
      <c r="Z172" s="976"/>
      <c r="AA172" s="976"/>
      <c r="AB172" s="976"/>
      <c r="AC172" s="976"/>
      <c r="AD172" s="976"/>
      <c r="AE172" s="976"/>
      <c r="AF172" s="976"/>
      <c r="AG172" s="976"/>
      <c r="AH172" s="976"/>
      <c r="AI172" s="976"/>
      <c r="AJ172" s="976"/>
      <c r="AK172" s="976"/>
      <c r="AL172" s="976"/>
      <c r="AM172" s="976"/>
      <c r="AN172" s="977"/>
      <c r="AP172" s="108"/>
    </row>
    <row r="173" spans="18:85" ht="15" hidden="1" thickBot="1" x14ac:dyDescent="0.35">
      <c r="S173" s="121"/>
      <c r="T173" s="147" t="s">
        <v>265</v>
      </c>
      <c r="U173" s="113" t="s">
        <v>266</v>
      </c>
      <c r="V173" s="112" t="s">
        <v>283</v>
      </c>
      <c r="W173" s="113" t="s">
        <v>284</v>
      </c>
      <c r="X173" s="113" t="s">
        <v>285</v>
      </c>
      <c r="Y173" s="113" t="s">
        <v>286</v>
      </c>
      <c r="Z173" s="113" t="s">
        <v>287</v>
      </c>
      <c r="AA173" s="104" t="s">
        <v>929</v>
      </c>
      <c r="AB173" s="102" t="s">
        <v>934</v>
      </c>
      <c r="AC173" s="102" t="s">
        <v>175</v>
      </c>
      <c r="AD173" s="102" t="s">
        <v>7</v>
      </c>
      <c r="AE173" s="104" t="s">
        <v>176</v>
      </c>
      <c r="AF173" s="102" t="s">
        <v>7</v>
      </c>
      <c r="AG173" s="104" t="s">
        <v>243</v>
      </c>
      <c r="AH173" s="102" t="s">
        <v>7</v>
      </c>
      <c r="AI173" s="104" t="s">
        <v>246</v>
      </c>
      <c r="AJ173" s="102" t="s">
        <v>249</v>
      </c>
      <c r="AK173" s="103" t="s">
        <v>7</v>
      </c>
      <c r="AL173" s="104" t="s">
        <v>247</v>
      </c>
      <c r="AM173" s="102" t="s">
        <v>248</v>
      </c>
      <c r="AN173" s="103" t="s">
        <v>7</v>
      </c>
      <c r="AP173" s="108"/>
    </row>
    <row r="174" spans="18:85" hidden="1" x14ac:dyDescent="0.3">
      <c r="S174" s="121"/>
      <c r="T174" s="130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131"/>
      <c r="AP174" s="108"/>
    </row>
    <row r="175" spans="18:85" hidden="1" x14ac:dyDescent="0.3">
      <c r="S175" s="121"/>
      <c r="T175" s="144" t="s">
        <v>178</v>
      </c>
      <c r="U175" s="145"/>
      <c r="V175" s="145"/>
      <c r="W175" s="138"/>
      <c r="X175" s="138"/>
      <c r="Y175" s="138"/>
      <c r="Z175" s="138"/>
      <c r="AA175" s="138"/>
      <c r="AB175" s="138"/>
      <c r="AC175" s="138"/>
      <c r="AD175" s="138"/>
      <c r="AE175" s="138"/>
      <c r="AF175" s="138"/>
      <c r="AG175" s="138"/>
      <c r="AH175" s="138"/>
      <c r="AI175" s="138"/>
      <c r="AJ175" s="138"/>
      <c r="AK175" s="138"/>
      <c r="AL175" s="138"/>
      <c r="AM175" s="138"/>
      <c r="AN175" s="139"/>
      <c r="AP175" s="108"/>
    </row>
    <row r="176" spans="18:85" hidden="1" x14ac:dyDescent="0.3">
      <c r="S176" s="121"/>
      <c r="T176" s="144" t="s">
        <v>179</v>
      </c>
      <c r="U176" s="138"/>
      <c r="V176" s="138"/>
      <c r="W176" s="138"/>
      <c r="X176" s="138"/>
      <c r="Y176" s="138"/>
      <c r="Z176" s="138"/>
      <c r="AA176" s="138"/>
      <c r="AB176" s="138"/>
      <c r="AC176" s="138"/>
      <c r="AD176" s="138"/>
      <c r="AE176" s="138"/>
      <c r="AF176" s="138"/>
      <c r="AG176" s="138"/>
      <c r="AH176" s="138"/>
      <c r="AI176" s="138"/>
      <c r="AJ176" s="138"/>
      <c r="AK176" s="138"/>
      <c r="AL176" s="138"/>
      <c r="AM176" s="138"/>
      <c r="AN176" s="139"/>
      <c r="AP176" s="108"/>
    </row>
    <row r="177" spans="19:42" hidden="1" x14ac:dyDescent="0.3">
      <c r="S177" s="121"/>
      <c r="T177" s="144" t="s">
        <v>180</v>
      </c>
      <c r="U177" s="138"/>
      <c r="V177" s="138"/>
      <c r="W177" s="138"/>
      <c r="X177" s="138"/>
      <c r="Y177" s="138"/>
      <c r="Z177" s="138"/>
      <c r="AA177" s="138"/>
      <c r="AB177" s="138"/>
      <c r="AC177" s="138"/>
      <c r="AD177" s="138"/>
      <c r="AE177" s="138"/>
      <c r="AF177" s="138"/>
      <c r="AG177" s="138"/>
      <c r="AH177" s="138"/>
      <c r="AI177" s="138"/>
      <c r="AJ177" s="138"/>
      <c r="AK177" s="138"/>
      <c r="AL177" s="138"/>
      <c r="AM177" s="138"/>
      <c r="AN177" s="139"/>
      <c r="AP177" s="108"/>
    </row>
    <row r="178" spans="19:42" hidden="1" x14ac:dyDescent="0.3">
      <c r="S178" s="121"/>
      <c r="T178" s="144" t="s">
        <v>181</v>
      </c>
      <c r="U178" s="138"/>
      <c r="V178" s="138"/>
      <c r="W178" s="138"/>
      <c r="X178" s="138"/>
      <c r="Y178" s="138"/>
      <c r="Z178" s="138"/>
      <c r="AA178" s="138"/>
      <c r="AB178" s="138"/>
      <c r="AC178" s="138"/>
      <c r="AD178" s="138"/>
      <c r="AE178" s="138"/>
      <c r="AF178" s="138"/>
      <c r="AG178" s="138"/>
      <c r="AH178" s="138"/>
      <c r="AI178" s="138"/>
      <c r="AJ178" s="138"/>
      <c r="AK178" s="138"/>
      <c r="AL178" s="138"/>
      <c r="AM178" s="138"/>
      <c r="AN178" s="139"/>
      <c r="AP178" s="108"/>
    </row>
    <row r="179" spans="19:42" hidden="1" x14ac:dyDescent="0.3">
      <c r="S179" s="121"/>
      <c r="T179" s="144" t="s">
        <v>182</v>
      </c>
      <c r="U179" s="138"/>
      <c r="V179" s="138"/>
      <c r="W179" s="138"/>
      <c r="X179" s="138"/>
      <c r="Y179" s="138"/>
      <c r="Z179" s="138"/>
      <c r="AA179" s="138"/>
      <c r="AB179" s="138"/>
      <c r="AC179" s="138"/>
      <c r="AD179" s="138"/>
      <c r="AE179" s="138"/>
      <c r="AF179" s="138"/>
      <c r="AG179" s="138"/>
      <c r="AH179" s="138"/>
      <c r="AI179" s="138"/>
      <c r="AJ179" s="138"/>
      <c r="AK179" s="138"/>
      <c r="AL179" s="138"/>
      <c r="AM179" s="138"/>
      <c r="AN179" s="139"/>
      <c r="AP179" s="108"/>
    </row>
    <row r="180" spans="19:42" hidden="1" x14ac:dyDescent="0.3">
      <c r="S180" s="121"/>
      <c r="T180" s="144" t="s">
        <v>183</v>
      </c>
      <c r="U180" s="138"/>
      <c r="V180" s="138"/>
      <c r="W180" s="138"/>
      <c r="X180" s="138"/>
      <c r="Y180" s="138"/>
      <c r="Z180" s="138"/>
      <c r="AA180" s="138"/>
      <c r="AB180" s="138"/>
      <c r="AC180" s="138"/>
      <c r="AD180" s="138"/>
      <c r="AE180" s="138"/>
      <c r="AF180" s="138"/>
      <c r="AG180" s="138"/>
      <c r="AH180" s="138"/>
      <c r="AI180" s="138"/>
      <c r="AJ180" s="138"/>
      <c r="AK180" s="138"/>
      <c r="AL180" s="138"/>
      <c r="AM180" s="138"/>
      <c r="AN180" s="139"/>
      <c r="AP180" s="108"/>
    </row>
    <row r="181" spans="19:42" hidden="1" x14ac:dyDescent="0.3">
      <c r="S181" s="121"/>
      <c r="T181" s="144" t="s">
        <v>184</v>
      </c>
      <c r="U181" s="138"/>
      <c r="V181" s="138"/>
      <c r="W181" s="138"/>
      <c r="X181" s="138"/>
      <c r="Y181" s="138"/>
      <c r="Z181" s="138"/>
      <c r="AA181" s="138"/>
      <c r="AB181" s="138"/>
      <c r="AC181" s="138"/>
      <c r="AD181" s="138"/>
      <c r="AE181" s="138"/>
      <c r="AF181" s="138"/>
      <c r="AG181" s="138"/>
      <c r="AH181" s="138"/>
      <c r="AI181" s="138"/>
      <c r="AJ181" s="138"/>
      <c r="AK181" s="138"/>
      <c r="AL181" s="138"/>
      <c r="AM181" s="138"/>
      <c r="AN181" s="139"/>
      <c r="AP181" s="108"/>
    </row>
    <row r="182" spans="19:42" hidden="1" x14ac:dyDescent="0.3">
      <c r="S182" s="121"/>
      <c r="T182" s="144" t="s">
        <v>185</v>
      </c>
      <c r="U182" s="138"/>
      <c r="V182" s="138"/>
      <c r="W182" s="138"/>
      <c r="X182" s="138"/>
      <c r="Y182" s="138"/>
      <c r="Z182" s="138"/>
      <c r="AA182" s="138"/>
      <c r="AB182" s="138"/>
      <c r="AC182" s="138"/>
      <c r="AD182" s="138"/>
      <c r="AE182" s="138"/>
      <c r="AF182" s="138"/>
      <c r="AG182" s="138"/>
      <c r="AH182" s="138"/>
      <c r="AI182" s="138"/>
      <c r="AJ182" s="138"/>
      <c r="AK182" s="138"/>
      <c r="AL182" s="138"/>
      <c r="AM182" s="138"/>
      <c r="AN182" s="139"/>
      <c r="AP182" s="108"/>
    </row>
    <row r="183" spans="19:42" hidden="1" x14ac:dyDescent="0.3">
      <c r="S183" s="121"/>
      <c r="T183" s="144" t="s">
        <v>186</v>
      </c>
      <c r="U183" s="138"/>
      <c r="V183" s="138"/>
      <c r="W183" s="138"/>
      <c r="X183" s="138"/>
      <c r="Y183" s="138"/>
      <c r="Z183" s="138"/>
      <c r="AA183" s="138"/>
      <c r="AB183" s="138"/>
      <c r="AC183" s="138"/>
      <c r="AD183" s="138"/>
      <c r="AE183" s="138"/>
      <c r="AF183" s="138"/>
      <c r="AG183" s="138"/>
      <c r="AH183" s="138"/>
      <c r="AI183" s="138"/>
      <c r="AJ183" s="138"/>
      <c r="AK183" s="138"/>
      <c r="AL183" s="138"/>
      <c r="AM183" s="138"/>
      <c r="AN183" s="139"/>
      <c r="AP183" s="108"/>
    </row>
    <row r="184" spans="19:42" hidden="1" x14ac:dyDescent="0.3">
      <c r="S184" s="121"/>
      <c r="T184" s="146" t="s">
        <v>235</v>
      </c>
      <c r="U184" s="106">
        <v>22000</v>
      </c>
      <c r="V184" s="107">
        <v>0</v>
      </c>
      <c r="W184" s="107">
        <v>0</v>
      </c>
      <c r="X184" s="107">
        <v>0</v>
      </c>
      <c r="Y184" s="107">
        <v>0</v>
      </c>
      <c r="Z184" s="107">
        <v>310</v>
      </c>
      <c r="AA184" s="107">
        <v>1980</v>
      </c>
      <c r="AB184" s="107">
        <v>1980</v>
      </c>
      <c r="AC184" s="107">
        <f>AB184*1.3</f>
        <v>2574</v>
      </c>
      <c r="AD184" s="107">
        <v>0</v>
      </c>
      <c r="AE184" s="107">
        <v>3500</v>
      </c>
      <c r="AF184" s="107">
        <v>0</v>
      </c>
      <c r="AG184" s="107">
        <v>2890</v>
      </c>
      <c r="AH184" s="107">
        <v>0</v>
      </c>
      <c r="AI184" s="107">
        <v>0</v>
      </c>
      <c r="AJ184" s="107">
        <v>610</v>
      </c>
      <c r="AK184" s="107">
        <v>0</v>
      </c>
      <c r="AL184" s="107">
        <v>220</v>
      </c>
      <c r="AM184" s="107">
        <v>1200</v>
      </c>
      <c r="AN184" s="110">
        <v>0</v>
      </c>
      <c r="AP184" s="108"/>
    </row>
    <row r="185" spans="19:42" hidden="1" x14ac:dyDescent="0.3">
      <c r="S185" s="121"/>
      <c r="T185" s="146" t="s">
        <v>236</v>
      </c>
      <c r="U185" s="106">
        <v>22500</v>
      </c>
      <c r="V185" s="107">
        <v>0</v>
      </c>
      <c r="W185" s="107">
        <v>0</v>
      </c>
      <c r="X185" s="107">
        <v>0</v>
      </c>
      <c r="Y185" s="107">
        <v>0</v>
      </c>
      <c r="Z185" s="107">
        <v>310</v>
      </c>
      <c r="AA185" s="107">
        <v>2100</v>
      </c>
      <c r="AB185" s="107">
        <v>2100</v>
      </c>
      <c r="AC185" s="107">
        <f t="shared" ref="AC185:AC195" si="38">AB185*1.3</f>
        <v>2730</v>
      </c>
      <c r="AD185" s="107">
        <v>0</v>
      </c>
      <c r="AE185" s="107">
        <v>3500</v>
      </c>
      <c r="AF185" s="107">
        <v>0</v>
      </c>
      <c r="AG185" s="107">
        <v>2890</v>
      </c>
      <c r="AH185" s="107">
        <v>0</v>
      </c>
      <c r="AI185" s="107">
        <v>0</v>
      </c>
      <c r="AJ185" s="107">
        <v>610</v>
      </c>
      <c r="AK185" s="107">
        <v>0</v>
      </c>
      <c r="AL185" s="107">
        <v>240</v>
      </c>
      <c r="AM185" s="107">
        <v>1200</v>
      </c>
      <c r="AN185" s="110">
        <v>0</v>
      </c>
      <c r="AP185" s="108"/>
    </row>
    <row r="186" spans="19:42" hidden="1" x14ac:dyDescent="0.3">
      <c r="S186" s="121"/>
      <c r="T186" s="146" t="s">
        <v>187</v>
      </c>
      <c r="U186" s="106">
        <v>23000</v>
      </c>
      <c r="V186" s="107">
        <v>0</v>
      </c>
      <c r="W186" s="107">
        <v>0</v>
      </c>
      <c r="X186" s="107">
        <v>0</v>
      </c>
      <c r="Y186" s="107">
        <v>0</v>
      </c>
      <c r="Z186" s="107">
        <v>380</v>
      </c>
      <c r="AA186" s="107">
        <v>2450</v>
      </c>
      <c r="AB186" s="107">
        <v>2450</v>
      </c>
      <c r="AC186" s="107">
        <f t="shared" si="38"/>
        <v>3185</v>
      </c>
      <c r="AD186" s="107">
        <v>0</v>
      </c>
      <c r="AE186" s="107">
        <v>3500</v>
      </c>
      <c r="AF186" s="107">
        <v>0</v>
      </c>
      <c r="AG186" s="107">
        <v>2890</v>
      </c>
      <c r="AH186" s="107">
        <v>0</v>
      </c>
      <c r="AI186" s="107">
        <v>0</v>
      </c>
      <c r="AJ186" s="107">
        <v>610</v>
      </c>
      <c r="AK186" s="107">
        <v>0</v>
      </c>
      <c r="AL186" s="107">
        <v>290</v>
      </c>
      <c r="AM186" s="107">
        <v>1200</v>
      </c>
      <c r="AN186" s="110">
        <v>0</v>
      </c>
      <c r="AP186" s="108"/>
    </row>
    <row r="187" spans="19:42" hidden="1" x14ac:dyDescent="0.3">
      <c r="S187" s="121"/>
      <c r="T187" s="146" t="s">
        <v>188</v>
      </c>
      <c r="U187" s="106">
        <v>27390</v>
      </c>
      <c r="V187" s="107">
        <v>0</v>
      </c>
      <c r="W187" s="107">
        <v>0</v>
      </c>
      <c r="X187" s="107">
        <v>0</v>
      </c>
      <c r="Y187" s="107">
        <v>0</v>
      </c>
      <c r="Z187" s="107">
        <v>380</v>
      </c>
      <c r="AA187" s="107">
        <v>2450</v>
      </c>
      <c r="AB187" s="107">
        <v>2450</v>
      </c>
      <c r="AC187" s="107">
        <f t="shared" si="38"/>
        <v>3185</v>
      </c>
      <c r="AD187" s="107">
        <v>0</v>
      </c>
      <c r="AE187" s="107">
        <v>3500</v>
      </c>
      <c r="AF187" s="107">
        <v>0</v>
      </c>
      <c r="AG187" s="107">
        <v>2890</v>
      </c>
      <c r="AH187" s="107">
        <v>0</v>
      </c>
      <c r="AI187" s="107">
        <v>0</v>
      </c>
      <c r="AJ187" s="107">
        <v>610</v>
      </c>
      <c r="AK187" s="107">
        <v>0</v>
      </c>
      <c r="AL187" s="107">
        <v>350</v>
      </c>
      <c r="AM187" s="107">
        <v>1600</v>
      </c>
      <c r="AN187" s="110">
        <v>0</v>
      </c>
      <c r="AP187" s="108"/>
    </row>
    <row r="188" spans="19:42" hidden="1" x14ac:dyDescent="0.3">
      <c r="S188" s="121"/>
      <c r="T188" s="146" t="s">
        <v>189</v>
      </c>
      <c r="U188" s="106">
        <v>29516</v>
      </c>
      <c r="V188" s="107">
        <v>0</v>
      </c>
      <c r="W188" s="107">
        <v>0</v>
      </c>
      <c r="X188" s="107">
        <v>0</v>
      </c>
      <c r="Y188" s="107">
        <v>0</v>
      </c>
      <c r="Z188" s="107">
        <v>420</v>
      </c>
      <c r="AA188" s="107">
        <v>2450</v>
      </c>
      <c r="AB188" s="107">
        <v>2450</v>
      </c>
      <c r="AC188" s="107">
        <f t="shared" si="38"/>
        <v>3185</v>
      </c>
      <c r="AD188" s="107">
        <v>0</v>
      </c>
      <c r="AE188" s="107">
        <v>3500</v>
      </c>
      <c r="AF188" s="107">
        <v>0</v>
      </c>
      <c r="AG188" s="107">
        <v>2890</v>
      </c>
      <c r="AH188" s="107">
        <v>0</v>
      </c>
      <c r="AI188" s="107">
        <v>0</v>
      </c>
      <c r="AJ188" s="107">
        <v>2400</v>
      </c>
      <c r="AK188" s="107">
        <v>0</v>
      </c>
      <c r="AL188" s="107">
        <v>450</v>
      </c>
      <c r="AM188" s="107">
        <v>4900</v>
      </c>
      <c r="AN188" s="110">
        <v>0</v>
      </c>
      <c r="AP188" s="108"/>
    </row>
    <row r="189" spans="19:42" hidden="1" x14ac:dyDescent="0.3">
      <c r="S189" s="121"/>
      <c r="T189" s="146" t="s">
        <v>190</v>
      </c>
      <c r="U189" s="106">
        <v>36700</v>
      </c>
      <c r="V189" s="107">
        <v>0</v>
      </c>
      <c r="W189" s="107">
        <v>0</v>
      </c>
      <c r="X189" s="107">
        <v>0</v>
      </c>
      <c r="Y189" s="107">
        <v>0</v>
      </c>
      <c r="Z189" s="107">
        <v>420</v>
      </c>
      <c r="AA189" s="107">
        <v>2900</v>
      </c>
      <c r="AB189" s="107">
        <v>2900</v>
      </c>
      <c r="AC189" s="107">
        <f t="shared" si="38"/>
        <v>3770</v>
      </c>
      <c r="AD189" s="107">
        <v>0</v>
      </c>
      <c r="AE189" s="107">
        <v>3500</v>
      </c>
      <c r="AF189" s="107">
        <v>0</v>
      </c>
      <c r="AG189" s="107">
        <v>2890</v>
      </c>
      <c r="AH189" s="107">
        <v>0</v>
      </c>
      <c r="AI189" s="107">
        <v>0</v>
      </c>
      <c r="AJ189" s="107">
        <v>2900</v>
      </c>
      <c r="AK189" s="107">
        <v>0</v>
      </c>
      <c r="AL189" s="107">
        <v>620</v>
      </c>
      <c r="AM189" s="107">
        <v>4900</v>
      </c>
      <c r="AN189" s="110">
        <v>0</v>
      </c>
      <c r="AP189" s="108"/>
    </row>
    <row r="190" spans="19:42" hidden="1" x14ac:dyDescent="0.3">
      <c r="S190" s="121"/>
      <c r="T190" s="146" t="s">
        <v>191</v>
      </c>
      <c r="U190" s="106">
        <v>49600</v>
      </c>
      <c r="V190" s="107">
        <v>0</v>
      </c>
      <c r="W190" s="107">
        <v>0</v>
      </c>
      <c r="X190" s="107">
        <v>0</v>
      </c>
      <c r="Y190" s="107">
        <v>0</v>
      </c>
      <c r="Z190" s="107">
        <v>610</v>
      </c>
      <c r="AA190" s="107">
        <v>4300</v>
      </c>
      <c r="AB190" s="107">
        <v>4300</v>
      </c>
      <c r="AC190" s="107">
        <f t="shared" si="38"/>
        <v>5590</v>
      </c>
      <c r="AD190" s="107">
        <v>0</v>
      </c>
      <c r="AE190" s="107">
        <v>3500</v>
      </c>
      <c r="AF190" s="107">
        <v>0</v>
      </c>
      <c r="AG190" s="107">
        <v>3500</v>
      </c>
      <c r="AH190" s="107">
        <v>0</v>
      </c>
      <c r="AI190" s="107">
        <v>0</v>
      </c>
      <c r="AJ190" s="107">
        <v>3100</v>
      </c>
      <c r="AK190" s="107">
        <v>0</v>
      </c>
      <c r="AL190" s="107">
        <v>750</v>
      </c>
      <c r="AM190" s="107">
        <v>5200</v>
      </c>
      <c r="AN190" s="110">
        <v>0</v>
      </c>
      <c r="AP190" s="108"/>
    </row>
    <row r="191" spans="19:42" hidden="1" x14ac:dyDescent="0.3">
      <c r="S191" s="121"/>
      <c r="T191" s="146" t="s">
        <v>192</v>
      </c>
      <c r="U191" s="106">
        <v>62300</v>
      </c>
      <c r="V191" s="107">
        <v>0</v>
      </c>
      <c r="W191" s="107">
        <v>0</v>
      </c>
      <c r="X191" s="107">
        <v>0</v>
      </c>
      <c r="Y191" s="107">
        <v>0</v>
      </c>
      <c r="Z191" s="107">
        <v>610</v>
      </c>
      <c r="AA191" s="107">
        <v>4900</v>
      </c>
      <c r="AB191" s="107">
        <v>4900</v>
      </c>
      <c r="AC191" s="107">
        <f t="shared" si="38"/>
        <v>6370</v>
      </c>
      <c r="AD191" s="107">
        <v>0</v>
      </c>
      <c r="AE191" s="107">
        <v>3500</v>
      </c>
      <c r="AF191" s="107">
        <v>0</v>
      </c>
      <c r="AG191" s="107">
        <v>3500</v>
      </c>
      <c r="AH191" s="107">
        <v>0</v>
      </c>
      <c r="AI191" s="107">
        <v>0</v>
      </c>
      <c r="AJ191" s="107">
        <v>3100</v>
      </c>
      <c r="AK191" s="107">
        <v>0</v>
      </c>
      <c r="AL191" s="107">
        <v>750</v>
      </c>
      <c r="AM191" s="107">
        <v>6800</v>
      </c>
      <c r="AN191" s="110">
        <v>0</v>
      </c>
      <c r="AP191" s="108"/>
    </row>
    <row r="192" spans="19:42" hidden="1" x14ac:dyDescent="0.3">
      <c r="S192" s="121"/>
      <c r="T192" s="146" t="s">
        <v>193</v>
      </c>
      <c r="U192" s="106">
        <v>83180</v>
      </c>
      <c r="V192" s="107">
        <v>0</v>
      </c>
      <c r="W192" s="107">
        <v>0</v>
      </c>
      <c r="X192" s="107">
        <v>0</v>
      </c>
      <c r="Y192" s="107">
        <v>0</v>
      </c>
      <c r="Z192" s="107">
        <v>610</v>
      </c>
      <c r="AA192" s="107">
        <v>4900</v>
      </c>
      <c r="AB192" s="107">
        <v>4900</v>
      </c>
      <c r="AC192" s="107">
        <f t="shared" si="38"/>
        <v>6370</v>
      </c>
      <c r="AD192" s="107">
        <v>0</v>
      </c>
      <c r="AE192" s="107">
        <v>3500</v>
      </c>
      <c r="AF192" s="107">
        <v>0</v>
      </c>
      <c r="AG192" s="107">
        <v>3500</v>
      </c>
      <c r="AH192" s="107">
        <v>0</v>
      </c>
      <c r="AI192" s="107">
        <v>0</v>
      </c>
      <c r="AJ192" s="107">
        <v>3400</v>
      </c>
      <c r="AK192" s="107">
        <v>0</v>
      </c>
      <c r="AL192" s="107">
        <v>890</v>
      </c>
      <c r="AM192" s="107">
        <v>8900</v>
      </c>
      <c r="AN192" s="110">
        <v>0</v>
      </c>
      <c r="AP192" s="108"/>
    </row>
    <row r="193" spans="19:42" hidden="1" x14ac:dyDescent="0.3">
      <c r="S193" s="121"/>
      <c r="T193" s="146" t="s">
        <v>194</v>
      </c>
      <c r="U193" s="106">
        <v>102350</v>
      </c>
      <c r="V193" s="107">
        <v>0</v>
      </c>
      <c r="W193" s="107">
        <v>0</v>
      </c>
      <c r="X193" s="107">
        <v>0</v>
      </c>
      <c r="Y193" s="107">
        <v>0</v>
      </c>
      <c r="Z193" s="107">
        <v>610</v>
      </c>
      <c r="AA193" s="107">
        <v>5800</v>
      </c>
      <c r="AB193" s="107">
        <v>5800</v>
      </c>
      <c r="AC193" s="107">
        <f t="shared" si="38"/>
        <v>7540</v>
      </c>
      <c r="AD193" s="107">
        <v>0</v>
      </c>
      <c r="AE193" s="107">
        <v>3500</v>
      </c>
      <c r="AF193" s="107">
        <v>0</v>
      </c>
      <c r="AG193" s="107">
        <v>3500</v>
      </c>
      <c r="AH193" s="107">
        <v>0</v>
      </c>
      <c r="AI193" s="107">
        <v>0</v>
      </c>
      <c r="AJ193" s="107">
        <v>3600</v>
      </c>
      <c r="AK193" s="107">
        <v>0</v>
      </c>
      <c r="AL193" s="107">
        <v>890</v>
      </c>
      <c r="AM193" s="107">
        <v>8900</v>
      </c>
      <c r="AN193" s="110">
        <v>0</v>
      </c>
      <c r="AP193" s="108"/>
    </row>
    <row r="194" spans="19:42" hidden="1" x14ac:dyDescent="0.3">
      <c r="S194" s="121"/>
      <c r="T194" s="146" t="s">
        <v>195</v>
      </c>
      <c r="U194" s="106">
        <v>122200</v>
      </c>
      <c r="V194" s="107">
        <v>0</v>
      </c>
      <c r="W194" s="107">
        <v>0</v>
      </c>
      <c r="X194" s="107">
        <v>0</v>
      </c>
      <c r="Y194" s="107">
        <v>0</v>
      </c>
      <c r="Z194" s="107">
        <v>680</v>
      </c>
      <c r="AA194" s="107">
        <v>5800</v>
      </c>
      <c r="AB194" s="107">
        <v>5800</v>
      </c>
      <c r="AC194" s="107">
        <f t="shared" si="38"/>
        <v>7540</v>
      </c>
      <c r="AD194" s="107">
        <v>0</v>
      </c>
      <c r="AE194" s="107">
        <v>3500</v>
      </c>
      <c r="AF194" s="107">
        <v>0</v>
      </c>
      <c r="AG194" s="107">
        <v>3500</v>
      </c>
      <c r="AH194" s="107">
        <v>0</v>
      </c>
      <c r="AI194" s="107">
        <v>0</v>
      </c>
      <c r="AJ194" s="107">
        <v>4200</v>
      </c>
      <c r="AK194" s="107">
        <v>0</v>
      </c>
      <c r="AL194" s="107">
        <v>890</v>
      </c>
      <c r="AM194" s="107">
        <v>8900</v>
      </c>
      <c r="AN194" s="110">
        <v>0</v>
      </c>
      <c r="AP194" s="108"/>
    </row>
    <row r="195" spans="19:42" hidden="1" x14ac:dyDescent="0.3">
      <c r="S195" s="121"/>
      <c r="T195" s="146" t="s">
        <v>196</v>
      </c>
      <c r="U195" s="106">
        <v>141700</v>
      </c>
      <c r="V195" s="107">
        <v>0</v>
      </c>
      <c r="W195" s="107">
        <v>0</v>
      </c>
      <c r="X195" s="107">
        <v>0</v>
      </c>
      <c r="Y195" s="107">
        <v>0</v>
      </c>
      <c r="Z195" s="107">
        <v>680</v>
      </c>
      <c r="AA195" s="107">
        <v>6100</v>
      </c>
      <c r="AB195" s="107">
        <v>6100</v>
      </c>
      <c r="AC195" s="107">
        <f t="shared" si="38"/>
        <v>7930</v>
      </c>
      <c r="AD195" s="107">
        <v>0</v>
      </c>
      <c r="AE195" s="107">
        <v>3500</v>
      </c>
      <c r="AF195" s="107">
        <v>0</v>
      </c>
      <c r="AG195" s="107">
        <v>3500</v>
      </c>
      <c r="AH195" s="107">
        <v>0</v>
      </c>
      <c r="AI195" s="107">
        <v>0</v>
      </c>
      <c r="AJ195" s="107">
        <v>4200</v>
      </c>
      <c r="AK195" s="107">
        <v>0</v>
      </c>
      <c r="AL195" s="107">
        <v>1600</v>
      </c>
      <c r="AM195" s="107">
        <v>9900</v>
      </c>
      <c r="AN195" s="110">
        <v>0</v>
      </c>
      <c r="AP195" s="108"/>
    </row>
    <row r="196" spans="19:42" hidden="1" x14ac:dyDescent="0.3">
      <c r="S196" s="121"/>
      <c r="T196" s="140" t="s">
        <v>237</v>
      </c>
      <c r="U196" s="138" t="s">
        <v>7</v>
      </c>
      <c r="V196" s="138"/>
      <c r="W196" s="138"/>
      <c r="X196" s="138"/>
      <c r="Y196" s="138"/>
      <c r="Z196" s="138"/>
      <c r="AA196" s="138"/>
      <c r="AB196" s="138"/>
      <c r="AC196" s="138"/>
      <c r="AD196" s="138"/>
      <c r="AE196" s="138"/>
      <c r="AF196" s="138"/>
      <c r="AG196" s="138"/>
      <c r="AH196" s="138"/>
      <c r="AI196" s="138"/>
      <c r="AJ196" s="138"/>
      <c r="AK196" s="138"/>
      <c r="AL196" s="138"/>
      <c r="AM196" s="138"/>
      <c r="AN196" s="139"/>
      <c r="AP196" s="108"/>
    </row>
    <row r="197" spans="19:42" hidden="1" x14ac:dyDescent="0.3">
      <c r="S197" s="121"/>
      <c r="T197" s="140" t="s">
        <v>197</v>
      </c>
      <c r="U197" s="138" t="s">
        <v>7</v>
      </c>
      <c r="V197" s="138"/>
      <c r="W197" s="138"/>
      <c r="X197" s="138"/>
      <c r="Y197" s="138"/>
      <c r="Z197" s="138"/>
      <c r="AA197" s="138"/>
      <c r="AB197" s="138"/>
      <c r="AC197" s="138"/>
      <c r="AD197" s="138"/>
      <c r="AE197" s="138"/>
      <c r="AF197" s="138"/>
      <c r="AG197" s="138"/>
      <c r="AH197" s="138"/>
      <c r="AI197" s="138"/>
      <c r="AJ197" s="138"/>
      <c r="AK197" s="138"/>
      <c r="AL197" s="138"/>
      <c r="AM197" s="138"/>
      <c r="AN197" s="139"/>
      <c r="AP197" s="108"/>
    </row>
    <row r="198" spans="19:42" hidden="1" x14ac:dyDescent="0.3">
      <c r="S198" s="121"/>
      <c r="T198" s="140" t="s">
        <v>238</v>
      </c>
      <c r="U198" s="138" t="s">
        <v>7</v>
      </c>
      <c r="V198" s="138"/>
      <c r="W198" s="138"/>
      <c r="X198" s="138"/>
      <c r="Y198" s="138"/>
      <c r="Z198" s="138"/>
      <c r="AA198" s="138"/>
      <c r="AB198" s="138"/>
      <c r="AC198" s="138"/>
      <c r="AD198" s="138"/>
      <c r="AE198" s="138"/>
      <c r="AF198" s="138"/>
      <c r="AG198" s="138"/>
      <c r="AH198" s="138"/>
      <c r="AI198" s="138"/>
      <c r="AJ198" s="138"/>
      <c r="AK198" s="138"/>
      <c r="AL198" s="138"/>
      <c r="AM198" s="138"/>
      <c r="AN198" s="139"/>
      <c r="AP198" s="108"/>
    </row>
    <row r="199" spans="19:42" hidden="1" x14ac:dyDescent="0.3">
      <c r="S199" s="121"/>
      <c r="T199" s="140" t="s">
        <v>198</v>
      </c>
      <c r="U199" s="138" t="s">
        <v>7</v>
      </c>
      <c r="V199" s="138"/>
      <c r="W199" s="138"/>
      <c r="X199" s="138"/>
      <c r="Y199" s="138"/>
      <c r="Z199" s="138"/>
      <c r="AA199" s="138"/>
      <c r="AB199" s="138"/>
      <c r="AC199" s="138"/>
      <c r="AD199" s="138"/>
      <c r="AE199" s="138"/>
      <c r="AF199" s="138"/>
      <c r="AG199" s="138"/>
      <c r="AH199" s="138"/>
      <c r="AI199" s="138"/>
      <c r="AJ199" s="138"/>
      <c r="AK199" s="138"/>
      <c r="AL199" s="138"/>
      <c r="AM199" s="138"/>
      <c r="AN199" s="139"/>
      <c r="AP199" s="108"/>
    </row>
    <row r="200" spans="19:42" hidden="1" x14ac:dyDescent="0.3">
      <c r="S200" s="121"/>
      <c r="T200" s="140" t="s">
        <v>239</v>
      </c>
      <c r="U200" s="138" t="s">
        <v>7</v>
      </c>
      <c r="V200" s="138"/>
      <c r="W200" s="138"/>
      <c r="X200" s="138"/>
      <c r="Y200" s="138"/>
      <c r="Z200" s="138"/>
      <c r="AA200" s="138"/>
      <c r="AB200" s="138"/>
      <c r="AC200" s="138"/>
      <c r="AD200" s="138"/>
      <c r="AE200" s="138"/>
      <c r="AF200" s="138"/>
      <c r="AG200" s="138"/>
      <c r="AH200" s="138"/>
      <c r="AI200" s="138"/>
      <c r="AJ200" s="138"/>
      <c r="AK200" s="138"/>
      <c r="AL200" s="138"/>
      <c r="AM200" s="138"/>
      <c r="AN200" s="139"/>
      <c r="AP200" s="108"/>
    </row>
    <row r="201" spans="19:42" hidden="1" x14ac:dyDescent="0.3">
      <c r="S201" s="121"/>
      <c r="T201" s="140" t="s">
        <v>240</v>
      </c>
      <c r="U201" s="138" t="s">
        <v>7</v>
      </c>
      <c r="V201" s="138"/>
      <c r="W201" s="138"/>
      <c r="X201" s="138"/>
      <c r="Y201" s="138"/>
      <c r="Z201" s="138"/>
      <c r="AA201" s="138"/>
      <c r="AB201" s="138"/>
      <c r="AC201" s="138"/>
      <c r="AD201" s="138"/>
      <c r="AE201" s="138"/>
      <c r="AF201" s="138"/>
      <c r="AG201" s="138"/>
      <c r="AH201" s="138"/>
      <c r="AI201" s="138"/>
      <c r="AJ201" s="138"/>
      <c r="AK201" s="138"/>
      <c r="AL201" s="138"/>
      <c r="AM201" s="138"/>
      <c r="AN201" s="139"/>
      <c r="AP201" s="108"/>
    </row>
    <row r="202" spans="19:42" hidden="1" x14ac:dyDescent="0.3">
      <c r="S202" s="121"/>
      <c r="T202" s="140" t="s">
        <v>241</v>
      </c>
      <c r="U202" s="138" t="s">
        <v>7</v>
      </c>
      <c r="V202" s="138"/>
      <c r="W202" s="138"/>
      <c r="X202" s="138"/>
      <c r="Y202" s="138"/>
      <c r="Z202" s="138"/>
      <c r="AA202" s="138"/>
      <c r="AB202" s="138"/>
      <c r="AC202" s="138"/>
      <c r="AD202" s="138"/>
      <c r="AE202" s="138"/>
      <c r="AF202" s="138"/>
      <c r="AG202" s="138"/>
      <c r="AH202" s="138"/>
      <c r="AI202" s="138"/>
      <c r="AJ202" s="138"/>
      <c r="AK202" s="138"/>
      <c r="AL202" s="138"/>
      <c r="AM202" s="138"/>
      <c r="AN202" s="139"/>
      <c r="AP202" s="108"/>
    </row>
    <row r="203" spans="19:42" ht="15" hidden="1" thickBot="1" x14ac:dyDescent="0.35">
      <c r="S203" s="121"/>
      <c r="T203" s="141" t="s">
        <v>242</v>
      </c>
      <c r="U203" s="142" t="s">
        <v>7</v>
      </c>
      <c r="V203" s="142"/>
      <c r="W203" s="142"/>
      <c r="X203" s="142"/>
      <c r="Y203" s="142"/>
      <c r="Z203" s="142"/>
      <c r="AA203" s="142"/>
      <c r="AB203" s="142"/>
      <c r="AC203" s="142"/>
      <c r="AD203" s="142"/>
      <c r="AE203" s="142"/>
      <c r="AF203" s="142"/>
      <c r="AG203" s="142"/>
      <c r="AH203" s="142"/>
      <c r="AI203" s="142"/>
      <c r="AJ203" s="142"/>
      <c r="AK203" s="142"/>
      <c r="AL203" s="142"/>
      <c r="AM203" s="142"/>
      <c r="AN203" s="143"/>
      <c r="AP203" s="108"/>
    </row>
    <row r="204" spans="19:42" hidden="1" x14ac:dyDescent="0.3">
      <c r="S204" s="121"/>
      <c r="AP204" s="108"/>
    </row>
    <row r="205" spans="19:42" ht="15" hidden="1" thickBot="1" x14ac:dyDescent="0.35">
      <c r="S205" s="121"/>
      <c r="AP205" s="108"/>
    </row>
    <row r="206" spans="19:42" hidden="1" x14ac:dyDescent="0.3">
      <c r="S206" s="121"/>
      <c r="T206" s="972" t="s">
        <v>252</v>
      </c>
      <c r="U206" s="973"/>
      <c r="V206" s="973"/>
      <c r="W206" s="973"/>
      <c r="X206" s="973"/>
      <c r="Y206" s="973"/>
      <c r="Z206" s="973"/>
      <c r="AA206" s="973"/>
      <c r="AB206" s="973"/>
      <c r="AC206" s="973"/>
      <c r="AD206" s="973"/>
      <c r="AE206" s="973"/>
      <c r="AF206" s="973"/>
      <c r="AG206" s="973"/>
      <c r="AH206" s="973"/>
      <c r="AI206" s="973"/>
      <c r="AJ206" s="973"/>
      <c r="AK206" s="973"/>
      <c r="AL206" s="973"/>
      <c r="AM206" s="973"/>
      <c r="AN206" s="974"/>
      <c r="AP206" s="108"/>
    </row>
    <row r="207" spans="19:42" ht="15" hidden="1" thickBot="1" x14ac:dyDescent="0.35">
      <c r="S207" s="121"/>
      <c r="T207" s="975"/>
      <c r="U207" s="976"/>
      <c r="V207" s="976"/>
      <c r="W207" s="976"/>
      <c r="X207" s="976"/>
      <c r="Y207" s="976"/>
      <c r="Z207" s="976"/>
      <c r="AA207" s="976"/>
      <c r="AB207" s="976"/>
      <c r="AC207" s="976"/>
      <c r="AD207" s="976"/>
      <c r="AE207" s="976"/>
      <c r="AF207" s="976"/>
      <c r="AG207" s="976"/>
      <c r="AH207" s="976"/>
      <c r="AI207" s="976"/>
      <c r="AJ207" s="976"/>
      <c r="AK207" s="976"/>
      <c r="AL207" s="976"/>
      <c r="AM207" s="976"/>
      <c r="AN207" s="977"/>
      <c r="AP207" s="108"/>
    </row>
    <row r="208" spans="19:42" ht="15" hidden="1" thickBot="1" x14ac:dyDescent="0.35">
      <c r="S208" s="121"/>
      <c r="T208" s="147" t="s">
        <v>265</v>
      </c>
      <c r="U208" s="113" t="s">
        <v>366</v>
      </c>
      <c r="V208" s="112" t="s">
        <v>283</v>
      </c>
      <c r="W208" s="113" t="s">
        <v>284</v>
      </c>
      <c r="X208" s="113" t="s">
        <v>285</v>
      </c>
      <c r="Y208" s="113" t="s">
        <v>286</v>
      </c>
      <c r="Z208" s="113" t="s">
        <v>287</v>
      </c>
      <c r="AA208" s="104" t="s">
        <v>244</v>
      </c>
      <c r="AB208" s="102" t="s">
        <v>245</v>
      </c>
      <c r="AC208" s="102" t="s">
        <v>175</v>
      </c>
      <c r="AD208" s="102" t="s">
        <v>7</v>
      </c>
      <c r="AE208" s="104" t="s">
        <v>176</v>
      </c>
      <c r="AF208" s="102" t="s">
        <v>7</v>
      </c>
      <c r="AG208" s="104" t="s">
        <v>243</v>
      </c>
      <c r="AH208" s="102" t="s">
        <v>7</v>
      </c>
      <c r="AI208" s="104" t="s">
        <v>246</v>
      </c>
      <c r="AJ208" s="102" t="s">
        <v>249</v>
      </c>
      <c r="AK208" s="103" t="s">
        <v>7</v>
      </c>
      <c r="AL208" s="104" t="s">
        <v>247</v>
      </c>
      <c r="AM208" s="102"/>
      <c r="AN208" s="103" t="s">
        <v>7</v>
      </c>
      <c r="AP208" s="108"/>
    </row>
    <row r="209" spans="19:42" ht="15" hidden="1" thickBot="1" x14ac:dyDescent="0.35">
      <c r="S209" s="121"/>
      <c r="T209" s="130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131"/>
      <c r="AP209" s="108"/>
    </row>
    <row r="210" spans="19:42" hidden="1" x14ac:dyDescent="0.3">
      <c r="S210" s="121"/>
      <c r="T210" s="192" t="s">
        <v>178</v>
      </c>
      <c r="U210" s="193"/>
      <c r="V210" s="193"/>
      <c r="W210" s="194"/>
      <c r="X210" s="194"/>
      <c r="Y210" s="194"/>
      <c r="Z210" s="194"/>
      <c r="AA210" s="194"/>
      <c r="AB210" s="194"/>
      <c r="AC210" s="194"/>
      <c r="AD210" s="194"/>
      <c r="AE210" s="194"/>
      <c r="AF210" s="194"/>
      <c r="AG210" s="194"/>
      <c r="AH210" s="194"/>
      <c r="AI210" s="194"/>
      <c r="AJ210" s="194"/>
      <c r="AK210" s="194"/>
      <c r="AL210" s="194"/>
      <c r="AM210" s="194"/>
      <c r="AN210" s="195"/>
      <c r="AP210" s="108"/>
    </row>
    <row r="211" spans="19:42" hidden="1" x14ac:dyDescent="0.3">
      <c r="S211" s="121"/>
      <c r="T211" s="144" t="s">
        <v>179</v>
      </c>
      <c r="U211" s="138"/>
      <c r="V211" s="138"/>
      <c r="W211" s="138"/>
      <c r="X211" s="138"/>
      <c r="Y211" s="138"/>
      <c r="Z211" s="138"/>
      <c r="AA211" s="138"/>
      <c r="AB211" s="138"/>
      <c r="AC211" s="138"/>
      <c r="AD211" s="138"/>
      <c r="AE211" s="138"/>
      <c r="AF211" s="138"/>
      <c r="AG211" s="138"/>
      <c r="AH211" s="138"/>
      <c r="AI211" s="138"/>
      <c r="AJ211" s="138"/>
      <c r="AK211" s="138"/>
      <c r="AL211" s="138"/>
      <c r="AM211" s="138"/>
      <c r="AN211" s="139"/>
      <c r="AP211" s="108"/>
    </row>
    <row r="212" spans="19:42" hidden="1" x14ac:dyDescent="0.3">
      <c r="S212" s="121"/>
      <c r="T212" s="144" t="s">
        <v>180</v>
      </c>
      <c r="U212" s="138"/>
      <c r="V212" s="138"/>
      <c r="W212" s="138"/>
      <c r="X212" s="138"/>
      <c r="Y212" s="138"/>
      <c r="Z212" s="138"/>
      <c r="AA212" s="138"/>
      <c r="AB212" s="138"/>
      <c r="AC212" s="138"/>
      <c r="AD212" s="138"/>
      <c r="AE212" s="138"/>
      <c r="AF212" s="138"/>
      <c r="AG212" s="138"/>
      <c r="AH212" s="138"/>
      <c r="AI212" s="138"/>
      <c r="AJ212" s="138"/>
      <c r="AK212" s="138"/>
      <c r="AL212" s="138"/>
      <c r="AM212" s="138"/>
      <c r="AN212" s="139"/>
      <c r="AP212" s="108"/>
    </row>
    <row r="213" spans="19:42" hidden="1" x14ac:dyDescent="0.3">
      <c r="S213" s="121"/>
      <c r="T213" s="144" t="s">
        <v>181</v>
      </c>
      <c r="U213" s="138"/>
      <c r="V213" s="138"/>
      <c r="W213" s="138"/>
      <c r="X213" s="138"/>
      <c r="Y213" s="138"/>
      <c r="Z213" s="138"/>
      <c r="AA213" s="138"/>
      <c r="AB213" s="138"/>
      <c r="AC213" s="138"/>
      <c r="AD213" s="138"/>
      <c r="AE213" s="138"/>
      <c r="AF213" s="138"/>
      <c r="AG213" s="138"/>
      <c r="AH213" s="138"/>
      <c r="AI213" s="138"/>
      <c r="AJ213" s="138"/>
      <c r="AK213" s="138"/>
      <c r="AL213" s="138"/>
      <c r="AM213" s="138"/>
      <c r="AN213" s="139"/>
      <c r="AP213" s="108"/>
    </row>
    <row r="214" spans="19:42" hidden="1" x14ac:dyDescent="0.3">
      <c r="S214" s="121"/>
      <c r="T214" s="144" t="s">
        <v>182</v>
      </c>
      <c r="U214" s="138"/>
      <c r="V214" s="138"/>
      <c r="W214" s="138"/>
      <c r="X214" s="138"/>
      <c r="Y214" s="138"/>
      <c r="Z214" s="138"/>
      <c r="AA214" s="138"/>
      <c r="AB214" s="138"/>
      <c r="AC214" s="138"/>
      <c r="AD214" s="138"/>
      <c r="AE214" s="138"/>
      <c r="AF214" s="138"/>
      <c r="AG214" s="138"/>
      <c r="AH214" s="138"/>
      <c r="AI214" s="138"/>
      <c r="AJ214" s="138"/>
      <c r="AK214" s="138"/>
      <c r="AL214" s="138"/>
      <c r="AM214" s="138"/>
      <c r="AN214" s="139"/>
      <c r="AP214" s="108"/>
    </row>
    <row r="215" spans="19:42" hidden="1" x14ac:dyDescent="0.3">
      <c r="S215" s="121"/>
      <c r="T215" s="144" t="s">
        <v>183</v>
      </c>
      <c r="U215" s="138"/>
      <c r="V215" s="138"/>
      <c r="W215" s="138"/>
      <c r="X215" s="138"/>
      <c r="Y215" s="138"/>
      <c r="Z215" s="138"/>
      <c r="AA215" s="138"/>
      <c r="AB215" s="138"/>
      <c r="AC215" s="138"/>
      <c r="AD215" s="138"/>
      <c r="AE215" s="138"/>
      <c r="AF215" s="138"/>
      <c r="AG215" s="138"/>
      <c r="AH215" s="138"/>
      <c r="AI215" s="138"/>
      <c r="AJ215" s="138"/>
      <c r="AK215" s="138"/>
      <c r="AL215" s="138"/>
      <c r="AM215" s="138"/>
      <c r="AN215" s="139"/>
      <c r="AP215" s="108"/>
    </row>
    <row r="216" spans="19:42" hidden="1" x14ac:dyDescent="0.3">
      <c r="S216" s="121"/>
      <c r="T216" s="144" t="s">
        <v>184</v>
      </c>
      <c r="U216" s="138"/>
      <c r="V216" s="138"/>
      <c r="W216" s="138"/>
      <c r="X216" s="138"/>
      <c r="Y216" s="138"/>
      <c r="Z216" s="138"/>
      <c r="AA216" s="138"/>
      <c r="AB216" s="138"/>
      <c r="AC216" s="138"/>
      <c r="AD216" s="138"/>
      <c r="AE216" s="138"/>
      <c r="AF216" s="138"/>
      <c r="AG216" s="138"/>
      <c r="AH216" s="138"/>
      <c r="AI216" s="138"/>
      <c r="AJ216" s="138"/>
      <c r="AK216" s="138"/>
      <c r="AL216" s="138"/>
      <c r="AM216" s="138"/>
      <c r="AN216" s="139"/>
      <c r="AP216" s="108"/>
    </row>
    <row r="217" spans="19:42" hidden="1" x14ac:dyDescent="0.3">
      <c r="S217" s="121"/>
      <c r="T217" s="144" t="s">
        <v>185</v>
      </c>
      <c r="U217" s="138"/>
      <c r="V217" s="138"/>
      <c r="W217" s="138"/>
      <c r="X217" s="138"/>
      <c r="Y217" s="138"/>
      <c r="Z217" s="138"/>
      <c r="AA217" s="138"/>
      <c r="AB217" s="138"/>
      <c r="AC217" s="138"/>
      <c r="AD217" s="138"/>
      <c r="AE217" s="138"/>
      <c r="AF217" s="138"/>
      <c r="AG217" s="138"/>
      <c r="AH217" s="138"/>
      <c r="AI217" s="138"/>
      <c r="AJ217" s="138"/>
      <c r="AK217" s="138"/>
      <c r="AL217" s="138"/>
      <c r="AM217" s="138"/>
      <c r="AN217" s="139"/>
      <c r="AP217" s="108"/>
    </row>
    <row r="218" spans="19:42" hidden="1" x14ac:dyDescent="0.3">
      <c r="S218" s="121"/>
      <c r="T218" s="144" t="s">
        <v>186</v>
      </c>
      <c r="U218" s="138"/>
      <c r="V218" s="138"/>
      <c r="W218" s="138"/>
      <c r="X218" s="138"/>
      <c r="Y218" s="138"/>
      <c r="Z218" s="138"/>
      <c r="AA218" s="138"/>
      <c r="AB218" s="138"/>
      <c r="AC218" s="138"/>
      <c r="AD218" s="138"/>
      <c r="AE218" s="138"/>
      <c r="AF218" s="138"/>
      <c r="AG218" s="138"/>
      <c r="AH218" s="138"/>
      <c r="AI218" s="138"/>
      <c r="AJ218" s="138"/>
      <c r="AK218" s="138"/>
      <c r="AL218" s="138"/>
      <c r="AM218" s="138"/>
      <c r="AN218" s="139"/>
      <c r="AP218" s="108"/>
    </row>
    <row r="219" spans="19:42" hidden="1" x14ac:dyDescent="0.3">
      <c r="S219" s="121"/>
      <c r="T219" s="140" t="s">
        <v>235</v>
      </c>
      <c r="U219" s="137"/>
      <c r="V219" s="138"/>
      <c r="W219" s="138"/>
      <c r="X219" s="138"/>
      <c r="Y219" s="138"/>
      <c r="Z219" s="138"/>
      <c r="AA219" s="138"/>
      <c r="AB219" s="138"/>
      <c r="AC219" s="138"/>
      <c r="AD219" s="138"/>
      <c r="AE219" s="138"/>
      <c r="AF219" s="138"/>
      <c r="AG219" s="138"/>
      <c r="AH219" s="138"/>
      <c r="AI219" s="138"/>
      <c r="AJ219" s="138"/>
      <c r="AK219" s="138"/>
      <c r="AL219" s="138"/>
      <c r="AM219" s="138"/>
      <c r="AN219" s="139"/>
      <c r="AP219" s="108"/>
    </row>
    <row r="220" spans="19:42" hidden="1" x14ac:dyDescent="0.3">
      <c r="S220" s="121"/>
      <c r="T220" s="146" t="s">
        <v>236</v>
      </c>
      <c r="U220" s="106">
        <v>7900</v>
      </c>
      <c r="V220" s="191">
        <v>0</v>
      </c>
      <c r="W220" s="191">
        <v>0</v>
      </c>
      <c r="X220" s="191">
        <v>0</v>
      </c>
      <c r="Y220" s="191">
        <v>0</v>
      </c>
      <c r="Z220" s="191">
        <v>290</v>
      </c>
      <c r="AA220" s="191">
        <v>2450</v>
      </c>
      <c r="AB220" s="105">
        <v>2100</v>
      </c>
      <c r="AC220" s="105">
        <f t="shared" ref="AC220:AC232" si="39">AB220*1.3</f>
        <v>2730</v>
      </c>
      <c r="AD220" s="191">
        <v>0</v>
      </c>
      <c r="AE220" s="138">
        <v>0</v>
      </c>
      <c r="AF220" s="138">
        <v>2890</v>
      </c>
      <c r="AG220" s="191">
        <v>2890</v>
      </c>
      <c r="AH220" s="191">
        <v>0</v>
      </c>
      <c r="AI220" s="191">
        <v>490</v>
      </c>
      <c r="AJ220" s="191">
        <v>2400</v>
      </c>
      <c r="AK220" s="191">
        <v>0</v>
      </c>
      <c r="AL220" s="191">
        <v>270</v>
      </c>
      <c r="AM220" s="138"/>
      <c r="AN220" s="139"/>
      <c r="AP220" s="108"/>
    </row>
    <row r="221" spans="19:42" hidden="1" x14ac:dyDescent="0.3">
      <c r="S221" s="121"/>
      <c r="T221" s="146" t="s">
        <v>187</v>
      </c>
      <c r="U221" s="106">
        <v>8945</v>
      </c>
      <c r="V221" s="191">
        <v>0</v>
      </c>
      <c r="W221" s="191">
        <v>0</v>
      </c>
      <c r="X221" s="191">
        <v>0</v>
      </c>
      <c r="Y221" s="191">
        <v>0</v>
      </c>
      <c r="Z221" s="191">
        <v>290</v>
      </c>
      <c r="AA221" s="191">
        <v>2450</v>
      </c>
      <c r="AB221" s="105">
        <v>2450</v>
      </c>
      <c r="AC221" s="105">
        <f t="shared" si="39"/>
        <v>3185</v>
      </c>
      <c r="AD221" s="191">
        <v>0</v>
      </c>
      <c r="AE221" s="138">
        <v>0</v>
      </c>
      <c r="AF221" s="138">
        <v>2890</v>
      </c>
      <c r="AG221" s="191">
        <v>2890</v>
      </c>
      <c r="AH221" s="191">
        <v>0</v>
      </c>
      <c r="AI221" s="191">
        <v>490</v>
      </c>
      <c r="AJ221" s="191">
        <v>2400</v>
      </c>
      <c r="AK221" s="191">
        <v>0</v>
      </c>
      <c r="AL221" s="191">
        <v>270</v>
      </c>
      <c r="AM221" s="138"/>
      <c r="AN221" s="139"/>
      <c r="AP221" s="108"/>
    </row>
    <row r="222" spans="19:42" hidden="1" x14ac:dyDescent="0.3">
      <c r="S222" s="121"/>
      <c r="T222" s="140" t="s">
        <v>188</v>
      </c>
      <c r="U222" s="137" t="s">
        <v>7</v>
      </c>
      <c r="V222" s="191">
        <v>0</v>
      </c>
      <c r="W222" s="191">
        <v>0</v>
      </c>
      <c r="X222" s="191">
        <v>0</v>
      </c>
      <c r="Y222" s="191">
        <v>0</v>
      </c>
      <c r="Z222" s="138" t="s">
        <v>7</v>
      </c>
      <c r="AA222" s="138" t="s">
        <v>7</v>
      </c>
      <c r="AB222" s="138">
        <v>2450</v>
      </c>
      <c r="AC222" s="138">
        <f t="shared" si="39"/>
        <v>3185</v>
      </c>
      <c r="AD222" s="138">
        <v>0</v>
      </c>
      <c r="AE222" s="138">
        <v>0</v>
      </c>
      <c r="AF222" s="138" t="s">
        <v>7</v>
      </c>
      <c r="AG222" s="138" t="s">
        <v>7</v>
      </c>
      <c r="AH222" s="138">
        <v>0</v>
      </c>
      <c r="AI222" s="138">
        <v>0</v>
      </c>
      <c r="AJ222" s="138" t="s">
        <v>7</v>
      </c>
      <c r="AK222" s="191">
        <v>0</v>
      </c>
      <c r="AL222" s="138">
        <v>0</v>
      </c>
      <c r="AM222" s="138"/>
      <c r="AN222" s="139"/>
      <c r="AP222" s="108"/>
    </row>
    <row r="223" spans="19:42" hidden="1" x14ac:dyDescent="0.3">
      <c r="S223" s="121"/>
      <c r="T223" s="146" t="s">
        <v>189</v>
      </c>
      <c r="U223" s="106">
        <v>11480</v>
      </c>
      <c r="V223" s="191">
        <v>0</v>
      </c>
      <c r="W223" s="191">
        <v>0</v>
      </c>
      <c r="X223" s="191">
        <v>0</v>
      </c>
      <c r="Y223" s="191">
        <v>0</v>
      </c>
      <c r="Z223" s="191">
        <v>290</v>
      </c>
      <c r="AA223" s="191">
        <v>2450</v>
      </c>
      <c r="AB223" s="105">
        <v>2450</v>
      </c>
      <c r="AC223" s="105">
        <f t="shared" si="39"/>
        <v>3185</v>
      </c>
      <c r="AD223" s="191">
        <v>0</v>
      </c>
      <c r="AE223" s="138">
        <v>0</v>
      </c>
      <c r="AF223" s="138">
        <v>2890</v>
      </c>
      <c r="AG223" s="191">
        <v>2890</v>
      </c>
      <c r="AH223" s="191">
        <v>0</v>
      </c>
      <c r="AI223" s="191">
        <v>490</v>
      </c>
      <c r="AJ223" s="191">
        <v>2400</v>
      </c>
      <c r="AK223" s="191">
        <v>0</v>
      </c>
      <c r="AL223" s="191">
        <v>290</v>
      </c>
      <c r="AM223" s="138"/>
      <c r="AN223" s="139"/>
      <c r="AP223" s="108"/>
    </row>
    <row r="224" spans="19:42" hidden="1" x14ac:dyDescent="0.3">
      <c r="S224" s="121"/>
      <c r="T224" s="146" t="s">
        <v>190</v>
      </c>
      <c r="U224" s="106">
        <v>14200</v>
      </c>
      <c r="V224" s="191">
        <v>0</v>
      </c>
      <c r="W224" s="191">
        <v>0</v>
      </c>
      <c r="X224" s="191">
        <v>0</v>
      </c>
      <c r="Y224" s="191">
        <v>0</v>
      </c>
      <c r="Z224" s="191">
        <v>290</v>
      </c>
      <c r="AA224" s="191">
        <v>2900</v>
      </c>
      <c r="AB224" s="105">
        <v>2900</v>
      </c>
      <c r="AC224" s="105">
        <f t="shared" si="39"/>
        <v>3770</v>
      </c>
      <c r="AD224" s="191">
        <v>0</v>
      </c>
      <c r="AE224" s="138">
        <v>0</v>
      </c>
      <c r="AF224" s="138">
        <v>2890</v>
      </c>
      <c r="AG224" s="191">
        <v>2890</v>
      </c>
      <c r="AH224" s="191">
        <v>0</v>
      </c>
      <c r="AI224" s="191">
        <v>490</v>
      </c>
      <c r="AJ224" s="191">
        <v>2900</v>
      </c>
      <c r="AK224" s="191">
        <v>0</v>
      </c>
      <c r="AL224" s="191">
        <v>290</v>
      </c>
      <c r="AM224" s="138"/>
      <c r="AN224" s="139"/>
      <c r="AP224" s="108"/>
    </row>
    <row r="225" spans="19:42" hidden="1" x14ac:dyDescent="0.3">
      <c r="S225" s="121"/>
      <c r="T225" s="146" t="s">
        <v>191</v>
      </c>
      <c r="U225" s="106">
        <v>20100</v>
      </c>
      <c r="V225" s="191">
        <v>0</v>
      </c>
      <c r="W225" s="191">
        <v>0</v>
      </c>
      <c r="X225" s="191">
        <v>0</v>
      </c>
      <c r="Y225" s="191">
        <v>0</v>
      </c>
      <c r="Z225" s="191">
        <v>390</v>
      </c>
      <c r="AA225" s="191">
        <v>4300</v>
      </c>
      <c r="AB225" s="105">
        <v>4300</v>
      </c>
      <c r="AC225" s="105">
        <f t="shared" si="39"/>
        <v>5590</v>
      </c>
      <c r="AD225" s="191">
        <v>0</v>
      </c>
      <c r="AE225" s="138">
        <v>0</v>
      </c>
      <c r="AF225" s="138">
        <v>2890</v>
      </c>
      <c r="AG225" s="191">
        <v>2890</v>
      </c>
      <c r="AH225" s="191">
        <v>0</v>
      </c>
      <c r="AI225" s="191">
        <v>1800</v>
      </c>
      <c r="AJ225" s="191">
        <v>5100</v>
      </c>
      <c r="AK225" s="191">
        <v>0</v>
      </c>
      <c r="AL225" s="191">
        <v>310</v>
      </c>
      <c r="AM225" s="138"/>
      <c r="AN225" s="139"/>
      <c r="AP225" s="108"/>
    </row>
    <row r="226" spans="19:42" hidden="1" x14ac:dyDescent="0.3">
      <c r="S226" s="121"/>
      <c r="T226" s="146" t="s">
        <v>192</v>
      </c>
      <c r="U226" s="106">
        <v>22700</v>
      </c>
      <c r="V226" s="191">
        <v>0</v>
      </c>
      <c r="W226" s="191">
        <v>0</v>
      </c>
      <c r="X226" s="191">
        <v>0</v>
      </c>
      <c r="Y226" s="191">
        <v>0</v>
      </c>
      <c r="Z226" s="191">
        <v>390</v>
      </c>
      <c r="AA226" s="191">
        <v>4900</v>
      </c>
      <c r="AB226" s="105">
        <v>4900</v>
      </c>
      <c r="AC226" s="105">
        <f t="shared" si="39"/>
        <v>6370</v>
      </c>
      <c r="AD226" s="191">
        <v>0</v>
      </c>
      <c r="AE226" s="138">
        <v>0</v>
      </c>
      <c r="AF226" s="138">
        <v>2890</v>
      </c>
      <c r="AG226" s="191">
        <v>2890</v>
      </c>
      <c r="AH226" s="191">
        <v>0</v>
      </c>
      <c r="AI226" s="191">
        <v>1800</v>
      </c>
      <c r="AJ226" s="191">
        <v>5100</v>
      </c>
      <c r="AK226" s="191">
        <v>0</v>
      </c>
      <c r="AL226" s="191">
        <v>310</v>
      </c>
      <c r="AM226" s="138"/>
      <c r="AN226" s="139"/>
      <c r="AP226" s="108"/>
    </row>
    <row r="227" spans="19:42" hidden="1" x14ac:dyDescent="0.3">
      <c r="S227" s="121"/>
      <c r="T227" s="146" t="s">
        <v>193</v>
      </c>
      <c r="U227" s="106">
        <v>25200</v>
      </c>
      <c r="V227" s="191">
        <v>0</v>
      </c>
      <c r="W227" s="191">
        <v>0</v>
      </c>
      <c r="X227" s="191">
        <v>0</v>
      </c>
      <c r="Y227" s="191">
        <v>0</v>
      </c>
      <c r="Z227" s="191">
        <v>390</v>
      </c>
      <c r="AA227" s="191">
        <v>4900</v>
      </c>
      <c r="AB227" s="105">
        <v>4900</v>
      </c>
      <c r="AC227" s="105">
        <f t="shared" si="39"/>
        <v>6370</v>
      </c>
      <c r="AD227" s="191">
        <v>0</v>
      </c>
      <c r="AE227" s="138">
        <v>0</v>
      </c>
      <c r="AF227" s="138">
        <v>2890</v>
      </c>
      <c r="AG227" s="191">
        <v>2890</v>
      </c>
      <c r="AH227" s="191">
        <v>0</v>
      </c>
      <c r="AI227" s="191">
        <v>1800</v>
      </c>
      <c r="AJ227" s="191">
        <v>5400</v>
      </c>
      <c r="AK227" s="191">
        <v>0</v>
      </c>
      <c r="AL227" s="191">
        <v>410</v>
      </c>
      <c r="AM227" s="138"/>
      <c r="AN227" s="139"/>
      <c r="AP227" s="108"/>
    </row>
    <row r="228" spans="19:42" hidden="1" x14ac:dyDescent="0.3">
      <c r="S228" s="121"/>
      <c r="T228" s="146" t="s">
        <v>194</v>
      </c>
      <c r="U228" s="106">
        <v>38900</v>
      </c>
      <c r="V228" s="191">
        <v>0</v>
      </c>
      <c r="W228" s="191">
        <v>0</v>
      </c>
      <c r="X228" s="191">
        <v>0</v>
      </c>
      <c r="Y228" s="191">
        <v>0</v>
      </c>
      <c r="Z228" s="191">
        <v>390</v>
      </c>
      <c r="AA228" s="191">
        <v>5800</v>
      </c>
      <c r="AB228" s="105">
        <v>5800</v>
      </c>
      <c r="AC228" s="105">
        <f t="shared" si="39"/>
        <v>7540</v>
      </c>
      <c r="AD228" s="191">
        <v>0</v>
      </c>
      <c r="AE228" s="138">
        <v>0</v>
      </c>
      <c r="AF228" s="138">
        <v>2890</v>
      </c>
      <c r="AG228" s="191">
        <v>2890</v>
      </c>
      <c r="AH228" s="191">
        <v>0</v>
      </c>
      <c r="AI228" s="191">
        <v>1800</v>
      </c>
      <c r="AJ228" s="191">
        <v>5600</v>
      </c>
      <c r="AK228" s="191">
        <v>0</v>
      </c>
      <c r="AL228" s="191">
        <v>590</v>
      </c>
      <c r="AM228" s="138"/>
      <c r="AN228" s="139"/>
      <c r="AP228" s="108"/>
    </row>
    <row r="229" spans="19:42" hidden="1" x14ac:dyDescent="0.3">
      <c r="S229" s="121"/>
      <c r="T229" s="146" t="s">
        <v>195</v>
      </c>
      <c r="U229" s="106">
        <v>45900</v>
      </c>
      <c r="V229" s="191">
        <v>0</v>
      </c>
      <c r="W229" s="191">
        <v>0</v>
      </c>
      <c r="X229" s="191">
        <v>0</v>
      </c>
      <c r="Y229" s="191">
        <v>0</v>
      </c>
      <c r="Z229" s="191">
        <v>390</v>
      </c>
      <c r="AA229" s="191">
        <v>5800</v>
      </c>
      <c r="AB229" s="105">
        <v>5800</v>
      </c>
      <c r="AC229" s="105">
        <f t="shared" si="39"/>
        <v>7540</v>
      </c>
      <c r="AD229" s="191">
        <v>0</v>
      </c>
      <c r="AE229" s="138">
        <v>0</v>
      </c>
      <c r="AF229" s="138">
        <v>2890</v>
      </c>
      <c r="AG229" s="191">
        <v>2890</v>
      </c>
      <c r="AH229" s="191">
        <v>0</v>
      </c>
      <c r="AI229" s="191">
        <v>1800</v>
      </c>
      <c r="AJ229" s="191">
        <v>5600</v>
      </c>
      <c r="AK229" s="191">
        <v>0</v>
      </c>
      <c r="AL229" s="191">
        <v>590</v>
      </c>
      <c r="AM229" s="138"/>
      <c r="AN229" s="139"/>
      <c r="AP229" s="108"/>
    </row>
    <row r="230" spans="19:42" hidden="1" x14ac:dyDescent="0.3">
      <c r="S230" s="121"/>
      <c r="T230" s="146" t="s">
        <v>196</v>
      </c>
      <c r="U230" s="106">
        <v>52990</v>
      </c>
      <c r="V230" s="191">
        <v>0</v>
      </c>
      <c r="W230" s="191">
        <v>0</v>
      </c>
      <c r="X230" s="191">
        <v>0</v>
      </c>
      <c r="Y230" s="191">
        <v>0</v>
      </c>
      <c r="Z230" s="191">
        <v>390</v>
      </c>
      <c r="AA230" s="191">
        <v>5800</v>
      </c>
      <c r="AB230" s="105">
        <v>6100</v>
      </c>
      <c r="AC230" s="105">
        <f t="shared" si="39"/>
        <v>7930</v>
      </c>
      <c r="AD230" s="191">
        <v>0</v>
      </c>
      <c r="AE230" s="138">
        <v>0</v>
      </c>
      <c r="AF230" s="138">
        <v>2890</v>
      </c>
      <c r="AG230" s="191">
        <v>2890</v>
      </c>
      <c r="AH230" s="191">
        <v>0</v>
      </c>
      <c r="AI230" s="191">
        <v>1800</v>
      </c>
      <c r="AJ230" s="191">
        <v>5600</v>
      </c>
      <c r="AK230" s="191">
        <v>0</v>
      </c>
      <c r="AL230" s="191">
        <v>610</v>
      </c>
      <c r="AM230" s="138"/>
      <c r="AN230" s="139"/>
      <c r="AP230" s="108"/>
    </row>
    <row r="231" spans="19:42" hidden="1" x14ac:dyDescent="0.3">
      <c r="S231" s="121"/>
      <c r="T231" s="146" t="s">
        <v>237</v>
      </c>
      <c r="U231" s="106">
        <v>62500</v>
      </c>
      <c r="V231" s="191">
        <v>0</v>
      </c>
      <c r="W231" s="191">
        <v>0</v>
      </c>
      <c r="X231" s="191">
        <v>0</v>
      </c>
      <c r="Y231" s="191">
        <v>0</v>
      </c>
      <c r="Z231" s="191">
        <v>390</v>
      </c>
      <c r="AA231" s="191">
        <v>5800</v>
      </c>
      <c r="AB231" s="105">
        <v>6100</v>
      </c>
      <c r="AC231" s="105">
        <f t="shared" si="39"/>
        <v>7930</v>
      </c>
      <c r="AD231" s="191">
        <v>0</v>
      </c>
      <c r="AE231" s="138">
        <v>0</v>
      </c>
      <c r="AF231" s="138">
        <v>2890</v>
      </c>
      <c r="AG231" s="191">
        <v>2890</v>
      </c>
      <c r="AH231" s="191">
        <v>0</v>
      </c>
      <c r="AI231" s="191">
        <v>1800</v>
      </c>
      <c r="AJ231" s="191">
        <v>5600</v>
      </c>
      <c r="AK231" s="191">
        <v>0</v>
      </c>
      <c r="AL231" s="191">
        <v>610</v>
      </c>
      <c r="AM231" s="138"/>
      <c r="AN231" s="139"/>
      <c r="AP231" s="108"/>
    </row>
    <row r="232" spans="19:42" hidden="1" x14ac:dyDescent="0.3">
      <c r="S232" s="121"/>
      <c r="T232" s="146" t="s">
        <v>197</v>
      </c>
      <c r="U232" s="106">
        <v>73200</v>
      </c>
      <c r="V232" s="191">
        <v>0</v>
      </c>
      <c r="W232" s="191">
        <v>0</v>
      </c>
      <c r="X232" s="191">
        <v>0</v>
      </c>
      <c r="Y232" s="191">
        <v>0</v>
      </c>
      <c r="Z232" s="191">
        <v>390</v>
      </c>
      <c r="AA232" s="191">
        <v>5800</v>
      </c>
      <c r="AB232" s="105">
        <v>6100</v>
      </c>
      <c r="AC232" s="105">
        <f t="shared" si="39"/>
        <v>7930</v>
      </c>
      <c r="AD232" s="191">
        <v>0</v>
      </c>
      <c r="AE232" s="138">
        <v>0</v>
      </c>
      <c r="AF232" s="138">
        <v>2890</v>
      </c>
      <c r="AG232" s="191">
        <v>2890</v>
      </c>
      <c r="AH232" s="191">
        <v>0</v>
      </c>
      <c r="AI232" s="191">
        <v>1800</v>
      </c>
      <c r="AJ232" s="191">
        <v>5600</v>
      </c>
      <c r="AK232" s="191">
        <v>0</v>
      </c>
      <c r="AL232" s="191">
        <v>610</v>
      </c>
      <c r="AM232" s="138"/>
      <c r="AN232" s="139"/>
      <c r="AP232" s="108"/>
    </row>
    <row r="233" spans="19:42" hidden="1" x14ac:dyDescent="0.3">
      <c r="S233" s="121"/>
      <c r="T233" s="140" t="s">
        <v>238</v>
      </c>
      <c r="U233" s="137"/>
      <c r="V233" s="138"/>
      <c r="W233" s="138"/>
      <c r="X233" s="138"/>
      <c r="Y233" s="138"/>
      <c r="Z233" s="138"/>
      <c r="AA233" s="138"/>
      <c r="AB233" s="138"/>
      <c r="AC233" s="138"/>
      <c r="AD233" s="138"/>
      <c r="AE233" s="138"/>
      <c r="AF233" s="138"/>
      <c r="AG233" s="138"/>
      <c r="AH233" s="138"/>
      <c r="AI233" s="138"/>
      <c r="AJ233" s="138"/>
      <c r="AK233" s="138"/>
      <c r="AL233" s="138"/>
      <c r="AM233" s="138"/>
      <c r="AN233" s="139"/>
      <c r="AP233" s="108"/>
    </row>
    <row r="234" spans="19:42" hidden="1" x14ac:dyDescent="0.3">
      <c r="S234" s="121"/>
      <c r="T234" s="140" t="s">
        <v>198</v>
      </c>
      <c r="U234" s="138" t="s">
        <v>7</v>
      </c>
      <c r="V234" s="138"/>
      <c r="W234" s="138"/>
      <c r="X234" s="138"/>
      <c r="Y234" s="138"/>
      <c r="Z234" s="138"/>
      <c r="AA234" s="138"/>
      <c r="AB234" s="138"/>
      <c r="AC234" s="138"/>
      <c r="AD234" s="138"/>
      <c r="AE234" s="138"/>
      <c r="AF234" s="138"/>
      <c r="AG234" s="138"/>
      <c r="AH234" s="138"/>
      <c r="AI234" s="138"/>
      <c r="AJ234" s="138"/>
      <c r="AK234" s="138"/>
      <c r="AL234" s="138"/>
      <c r="AM234" s="138"/>
      <c r="AN234" s="139"/>
      <c r="AP234" s="108"/>
    </row>
    <row r="235" spans="19:42" hidden="1" x14ac:dyDescent="0.3">
      <c r="S235" s="121"/>
      <c r="T235" s="140" t="s">
        <v>239</v>
      </c>
      <c r="U235" s="138" t="s">
        <v>7</v>
      </c>
      <c r="V235" s="138"/>
      <c r="W235" s="138"/>
      <c r="X235" s="138"/>
      <c r="Y235" s="138"/>
      <c r="Z235" s="138"/>
      <c r="AA235" s="138"/>
      <c r="AB235" s="138"/>
      <c r="AC235" s="138"/>
      <c r="AD235" s="138"/>
      <c r="AE235" s="138"/>
      <c r="AF235" s="138"/>
      <c r="AG235" s="138"/>
      <c r="AH235" s="138"/>
      <c r="AI235" s="138"/>
      <c r="AJ235" s="138"/>
      <c r="AK235" s="138"/>
      <c r="AL235" s="138"/>
      <c r="AM235" s="138"/>
      <c r="AN235" s="139"/>
      <c r="AP235" s="108"/>
    </row>
    <row r="236" spans="19:42" hidden="1" x14ac:dyDescent="0.3">
      <c r="S236" s="121"/>
      <c r="T236" s="140" t="s">
        <v>240</v>
      </c>
      <c r="U236" s="138" t="s">
        <v>7</v>
      </c>
      <c r="V236" s="138"/>
      <c r="W236" s="138"/>
      <c r="X236" s="138"/>
      <c r="Y236" s="138"/>
      <c r="Z236" s="138"/>
      <c r="AA236" s="138"/>
      <c r="AB236" s="138"/>
      <c r="AC236" s="138"/>
      <c r="AD236" s="138"/>
      <c r="AE236" s="138"/>
      <c r="AF236" s="138"/>
      <c r="AG236" s="138"/>
      <c r="AH236" s="138"/>
      <c r="AI236" s="138"/>
      <c r="AJ236" s="138"/>
      <c r="AK236" s="138"/>
      <c r="AL236" s="138"/>
      <c r="AM236" s="138"/>
      <c r="AN236" s="139"/>
      <c r="AP236" s="108"/>
    </row>
    <row r="237" spans="19:42" hidden="1" x14ac:dyDescent="0.3">
      <c r="S237" s="121"/>
      <c r="T237" s="140" t="s">
        <v>241</v>
      </c>
      <c r="U237" s="138" t="s">
        <v>7</v>
      </c>
      <c r="V237" s="138"/>
      <c r="W237" s="138"/>
      <c r="X237" s="138"/>
      <c r="Y237" s="138"/>
      <c r="Z237" s="138"/>
      <c r="AA237" s="138"/>
      <c r="AB237" s="138"/>
      <c r="AC237" s="138"/>
      <c r="AD237" s="138"/>
      <c r="AE237" s="138"/>
      <c r="AF237" s="138"/>
      <c r="AG237" s="138"/>
      <c r="AH237" s="138"/>
      <c r="AI237" s="138"/>
      <c r="AJ237" s="138"/>
      <c r="AK237" s="138"/>
      <c r="AL237" s="138"/>
      <c r="AM237" s="138"/>
      <c r="AN237" s="139"/>
      <c r="AP237" s="108"/>
    </row>
    <row r="238" spans="19:42" ht="15" hidden="1" thickBot="1" x14ac:dyDescent="0.35">
      <c r="S238" s="121"/>
      <c r="T238" s="141" t="s">
        <v>242</v>
      </c>
      <c r="U238" s="142" t="s">
        <v>7</v>
      </c>
      <c r="V238" s="142"/>
      <c r="W238" s="142"/>
      <c r="X238" s="142"/>
      <c r="Y238" s="142"/>
      <c r="Z238" s="142"/>
      <c r="AA238" s="142"/>
      <c r="AB238" s="142"/>
      <c r="AC238" s="142"/>
      <c r="AD238" s="142"/>
      <c r="AE238" s="142"/>
      <c r="AF238" s="142"/>
      <c r="AG238" s="142"/>
      <c r="AH238" s="142"/>
      <c r="AI238" s="142"/>
      <c r="AJ238" s="142"/>
      <c r="AK238" s="142"/>
      <c r="AL238" s="142"/>
      <c r="AM238" s="142"/>
      <c r="AN238" s="143"/>
      <c r="AP238" s="108"/>
    </row>
    <row r="239" spans="19:42" hidden="1" x14ac:dyDescent="0.3">
      <c r="S239" s="121"/>
      <c r="AP239" s="108"/>
    </row>
    <row r="240" spans="19:42" ht="15" hidden="1" thickBot="1" x14ac:dyDescent="0.35">
      <c r="S240" s="121"/>
      <c r="AP240" s="108"/>
    </row>
    <row r="241" spans="19:42" hidden="1" x14ac:dyDescent="0.3">
      <c r="S241" s="121"/>
      <c r="T241" s="972" t="s">
        <v>369</v>
      </c>
      <c r="U241" s="973"/>
      <c r="V241" s="973"/>
      <c r="W241" s="973"/>
      <c r="X241" s="973"/>
      <c r="Y241" s="973"/>
      <c r="Z241" s="973"/>
      <c r="AA241" s="973"/>
      <c r="AB241" s="973"/>
      <c r="AC241" s="973"/>
      <c r="AD241" s="973"/>
      <c r="AE241" s="973"/>
      <c r="AF241" s="973"/>
      <c r="AG241" s="973"/>
      <c r="AH241" s="973"/>
      <c r="AI241" s="973"/>
      <c r="AJ241" s="973"/>
      <c r="AK241" s="973"/>
      <c r="AL241" s="973"/>
      <c r="AM241" s="973"/>
      <c r="AN241" s="974"/>
      <c r="AP241" s="108"/>
    </row>
    <row r="242" spans="19:42" ht="15" hidden="1" thickBot="1" x14ac:dyDescent="0.35">
      <c r="S242" s="121"/>
      <c r="T242" s="975"/>
      <c r="U242" s="976"/>
      <c r="V242" s="976"/>
      <c r="W242" s="976"/>
      <c r="X242" s="976"/>
      <c r="Y242" s="976"/>
      <c r="Z242" s="976"/>
      <c r="AA242" s="976"/>
      <c r="AB242" s="976"/>
      <c r="AC242" s="976"/>
      <c r="AD242" s="976"/>
      <c r="AE242" s="976"/>
      <c r="AF242" s="976"/>
      <c r="AG242" s="976"/>
      <c r="AH242" s="976"/>
      <c r="AI242" s="976"/>
      <c r="AJ242" s="976"/>
      <c r="AK242" s="976"/>
      <c r="AL242" s="976"/>
      <c r="AM242" s="976"/>
      <c r="AN242" s="977"/>
      <c r="AP242" s="108"/>
    </row>
    <row r="243" spans="19:42" ht="15" hidden="1" thickBot="1" x14ac:dyDescent="0.35">
      <c r="S243" s="121"/>
      <c r="T243" s="147" t="s">
        <v>265</v>
      </c>
      <c r="U243" s="113" t="s">
        <v>370</v>
      </c>
      <c r="V243" s="112" t="s">
        <v>283</v>
      </c>
      <c r="W243" s="113" t="s">
        <v>284</v>
      </c>
      <c r="X243" s="113" t="s">
        <v>285</v>
      </c>
      <c r="Y243" s="113" t="s">
        <v>286</v>
      </c>
      <c r="Z243" s="113" t="s">
        <v>7</v>
      </c>
      <c r="AA243" s="104" t="s">
        <v>244</v>
      </c>
      <c r="AB243" s="102" t="s">
        <v>371</v>
      </c>
      <c r="AC243" s="102" t="s">
        <v>372</v>
      </c>
      <c r="AD243" s="102" t="s">
        <v>373</v>
      </c>
      <c r="AE243" s="104" t="s">
        <v>375</v>
      </c>
      <c r="AF243" s="102" t="s">
        <v>7</v>
      </c>
      <c r="AG243" s="104" t="s">
        <v>243</v>
      </c>
      <c r="AH243" s="102" t="s">
        <v>7</v>
      </c>
      <c r="AI243" s="104" t="s">
        <v>7</v>
      </c>
      <c r="AJ243" s="102" t="s">
        <v>7</v>
      </c>
      <c r="AK243" s="103" t="s">
        <v>7</v>
      </c>
      <c r="AL243" s="104" t="s">
        <v>7</v>
      </c>
      <c r="AM243" s="102"/>
      <c r="AN243" s="103" t="s">
        <v>7</v>
      </c>
      <c r="AP243" s="108"/>
    </row>
    <row r="244" spans="19:42" ht="15" hidden="1" thickBot="1" x14ac:dyDescent="0.35">
      <c r="S244" s="121"/>
      <c r="T244" s="130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131"/>
      <c r="AP244" s="108"/>
    </row>
    <row r="245" spans="19:42" hidden="1" x14ac:dyDescent="0.3">
      <c r="S245" s="121"/>
      <c r="T245" s="198" t="s">
        <v>178</v>
      </c>
      <c r="U245" s="201">
        <v>1100</v>
      </c>
      <c r="V245" s="193"/>
      <c r="W245" s="194"/>
      <c r="X245" s="194"/>
      <c r="Y245" s="194"/>
      <c r="Z245" s="194"/>
      <c r="AA245" s="194"/>
      <c r="AB245" s="194"/>
      <c r="AC245" s="194"/>
      <c r="AD245" s="194"/>
      <c r="AE245" s="199">
        <v>1000</v>
      </c>
      <c r="AF245" s="194"/>
      <c r="AG245" s="194"/>
      <c r="AH245" s="194"/>
      <c r="AI245" s="194"/>
      <c r="AJ245" s="194"/>
      <c r="AK245" s="194"/>
      <c r="AL245" s="194"/>
      <c r="AM245" s="194"/>
      <c r="AN245" s="195"/>
      <c r="AP245" s="108"/>
    </row>
    <row r="246" spans="19:42" hidden="1" x14ac:dyDescent="0.3">
      <c r="S246" s="121"/>
      <c r="T246" s="200" t="s">
        <v>179</v>
      </c>
      <c r="U246" s="202">
        <v>1100</v>
      </c>
      <c r="V246" s="138"/>
      <c r="W246" s="138"/>
      <c r="X246" s="138"/>
      <c r="Y246" s="138"/>
      <c r="Z246" s="138"/>
      <c r="AA246" s="138"/>
      <c r="AB246" s="138"/>
      <c r="AC246" s="138"/>
      <c r="AD246" s="138"/>
      <c r="AE246" s="191">
        <v>1000</v>
      </c>
      <c r="AF246" s="138"/>
      <c r="AG246" s="138"/>
      <c r="AH246" s="138"/>
      <c r="AI246" s="138"/>
      <c r="AJ246" s="138"/>
      <c r="AK246" s="138"/>
      <c r="AL246" s="138"/>
      <c r="AM246" s="138"/>
      <c r="AN246" s="139"/>
      <c r="AP246" s="108"/>
    </row>
    <row r="247" spans="19:42" hidden="1" x14ac:dyDescent="0.3">
      <c r="S247" s="121"/>
      <c r="T247" s="200" t="s">
        <v>180</v>
      </c>
      <c r="U247" s="202">
        <v>1300</v>
      </c>
      <c r="V247" s="138"/>
      <c r="W247" s="138"/>
      <c r="X247" s="138"/>
      <c r="Y247" s="138"/>
      <c r="Z247" s="138"/>
      <c r="AA247" s="138"/>
      <c r="AB247" s="138"/>
      <c r="AC247" s="138"/>
      <c r="AD247" s="138"/>
      <c r="AE247" s="191">
        <v>1000</v>
      </c>
      <c r="AF247" s="138"/>
      <c r="AG247" s="138"/>
      <c r="AH247" s="138"/>
      <c r="AI247" s="138"/>
      <c r="AJ247" s="138"/>
      <c r="AK247" s="138"/>
      <c r="AL247" s="138"/>
      <c r="AM247" s="138"/>
      <c r="AN247" s="139"/>
      <c r="AP247" s="108"/>
    </row>
    <row r="248" spans="19:42" hidden="1" x14ac:dyDescent="0.3">
      <c r="S248" s="121"/>
      <c r="T248" s="200" t="s">
        <v>181</v>
      </c>
      <c r="U248" s="202">
        <v>2200</v>
      </c>
      <c r="V248" s="138"/>
      <c r="W248" s="138"/>
      <c r="X248" s="138"/>
      <c r="Y248" s="138"/>
      <c r="Z248" s="138"/>
      <c r="AA248" s="138"/>
      <c r="AB248" s="138"/>
      <c r="AC248" s="138"/>
      <c r="AD248" s="138"/>
      <c r="AE248" s="191">
        <v>1000</v>
      </c>
      <c r="AF248" s="138"/>
      <c r="AG248" s="138"/>
      <c r="AH248" s="138"/>
      <c r="AI248" s="138"/>
      <c r="AJ248" s="138"/>
      <c r="AK248" s="138"/>
      <c r="AL248" s="138"/>
      <c r="AM248" s="138"/>
      <c r="AN248" s="139"/>
      <c r="AP248" s="108"/>
    </row>
    <row r="249" spans="19:42" hidden="1" x14ac:dyDescent="0.3">
      <c r="S249" s="121"/>
      <c r="T249" s="200" t="s">
        <v>182</v>
      </c>
      <c r="U249" s="202">
        <v>2400</v>
      </c>
      <c r="V249" s="138"/>
      <c r="W249" s="138"/>
      <c r="X249" s="138"/>
      <c r="Y249" s="138"/>
      <c r="Z249" s="138"/>
      <c r="AA249" s="138"/>
      <c r="AB249" s="138"/>
      <c r="AC249" s="138"/>
      <c r="AD249" s="138"/>
      <c r="AE249" s="191">
        <v>1200</v>
      </c>
      <c r="AF249" s="138"/>
      <c r="AG249" s="138"/>
      <c r="AH249" s="138"/>
      <c r="AI249" s="138"/>
      <c r="AJ249" s="138"/>
      <c r="AK249" s="138"/>
      <c r="AL249" s="138"/>
      <c r="AM249" s="138"/>
      <c r="AN249" s="139"/>
      <c r="AP249" s="108"/>
    </row>
    <row r="250" spans="19:42" hidden="1" x14ac:dyDescent="0.3">
      <c r="S250" s="121"/>
      <c r="T250" s="200" t="s">
        <v>183</v>
      </c>
      <c r="U250" s="202">
        <v>5650</v>
      </c>
      <c r="V250" s="138"/>
      <c r="W250" s="138"/>
      <c r="X250" s="138"/>
      <c r="Y250" s="138"/>
      <c r="Z250" s="138"/>
      <c r="AA250" s="138"/>
      <c r="AB250" s="138"/>
      <c r="AC250" s="138"/>
      <c r="AD250" s="138"/>
      <c r="AE250" s="191">
        <v>1600</v>
      </c>
      <c r="AF250" s="138"/>
      <c r="AG250" s="138"/>
      <c r="AH250" s="138"/>
      <c r="AI250" s="138"/>
      <c r="AJ250" s="138"/>
      <c r="AK250" s="138"/>
      <c r="AL250" s="138"/>
      <c r="AM250" s="138"/>
      <c r="AN250" s="139"/>
      <c r="AP250" s="108"/>
    </row>
    <row r="251" spans="19:42" hidden="1" x14ac:dyDescent="0.3">
      <c r="S251" s="121"/>
      <c r="T251" s="200" t="s">
        <v>184</v>
      </c>
      <c r="U251" s="202">
        <v>6100</v>
      </c>
      <c r="V251" s="138"/>
      <c r="W251" s="138"/>
      <c r="X251" s="138"/>
      <c r="Y251" s="138"/>
      <c r="Z251" s="138"/>
      <c r="AA251" s="138"/>
      <c r="AB251" s="138"/>
      <c r="AC251" s="138"/>
      <c r="AD251" s="138"/>
      <c r="AE251" s="191">
        <v>1800</v>
      </c>
      <c r="AF251" s="138"/>
      <c r="AG251" s="138"/>
      <c r="AH251" s="138"/>
      <c r="AI251" s="138"/>
      <c r="AJ251" s="138"/>
      <c r="AK251" s="138"/>
      <c r="AL251" s="138"/>
      <c r="AM251" s="138"/>
      <c r="AN251" s="139"/>
      <c r="AP251" s="108"/>
    </row>
    <row r="252" spans="19:42" hidden="1" x14ac:dyDescent="0.3">
      <c r="S252" s="121"/>
      <c r="T252" s="200" t="s">
        <v>185</v>
      </c>
      <c r="U252" s="202">
        <v>6500</v>
      </c>
      <c r="V252" s="138"/>
      <c r="W252" s="138"/>
      <c r="X252" s="138"/>
      <c r="Y252" s="138"/>
      <c r="Z252" s="138"/>
      <c r="AA252" s="138"/>
      <c r="AB252" s="138"/>
      <c r="AC252" s="138"/>
      <c r="AD252" s="138"/>
      <c r="AE252" s="191">
        <v>1800</v>
      </c>
      <c r="AF252" s="138"/>
      <c r="AG252" s="138"/>
      <c r="AH252" s="138"/>
      <c r="AI252" s="138"/>
      <c r="AJ252" s="138"/>
      <c r="AK252" s="138"/>
      <c r="AL252" s="138"/>
      <c r="AM252" s="138"/>
      <c r="AN252" s="139"/>
      <c r="AP252" s="108"/>
    </row>
    <row r="253" spans="19:42" hidden="1" x14ac:dyDescent="0.3">
      <c r="S253" s="121"/>
      <c r="T253" s="200" t="s">
        <v>186</v>
      </c>
      <c r="U253" s="202">
        <v>7900</v>
      </c>
      <c r="V253" s="138"/>
      <c r="W253" s="138"/>
      <c r="X253" s="138"/>
      <c r="Y253" s="138"/>
      <c r="Z253" s="138"/>
      <c r="AA253" s="138"/>
      <c r="AB253" s="138"/>
      <c r="AC253" s="138"/>
      <c r="AD253" s="138"/>
      <c r="AE253" s="191">
        <v>2000</v>
      </c>
      <c r="AF253" s="138"/>
      <c r="AG253" s="138"/>
      <c r="AH253" s="138"/>
      <c r="AI253" s="138"/>
      <c r="AJ253" s="138"/>
      <c r="AK253" s="138"/>
      <c r="AL253" s="138"/>
      <c r="AM253" s="138"/>
      <c r="AN253" s="139"/>
      <c r="AP253" s="108"/>
    </row>
    <row r="254" spans="19:42" hidden="1" x14ac:dyDescent="0.3">
      <c r="S254" s="121"/>
      <c r="T254" s="140" t="s">
        <v>235</v>
      </c>
      <c r="U254" s="137"/>
      <c r="V254" s="138"/>
      <c r="W254" s="138"/>
      <c r="X254" s="138"/>
      <c r="Y254" s="138"/>
      <c r="Z254" s="138"/>
      <c r="AA254" s="138"/>
      <c r="AB254" s="138"/>
      <c r="AC254" s="138"/>
      <c r="AD254" s="138"/>
      <c r="AE254" s="138"/>
      <c r="AF254" s="138"/>
      <c r="AG254" s="138"/>
      <c r="AH254" s="138"/>
      <c r="AI254" s="138"/>
      <c r="AJ254" s="138"/>
      <c r="AK254" s="138"/>
      <c r="AL254" s="138"/>
      <c r="AM254" s="138"/>
      <c r="AN254" s="139"/>
      <c r="AP254" s="108"/>
    </row>
    <row r="255" spans="19:42" hidden="1" x14ac:dyDescent="0.3">
      <c r="S255" s="121"/>
      <c r="T255" s="140" t="s">
        <v>236</v>
      </c>
      <c r="U255" s="137"/>
      <c r="V255" s="138"/>
      <c r="W255" s="138"/>
      <c r="X255" s="138"/>
      <c r="Y255" s="138"/>
      <c r="Z255" s="138"/>
      <c r="AA255" s="138"/>
      <c r="AB255" s="138"/>
      <c r="AC255" s="138"/>
      <c r="AD255" s="138"/>
      <c r="AE255" s="138"/>
      <c r="AF255" s="138"/>
      <c r="AG255" s="138"/>
      <c r="AH255" s="138"/>
      <c r="AI255" s="138"/>
      <c r="AJ255" s="138"/>
      <c r="AK255" s="138"/>
      <c r="AL255" s="138"/>
      <c r="AM255" s="138"/>
      <c r="AN255" s="139"/>
      <c r="AP255" s="108"/>
    </row>
    <row r="256" spans="19:42" hidden="1" x14ac:dyDescent="0.3">
      <c r="S256" s="121"/>
      <c r="T256" s="140" t="s">
        <v>187</v>
      </c>
      <c r="U256" s="137"/>
      <c r="V256" s="138"/>
      <c r="W256" s="138"/>
      <c r="X256" s="138"/>
      <c r="Y256" s="138"/>
      <c r="Z256" s="138"/>
      <c r="AA256" s="138"/>
      <c r="AB256" s="138"/>
      <c r="AC256" s="138"/>
      <c r="AD256" s="138"/>
      <c r="AE256" s="138"/>
      <c r="AF256" s="138"/>
      <c r="AG256" s="138"/>
      <c r="AH256" s="138"/>
      <c r="AI256" s="138"/>
      <c r="AJ256" s="138"/>
      <c r="AK256" s="138"/>
      <c r="AL256" s="138"/>
      <c r="AM256" s="138"/>
      <c r="AN256" s="139"/>
      <c r="AP256" s="108"/>
    </row>
    <row r="257" spans="19:42" hidden="1" x14ac:dyDescent="0.3">
      <c r="S257" s="121"/>
      <c r="T257" s="140" t="s">
        <v>188</v>
      </c>
      <c r="U257" s="137"/>
      <c r="V257" s="138"/>
      <c r="W257" s="138"/>
      <c r="X257" s="138"/>
      <c r="Y257" s="138"/>
      <c r="Z257" s="138"/>
      <c r="AA257" s="138"/>
      <c r="AB257" s="138"/>
      <c r="AC257" s="138"/>
      <c r="AD257" s="138"/>
      <c r="AE257" s="138"/>
      <c r="AF257" s="138"/>
      <c r="AG257" s="138"/>
      <c r="AH257" s="138"/>
      <c r="AI257" s="138"/>
      <c r="AJ257" s="138"/>
      <c r="AK257" s="138"/>
      <c r="AL257" s="138"/>
      <c r="AM257" s="138"/>
      <c r="AN257" s="139"/>
      <c r="AP257" s="108"/>
    </row>
    <row r="258" spans="19:42" hidden="1" x14ac:dyDescent="0.3">
      <c r="S258" s="121"/>
      <c r="T258" s="140" t="s">
        <v>189</v>
      </c>
      <c r="U258" s="137"/>
      <c r="V258" s="138"/>
      <c r="W258" s="138"/>
      <c r="X258" s="138"/>
      <c r="Y258" s="138"/>
      <c r="Z258" s="138"/>
      <c r="AA258" s="138"/>
      <c r="AB258" s="138"/>
      <c r="AC258" s="138"/>
      <c r="AD258" s="138"/>
      <c r="AE258" s="138"/>
      <c r="AF258" s="138"/>
      <c r="AG258" s="138"/>
      <c r="AH258" s="138"/>
      <c r="AI258" s="138"/>
      <c r="AJ258" s="138"/>
      <c r="AK258" s="138"/>
      <c r="AL258" s="138"/>
      <c r="AM258" s="138"/>
      <c r="AN258" s="139"/>
      <c r="AP258" s="108"/>
    </row>
    <row r="259" spans="19:42" hidden="1" x14ac:dyDescent="0.3">
      <c r="S259" s="121"/>
      <c r="T259" s="140" t="s">
        <v>190</v>
      </c>
      <c r="U259" s="137"/>
      <c r="V259" s="138"/>
      <c r="W259" s="138"/>
      <c r="X259" s="138"/>
      <c r="Y259" s="138"/>
      <c r="Z259" s="138"/>
      <c r="AA259" s="138"/>
      <c r="AB259" s="138"/>
      <c r="AC259" s="138"/>
      <c r="AD259" s="138"/>
      <c r="AE259" s="138"/>
      <c r="AF259" s="138"/>
      <c r="AG259" s="138"/>
      <c r="AH259" s="138"/>
      <c r="AI259" s="138"/>
      <c r="AJ259" s="138"/>
      <c r="AK259" s="138"/>
      <c r="AL259" s="138"/>
      <c r="AM259" s="138"/>
      <c r="AN259" s="139"/>
      <c r="AP259" s="108"/>
    </row>
    <row r="260" spans="19:42" hidden="1" x14ac:dyDescent="0.3">
      <c r="S260" s="121"/>
      <c r="T260" s="140" t="s">
        <v>191</v>
      </c>
      <c r="U260" s="137"/>
      <c r="V260" s="138"/>
      <c r="W260" s="138"/>
      <c r="X260" s="138"/>
      <c r="Y260" s="138"/>
      <c r="Z260" s="138"/>
      <c r="AA260" s="138"/>
      <c r="AB260" s="138"/>
      <c r="AC260" s="138"/>
      <c r="AD260" s="138"/>
      <c r="AE260" s="138"/>
      <c r="AF260" s="138"/>
      <c r="AG260" s="138"/>
      <c r="AH260" s="138"/>
      <c r="AI260" s="138"/>
      <c r="AJ260" s="138"/>
      <c r="AK260" s="138"/>
      <c r="AL260" s="138"/>
      <c r="AM260" s="138"/>
      <c r="AN260" s="139"/>
      <c r="AP260" s="108"/>
    </row>
    <row r="261" spans="19:42" hidden="1" x14ac:dyDescent="0.3">
      <c r="S261" s="121"/>
      <c r="T261" s="140" t="s">
        <v>192</v>
      </c>
      <c r="U261" s="137"/>
      <c r="V261" s="138"/>
      <c r="W261" s="138"/>
      <c r="X261" s="138"/>
      <c r="Y261" s="138"/>
      <c r="Z261" s="138"/>
      <c r="AA261" s="138"/>
      <c r="AB261" s="138"/>
      <c r="AC261" s="138"/>
      <c r="AD261" s="138"/>
      <c r="AE261" s="138"/>
      <c r="AF261" s="138"/>
      <c r="AG261" s="138"/>
      <c r="AH261" s="138"/>
      <c r="AI261" s="138"/>
      <c r="AJ261" s="138"/>
      <c r="AK261" s="138"/>
      <c r="AL261" s="138"/>
      <c r="AM261" s="138"/>
      <c r="AN261" s="139"/>
      <c r="AP261" s="108"/>
    </row>
    <row r="262" spans="19:42" hidden="1" x14ac:dyDescent="0.3">
      <c r="S262" s="121"/>
      <c r="T262" s="140" t="s">
        <v>193</v>
      </c>
      <c r="U262" s="137"/>
      <c r="V262" s="138"/>
      <c r="W262" s="138"/>
      <c r="X262" s="138"/>
      <c r="Y262" s="138"/>
      <c r="Z262" s="138"/>
      <c r="AA262" s="138"/>
      <c r="AB262" s="138"/>
      <c r="AC262" s="138"/>
      <c r="AD262" s="138"/>
      <c r="AE262" s="138"/>
      <c r="AF262" s="138"/>
      <c r="AG262" s="138"/>
      <c r="AH262" s="138"/>
      <c r="AI262" s="138"/>
      <c r="AJ262" s="138"/>
      <c r="AK262" s="138"/>
      <c r="AL262" s="138"/>
      <c r="AM262" s="138"/>
      <c r="AN262" s="139"/>
      <c r="AP262" s="108"/>
    </row>
    <row r="263" spans="19:42" hidden="1" x14ac:dyDescent="0.3">
      <c r="S263" s="121"/>
      <c r="T263" s="140" t="s">
        <v>194</v>
      </c>
      <c r="U263" s="137"/>
      <c r="V263" s="138"/>
      <c r="W263" s="138"/>
      <c r="X263" s="138"/>
      <c r="Y263" s="138"/>
      <c r="Z263" s="138"/>
      <c r="AA263" s="138"/>
      <c r="AB263" s="138"/>
      <c r="AC263" s="138"/>
      <c r="AD263" s="138"/>
      <c r="AE263" s="138"/>
      <c r="AF263" s="138"/>
      <c r="AG263" s="138"/>
      <c r="AH263" s="138"/>
      <c r="AI263" s="138"/>
      <c r="AJ263" s="138"/>
      <c r="AK263" s="138"/>
      <c r="AL263" s="138"/>
      <c r="AM263" s="138"/>
      <c r="AN263" s="139"/>
      <c r="AP263" s="108"/>
    </row>
    <row r="264" spans="19:42" hidden="1" x14ac:dyDescent="0.3">
      <c r="S264" s="121"/>
      <c r="T264" s="140" t="s">
        <v>195</v>
      </c>
      <c r="U264" s="137"/>
      <c r="V264" s="138"/>
      <c r="W264" s="138"/>
      <c r="X264" s="138"/>
      <c r="Y264" s="138"/>
      <c r="Z264" s="138"/>
      <c r="AA264" s="138"/>
      <c r="AB264" s="138"/>
      <c r="AC264" s="138"/>
      <c r="AD264" s="138"/>
      <c r="AE264" s="138"/>
      <c r="AF264" s="138"/>
      <c r="AG264" s="138"/>
      <c r="AH264" s="138"/>
      <c r="AI264" s="138"/>
      <c r="AJ264" s="138"/>
      <c r="AK264" s="138"/>
      <c r="AL264" s="138"/>
      <c r="AM264" s="138"/>
      <c r="AN264" s="139"/>
      <c r="AP264" s="108"/>
    </row>
    <row r="265" spans="19:42" hidden="1" x14ac:dyDescent="0.3">
      <c r="S265" s="121"/>
      <c r="T265" s="140" t="s">
        <v>196</v>
      </c>
      <c r="U265" s="137"/>
      <c r="V265" s="138"/>
      <c r="W265" s="138"/>
      <c r="X265" s="138"/>
      <c r="Y265" s="138"/>
      <c r="Z265" s="138"/>
      <c r="AA265" s="138"/>
      <c r="AB265" s="138"/>
      <c r="AC265" s="138"/>
      <c r="AD265" s="138"/>
      <c r="AE265" s="138"/>
      <c r="AF265" s="138"/>
      <c r="AG265" s="138"/>
      <c r="AH265" s="138"/>
      <c r="AI265" s="138"/>
      <c r="AJ265" s="138"/>
      <c r="AK265" s="138"/>
      <c r="AL265" s="138"/>
      <c r="AM265" s="138"/>
      <c r="AN265" s="139"/>
      <c r="AP265" s="108"/>
    </row>
    <row r="266" spans="19:42" hidden="1" x14ac:dyDescent="0.3">
      <c r="S266" s="121"/>
      <c r="T266" s="140" t="s">
        <v>237</v>
      </c>
      <c r="U266" s="137"/>
      <c r="V266" s="138"/>
      <c r="W266" s="138"/>
      <c r="X266" s="138"/>
      <c r="Y266" s="138"/>
      <c r="Z266" s="138"/>
      <c r="AA266" s="138"/>
      <c r="AB266" s="138"/>
      <c r="AC266" s="138"/>
      <c r="AD266" s="138"/>
      <c r="AE266" s="138"/>
      <c r="AF266" s="138"/>
      <c r="AG266" s="138"/>
      <c r="AH266" s="138"/>
      <c r="AI266" s="138"/>
      <c r="AJ266" s="138"/>
      <c r="AK266" s="138"/>
      <c r="AL266" s="138"/>
      <c r="AM266" s="138"/>
      <c r="AN266" s="139"/>
      <c r="AP266" s="108"/>
    </row>
    <row r="267" spans="19:42" hidden="1" x14ac:dyDescent="0.3">
      <c r="S267" s="121"/>
      <c r="T267" s="140" t="s">
        <v>197</v>
      </c>
      <c r="U267" s="137"/>
      <c r="V267" s="138"/>
      <c r="W267" s="138"/>
      <c r="X267" s="138"/>
      <c r="Y267" s="138"/>
      <c r="Z267" s="138"/>
      <c r="AA267" s="138"/>
      <c r="AB267" s="138"/>
      <c r="AC267" s="138"/>
      <c r="AD267" s="138"/>
      <c r="AE267" s="138"/>
      <c r="AF267" s="138"/>
      <c r="AG267" s="138"/>
      <c r="AH267" s="138"/>
      <c r="AI267" s="138"/>
      <c r="AJ267" s="138"/>
      <c r="AK267" s="138"/>
      <c r="AL267" s="138"/>
      <c r="AM267" s="138"/>
      <c r="AN267" s="139"/>
      <c r="AP267" s="108"/>
    </row>
    <row r="268" spans="19:42" hidden="1" x14ac:dyDescent="0.3">
      <c r="S268" s="121"/>
      <c r="T268" s="140" t="s">
        <v>238</v>
      </c>
      <c r="U268" s="137"/>
      <c r="V268" s="138"/>
      <c r="W268" s="138"/>
      <c r="X268" s="138"/>
      <c r="Y268" s="138"/>
      <c r="Z268" s="138"/>
      <c r="AA268" s="138"/>
      <c r="AB268" s="138"/>
      <c r="AC268" s="138"/>
      <c r="AD268" s="138"/>
      <c r="AE268" s="138"/>
      <c r="AF268" s="138"/>
      <c r="AG268" s="138"/>
      <c r="AH268" s="138"/>
      <c r="AI268" s="138"/>
      <c r="AJ268" s="138"/>
      <c r="AK268" s="138"/>
      <c r="AL268" s="138"/>
      <c r="AM268" s="138"/>
      <c r="AN268" s="139"/>
      <c r="AP268" s="108"/>
    </row>
    <row r="269" spans="19:42" hidden="1" x14ac:dyDescent="0.3">
      <c r="S269" s="121"/>
      <c r="T269" s="140" t="s">
        <v>198</v>
      </c>
      <c r="U269" s="138" t="s">
        <v>7</v>
      </c>
      <c r="V269" s="138"/>
      <c r="W269" s="138"/>
      <c r="X269" s="138"/>
      <c r="Y269" s="138"/>
      <c r="Z269" s="138"/>
      <c r="AA269" s="138"/>
      <c r="AB269" s="138"/>
      <c r="AC269" s="138"/>
      <c r="AD269" s="138"/>
      <c r="AE269" s="138"/>
      <c r="AF269" s="138"/>
      <c r="AG269" s="138"/>
      <c r="AH269" s="138"/>
      <c r="AI269" s="138"/>
      <c r="AJ269" s="138"/>
      <c r="AK269" s="138"/>
      <c r="AL269" s="138"/>
      <c r="AM269" s="138"/>
      <c r="AN269" s="139"/>
      <c r="AP269" s="108"/>
    </row>
    <row r="270" spans="19:42" hidden="1" x14ac:dyDescent="0.3">
      <c r="S270" s="121"/>
      <c r="T270" s="140" t="s">
        <v>239</v>
      </c>
      <c r="U270" s="138" t="s">
        <v>7</v>
      </c>
      <c r="V270" s="138"/>
      <c r="W270" s="138"/>
      <c r="X270" s="138"/>
      <c r="Y270" s="138"/>
      <c r="Z270" s="138"/>
      <c r="AA270" s="138"/>
      <c r="AB270" s="138"/>
      <c r="AC270" s="138"/>
      <c r="AD270" s="138"/>
      <c r="AE270" s="138"/>
      <c r="AF270" s="138"/>
      <c r="AG270" s="138"/>
      <c r="AH270" s="138"/>
      <c r="AI270" s="138"/>
      <c r="AJ270" s="138"/>
      <c r="AK270" s="138"/>
      <c r="AL270" s="138"/>
      <c r="AM270" s="138"/>
      <c r="AN270" s="139"/>
      <c r="AP270" s="108"/>
    </row>
    <row r="271" spans="19:42" hidden="1" x14ac:dyDescent="0.3">
      <c r="S271" s="121"/>
      <c r="T271" s="140" t="s">
        <v>240</v>
      </c>
      <c r="U271" s="138" t="s">
        <v>7</v>
      </c>
      <c r="V271" s="138"/>
      <c r="W271" s="138"/>
      <c r="X271" s="138"/>
      <c r="Y271" s="138"/>
      <c r="Z271" s="138"/>
      <c r="AA271" s="138"/>
      <c r="AB271" s="138"/>
      <c r="AC271" s="138"/>
      <c r="AD271" s="138"/>
      <c r="AE271" s="138"/>
      <c r="AF271" s="138"/>
      <c r="AG271" s="138"/>
      <c r="AH271" s="138"/>
      <c r="AI271" s="138"/>
      <c r="AJ271" s="138"/>
      <c r="AK271" s="138"/>
      <c r="AL271" s="138"/>
      <c r="AM271" s="138"/>
      <c r="AN271" s="139"/>
      <c r="AP271" s="108"/>
    </row>
    <row r="272" spans="19:42" hidden="1" x14ac:dyDescent="0.3">
      <c r="S272" s="121"/>
      <c r="T272" s="140" t="s">
        <v>241</v>
      </c>
      <c r="U272" s="138" t="s">
        <v>7</v>
      </c>
      <c r="V272" s="138"/>
      <c r="W272" s="138"/>
      <c r="X272" s="138"/>
      <c r="Y272" s="138"/>
      <c r="Z272" s="138"/>
      <c r="AA272" s="138"/>
      <c r="AB272" s="138"/>
      <c r="AC272" s="138"/>
      <c r="AD272" s="138"/>
      <c r="AE272" s="138"/>
      <c r="AF272" s="138"/>
      <c r="AG272" s="138"/>
      <c r="AH272" s="138"/>
      <c r="AI272" s="138"/>
      <c r="AJ272" s="138"/>
      <c r="AK272" s="138"/>
      <c r="AL272" s="138"/>
      <c r="AM272" s="138"/>
      <c r="AN272" s="139"/>
      <c r="AP272" s="108"/>
    </row>
    <row r="273" spans="1:42" ht="15" hidden="1" thickBot="1" x14ac:dyDescent="0.35">
      <c r="S273" s="121"/>
      <c r="T273" s="141" t="s">
        <v>242</v>
      </c>
      <c r="U273" s="142" t="s">
        <v>7</v>
      </c>
      <c r="V273" s="142"/>
      <c r="W273" s="142"/>
      <c r="X273" s="142"/>
      <c r="Y273" s="142"/>
      <c r="Z273" s="142"/>
      <c r="AA273" s="142"/>
      <c r="AB273" s="142"/>
      <c r="AC273" s="142"/>
      <c r="AD273" s="142"/>
      <c r="AE273" s="142"/>
      <c r="AF273" s="142"/>
      <c r="AG273" s="142"/>
      <c r="AH273" s="142"/>
      <c r="AI273" s="142"/>
      <c r="AJ273" s="142"/>
      <c r="AK273" s="142"/>
      <c r="AL273" s="142"/>
      <c r="AM273" s="142"/>
      <c r="AN273" s="143"/>
      <c r="AP273" s="108"/>
    </row>
    <row r="274" spans="1:42" ht="15" hidden="1" thickBot="1" x14ac:dyDescent="0.35">
      <c r="S274" s="122"/>
      <c r="T274" s="109"/>
      <c r="U274" s="109"/>
      <c r="V274" s="109"/>
      <c r="W274" s="109"/>
      <c r="X274" s="109"/>
      <c r="Y274" s="109"/>
      <c r="Z274" s="109"/>
      <c r="AA274" s="109"/>
      <c r="AB274" s="109"/>
      <c r="AC274" s="109"/>
      <c r="AD274" s="109"/>
      <c r="AE274" s="109"/>
      <c r="AF274" s="109"/>
      <c r="AG274" s="109"/>
      <c r="AH274" s="109"/>
      <c r="AI274" s="109"/>
      <c r="AJ274" s="109"/>
      <c r="AK274" s="109"/>
      <c r="AL274" s="109"/>
      <c r="AM274" s="109"/>
      <c r="AN274" s="109"/>
      <c r="AO274" s="109"/>
      <c r="AP274" s="123"/>
    </row>
    <row r="275" spans="1:42" hidden="1" x14ac:dyDescent="0.3"/>
    <row r="276" spans="1:42" hidden="1" x14ac:dyDescent="0.3"/>
    <row r="277" spans="1:42" hidden="1" x14ac:dyDescent="0.3"/>
    <row r="278" spans="1:42" ht="15" hidden="1" thickBot="1" x14ac:dyDescent="0.35"/>
    <row r="279" spans="1:42" ht="18" thickBot="1" x14ac:dyDescent="0.35">
      <c r="A279" s="958" t="s">
        <v>470</v>
      </c>
      <c r="B279" s="959"/>
      <c r="C279" s="959"/>
      <c r="D279" s="959"/>
      <c r="E279" s="959"/>
      <c r="F279" s="959"/>
      <c r="G279" s="959"/>
      <c r="H279" s="959"/>
      <c r="I279" s="959"/>
      <c r="J279" s="959"/>
      <c r="K279" s="959"/>
      <c r="L279" s="960"/>
      <c r="M279" s="408"/>
      <c r="N279" s="408"/>
      <c r="O279" s="408"/>
      <c r="P279" s="408"/>
      <c r="Q279" s="408"/>
    </row>
    <row r="280" spans="1:42" ht="18" thickBot="1" x14ac:dyDescent="0.35">
      <c r="A280" s="412"/>
      <c r="B280" s="958" t="s">
        <v>778</v>
      </c>
      <c r="C280" s="959"/>
      <c r="D280" s="960"/>
      <c r="E280" s="958" t="s">
        <v>777</v>
      </c>
      <c r="F280" s="959"/>
      <c r="G280" s="959"/>
      <c r="H280" s="960"/>
      <c r="I280" s="958" t="s">
        <v>779</v>
      </c>
      <c r="J280" s="960"/>
      <c r="K280" s="958" t="s">
        <v>780</v>
      </c>
      <c r="L280" s="960"/>
      <c r="M280" s="408"/>
      <c r="N280" s="408"/>
      <c r="O280" s="408"/>
      <c r="P280" s="408"/>
      <c r="Q280" s="408"/>
    </row>
    <row r="281" spans="1:42" x14ac:dyDescent="0.3">
      <c r="A281" s="411">
        <v>1</v>
      </c>
      <c r="B281" s="437" t="s">
        <v>772</v>
      </c>
      <c r="C281" s="967"/>
      <c r="D281" s="967"/>
      <c r="E281" s="968" t="s">
        <v>776</v>
      </c>
      <c r="F281" s="969"/>
      <c r="G281" s="969"/>
      <c r="H281" s="970"/>
      <c r="I281" s="967" t="s">
        <v>7</v>
      </c>
      <c r="J281" s="967"/>
      <c r="K281" s="971" t="e">
        <f>L126/SUM([2]CARGAS!G14:G15)</f>
        <v>#REF!</v>
      </c>
      <c r="L281" s="971"/>
    </row>
    <row r="282" spans="1:42" x14ac:dyDescent="0.3">
      <c r="A282" s="297">
        <v>2</v>
      </c>
      <c r="B282" s="22" t="s">
        <v>773</v>
      </c>
      <c r="C282" s="910"/>
      <c r="D282" s="910"/>
      <c r="E282" s="955" t="s">
        <v>776</v>
      </c>
      <c r="F282" s="956"/>
      <c r="G282" s="956"/>
      <c r="H282" s="957"/>
      <c r="I282" s="910" t="s">
        <v>7</v>
      </c>
      <c r="J282" s="910"/>
      <c r="K282" s="966" t="e">
        <f>L126/SUM([2]CARGAS!N14,[2]CARGAS!N15)</f>
        <v>#REF!</v>
      </c>
      <c r="L282" s="966"/>
    </row>
    <row r="283" spans="1:42" x14ac:dyDescent="0.3">
      <c r="A283" s="297">
        <v>3</v>
      </c>
      <c r="B283" s="22" t="s">
        <v>774</v>
      </c>
      <c r="C283" s="910"/>
      <c r="D283" s="910"/>
      <c r="E283" s="955" t="s">
        <v>776</v>
      </c>
      <c r="F283" s="956"/>
      <c r="G283" s="956"/>
      <c r="H283" s="957"/>
      <c r="I283" s="910" t="s">
        <v>7</v>
      </c>
      <c r="J283" s="910"/>
      <c r="K283" s="966"/>
      <c r="L283" s="966"/>
    </row>
    <row r="284" spans="1:42" x14ac:dyDescent="0.3">
      <c r="A284" s="297">
        <v>4</v>
      </c>
      <c r="B284" s="22" t="s">
        <v>775</v>
      </c>
      <c r="C284" s="910"/>
      <c r="D284" s="910"/>
      <c r="E284" s="955" t="s">
        <v>776</v>
      </c>
      <c r="F284" s="956"/>
      <c r="G284" s="956"/>
      <c r="H284" s="957"/>
      <c r="I284" s="910" t="s">
        <v>7</v>
      </c>
      <c r="J284" s="910"/>
      <c r="K284" s="966"/>
      <c r="L284" s="966"/>
    </row>
    <row r="285" spans="1:42" ht="15" thickBot="1" x14ac:dyDescent="0.35"/>
    <row r="286" spans="1:42" ht="18" thickBot="1" x14ac:dyDescent="0.35">
      <c r="A286" s="958" t="s">
        <v>801</v>
      </c>
      <c r="B286" s="959"/>
      <c r="C286" s="959"/>
      <c r="D286" s="959"/>
      <c r="E286" s="959"/>
      <c r="F286" s="959"/>
      <c r="G286" s="959"/>
      <c r="H286" s="959"/>
      <c r="I286" s="959"/>
      <c r="J286" s="959"/>
      <c r="K286" s="959"/>
      <c r="L286" s="960"/>
      <c r="T286" s="434" t="s">
        <v>793</v>
      </c>
      <c r="U286" s="434" t="s">
        <v>794</v>
      </c>
      <c r="V286" s="434" t="s">
        <v>795</v>
      </c>
      <c r="W286" s="434" t="s">
        <v>796</v>
      </c>
      <c r="X286" s="434" t="s">
        <v>32</v>
      </c>
    </row>
    <row r="287" spans="1:42" ht="18" thickBot="1" x14ac:dyDescent="0.35">
      <c r="A287" s="412"/>
      <c r="B287" s="440" t="s">
        <v>802</v>
      </c>
      <c r="C287" s="451" t="s">
        <v>803</v>
      </c>
      <c r="D287" s="451" t="s">
        <v>829</v>
      </c>
      <c r="E287" s="451" t="s">
        <v>827</v>
      </c>
      <c r="F287" s="958" t="s">
        <v>828</v>
      </c>
      <c r="G287" s="959"/>
      <c r="H287" s="960"/>
      <c r="I287" s="959" t="s">
        <v>830</v>
      </c>
      <c r="J287" s="960"/>
      <c r="K287" s="449"/>
      <c r="L287" s="450"/>
      <c r="T287" s="434" t="s">
        <v>797</v>
      </c>
      <c r="U287" s="434" t="s">
        <v>798</v>
      </c>
      <c r="V287" s="434" t="s">
        <v>799</v>
      </c>
      <c r="W287" s="434" t="s">
        <v>800</v>
      </c>
      <c r="X287" s="435"/>
    </row>
    <row r="288" spans="1:42" x14ac:dyDescent="0.3">
      <c r="A288" s="411">
        <v>1</v>
      </c>
      <c r="B288" s="441" t="e">
        <f>L123*0.03</f>
        <v>#REF!</v>
      </c>
      <c r="C288" s="441" t="e">
        <f>T289</f>
        <v>#REF!</v>
      </c>
      <c r="D288" s="413">
        <v>5272</v>
      </c>
      <c r="E288" s="413" t="e">
        <f>AVERAGE(B288:D288)</f>
        <v>#REF!</v>
      </c>
      <c r="F288" s="961" t="e">
        <f>E288*0.8</f>
        <v>#REF!</v>
      </c>
      <c r="G288" s="962"/>
      <c r="H288" s="963"/>
      <c r="I288" s="964" t="e">
        <f>F288/0.83</f>
        <v>#REF!</v>
      </c>
      <c r="J288" s="965"/>
      <c r="K288" s="439"/>
      <c r="L288" s="439"/>
      <c r="T288" s="13"/>
      <c r="U288" s="13"/>
      <c r="V288" s="13"/>
      <c r="W288" s="13"/>
      <c r="X288" s="13"/>
    </row>
    <row r="289" spans="1:24" x14ac:dyDescent="0.3">
      <c r="A289" s="297">
        <v>2</v>
      </c>
      <c r="B289" s="22"/>
      <c r="C289" s="22"/>
      <c r="D289" s="22"/>
      <c r="E289" s="22"/>
      <c r="F289" s="955"/>
      <c r="G289" s="956"/>
      <c r="H289" s="957"/>
      <c r="I289" s="22"/>
      <c r="J289" s="22"/>
      <c r="K289" s="438"/>
      <c r="L289" s="438"/>
      <c r="T289" s="436" t="e">
        <f>(U289*V289*X289*1.2)/0.83</f>
        <v>#REF!</v>
      </c>
      <c r="U289" s="13">
        <v>0.56999999999999995</v>
      </c>
      <c r="V289" s="436" t="e">
        <f>L126</f>
        <v>#REF!</v>
      </c>
      <c r="W289" s="436">
        <v>90</v>
      </c>
      <c r="X289" s="13" t="e">
        <f>(W289/V289)^0.5</f>
        <v>#REF!</v>
      </c>
    </row>
    <row r="290" spans="1:24" x14ac:dyDescent="0.3">
      <c r="A290" s="297">
        <v>3</v>
      </c>
      <c r="B290" s="22"/>
      <c r="C290" s="22"/>
      <c r="D290" s="22"/>
      <c r="E290" s="22"/>
      <c r="F290" s="955"/>
      <c r="G290" s="956"/>
      <c r="H290" s="957"/>
      <c r="I290" s="22"/>
      <c r="J290" s="22"/>
      <c r="K290" s="438"/>
      <c r="L290" s="438"/>
    </row>
    <row r="291" spans="1:24" x14ac:dyDescent="0.3">
      <c r="A291" s="297">
        <v>4</v>
      </c>
      <c r="B291" s="22"/>
      <c r="C291" s="22"/>
      <c r="D291" s="22"/>
      <c r="E291" s="22"/>
      <c r="F291" s="955"/>
      <c r="G291" s="956"/>
      <c r="H291" s="957"/>
      <c r="I291" s="22"/>
      <c r="J291" s="22"/>
      <c r="K291" s="438"/>
      <c r="L291" s="438"/>
    </row>
    <row r="294" spans="1:24" x14ac:dyDescent="0.3">
      <c r="T294" s="445" t="s">
        <v>805</v>
      </c>
      <c r="U294" s="442">
        <v>127575</v>
      </c>
      <c r="V294" t="s">
        <v>804</v>
      </c>
    </row>
    <row r="295" spans="1:24" x14ac:dyDescent="0.3">
      <c r="T295" s="445" t="s">
        <v>806</v>
      </c>
      <c r="U295" s="442">
        <v>70875</v>
      </c>
      <c r="V295" t="s">
        <v>804</v>
      </c>
    </row>
    <row r="296" spans="1:24" x14ac:dyDescent="0.3">
      <c r="T296" s="445" t="s">
        <v>807</v>
      </c>
      <c r="U296" s="442">
        <v>6848</v>
      </c>
    </row>
    <row r="298" spans="1:24" x14ac:dyDescent="0.3">
      <c r="T298" t="s">
        <v>808</v>
      </c>
      <c r="U298" s="443">
        <v>6848</v>
      </c>
    </row>
    <row r="299" spans="1:24" x14ac:dyDescent="0.3">
      <c r="T299" t="s">
        <v>809</v>
      </c>
      <c r="U299" s="443">
        <v>0</v>
      </c>
    </row>
    <row r="301" spans="1:24" x14ac:dyDescent="0.3">
      <c r="V301" t="s">
        <v>810</v>
      </c>
      <c r="W301" t="s">
        <v>811</v>
      </c>
    </row>
    <row r="302" spans="1:24" x14ac:dyDescent="0.3">
      <c r="T302" t="s">
        <v>812</v>
      </c>
      <c r="V302" s="444">
        <v>1</v>
      </c>
      <c r="W302" s="444">
        <v>1</v>
      </c>
    </row>
    <row r="303" spans="1:24" x14ac:dyDescent="0.3">
      <c r="T303" t="s">
        <v>813</v>
      </c>
      <c r="V303" s="444">
        <v>2</v>
      </c>
      <c r="W303" s="444">
        <v>1.1499999999999999</v>
      </c>
    </row>
    <row r="304" spans="1:24" x14ac:dyDescent="0.3">
      <c r="T304" t="s">
        <v>814</v>
      </c>
      <c r="V304" s="444">
        <v>3</v>
      </c>
      <c r="W304" s="444">
        <v>1.3</v>
      </c>
    </row>
    <row r="305" spans="20:23" x14ac:dyDescent="0.3">
      <c r="T305" t="s">
        <v>815</v>
      </c>
      <c r="V305" s="444">
        <v>4</v>
      </c>
      <c r="W305" s="444">
        <v>1.1000000000000001</v>
      </c>
    </row>
    <row r="306" spans="20:23" x14ac:dyDescent="0.3">
      <c r="T306" t="s">
        <v>816</v>
      </c>
      <c r="V306" s="444">
        <v>5</v>
      </c>
      <c r="W306" s="444"/>
    </row>
    <row r="307" spans="20:23" x14ac:dyDescent="0.3">
      <c r="T307" s="446" t="s">
        <v>817</v>
      </c>
      <c r="V307" s="444">
        <v>6</v>
      </c>
      <c r="W307" s="444">
        <v>1.5</v>
      </c>
    </row>
    <row r="309" spans="20:23" x14ac:dyDescent="0.3">
      <c r="T309" t="s">
        <v>818</v>
      </c>
      <c r="U309" t="s">
        <v>819</v>
      </c>
      <c r="V309" t="s">
        <v>820</v>
      </c>
    </row>
    <row r="310" spans="20:23" x14ac:dyDescent="0.3">
      <c r="T310" s="444">
        <v>100</v>
      </c>
      <c r="U310" s="447">
        <v>5.4399999999999997E-2</v>
      </c>
      <c r="V310" s="447">
        <f>(U310+U311)/2</f>
        <v>5.28E-2</v>
      </c>
    </row>
    <row r="311" spans="20:23" x14ac:dyDescent="0.3">
      <c r="T311" s="444">
        <v>250</v>
      </c>
      <c r="U311" s="447">
        <v>5.1200000000000002E-2</v>
      </c>
      <c r="V311" s="447">
        <f t="shared" ref="V311:V320" si="40">(U311+U312)/2</f>
        <v>4.9600000000000005E-2</v>
      </c>
    </row>
    <row r="312" spans="20:23" x14ac:dyDescent="0.3">
      <c r="T312" s="444">
        <v>475</v>
      </c>
      <c r="U312" s="447">
        <v>4.8000000000000001E-2</v>
      </c>
      <c r="V312" s="447">
        <f t="shared" si="40"/>
        <v>4.6399999999999997E-2</v>
      </c>
    </row>
    <row r="313" spans="20:23" x14ac:dyDescent="0.3">
      <c r="T313" s="444">
        <v>750</v>
      </c>
      <c r="U313" s="447">
        <v>4.48E-2</v>
      </c>
      <c r="V313" s="447">
        <f t="shared" si="40"/>
        <v>4.3200000000000002E-2</v>
      </c>
    </row>
    <row r="314" spans="20:23" x14ac:dyDescent="0.3">
      <c r="T314" s="444">
        <v>1250</v>
      </c>
      <c r="U314" s="447">
        <v>4.1599999999999998E-2</v>
      </c>
      <c r="V314" s="447">
        <f t="shared" si="40"/>
        <v>3.9999999999999994E-2</v>
      </c>
    </row>
    <row r="315" spans="20:23" x14ac:dyDescent="0.3">
      <c r="T315" s="444">
        <v>1900</v>
      </c>
      <c r="U315" s="447">
        <v>3.8399999999999997E-2</v>
      </c>
      <c r="V315" s="447">
        <f t="shared" si="40"/>
        <v>3.6799999999999999E-2</v>
      </c>
    </row>
    <row r="316" spans="20:23" x14ac:dyDescent="0.3">
      <c r="T316" s="444">
        <v>3400</v>
      </c>
      <c r="U316" s="447">
        <v>3.5200000000000002E-2</v>
      </c>
      <c r="V316" s="447">
        <f t="shared" si="40"/>
        <v>3.44E-2</v>
      </c>
    </row>
    <row r="317" spans="20:23" x14ac:dyDescent="0.3">
      <c r="T317" s="444">
        <v>5000</v>
      </c>
      <c r="U317" s="447">
        <v>3.3599999999999998E-2</v>
      </c>
      <c r="V317" s="447">
        <f t="shared" si="40"/>
        <v>3.2799999999999996E-2</v>
      </c>
    </row>
    <row r="318" spans="20:23" x14ac:dyDescent="0.3">
      <c r="T318" s="444">
        <v>7000</v>
      </c>
      <c r="U318" s="447">
        <v>3.2000000000000001E-2</v>
      </c>
      <c r="V318" s="447">
        <f t="shared" si="40"/>
        <v>2.8799999999999999E-2</v>
      </c>
    </row>
    <row r="319" spans="20:23" x14ac:dyDescent="0.3">
      <c r="T319" s="444">
        <v>14000</v>
      </c>
      <c r="U319" s="447">
        <v>2.5600000000000001E-2</v>
      </c>
      <c r="V319" s="447">
        <f t="shared" si="40"/>
        <v>2.24E-2</v>
      </c>
    </row>
    <row r="320" spans="20:23" x14ac:dyDescent="0.3">
      <c r="T320" s="444">
        <v>28000</v>
      </c>
      <c r="U320" s="447">
        <v>1.9199999999999998E-2</v>
      </c>
      <c r="V320" s="447">
        <f t="shared" si="40"/>
        <v>1.7599999999999998E-2</v>
      </c>
    </row>
    <row r="321" spans="20:28" x14ac:dyDescent="0.3">
      <c r="T321" s="444">
        <v>56000</v>
      </c>
      <c r="U321" s="447">
        <v>1.6E-2</v>
      </c>
      <c r="V321" s="447">
        <f>U321</f>
        <v>1.6E-2</v>
      </c>
    </row>
    <row r="323" spans="20:28" x14ac:dyDescent="0.3">
      <c r="T323" s="446" t="s">
        <v>821</v>
      </c>
      <c r="V323" s="446" t="s">
        <v>822</v>
      </c>
      <c r="W323" s="446" t="s">
        <v>823</v>
      </c>
      <c r="AB323" s="444"/>
    </row>
    <row r="324" spans="20:28" x14ac:dyDescent="0.3">
      <c r="T324" s="446" t="s">
        <v>824</v>
      </c>
      <c r="V324">
        <v>1</v>
      </c>
      <c r="W324" s="448">
        <v>4725</v>
      </c>
    </row>
    <row r="325" spans="20:28" x14ac:dyDescent="0.3">
      <c r="T325" s="446" t="s">
        <v>825</v>
      </c>
      <c r="V325">
        <v>2</v>
      </c>
      <c r="W325" s="448">
        <v>7875</v>
      </c>
    </row>
    <row r="326" spans="20:28" x14ac:dyDescent="0.3">
      <c r="T326" s="446" t="s">
        <v>826</v>
      </c>
      <c r="V326">
        <v>3</v>
      </c>
      <c r="W326" s="448">
        <v>8925</v>
      </c>
    </row>
  </sheetData>
  <mergeCells count="204">
    <mergeCell ref="M63:Q63"/>
    <mergeCell ref="B64:E64"/>
    <mergeCell ref="B65:E65"/>
    <mergeCell ref="B66:E66"/>
    <mergeCell ref="B67:E67"/>
    <mergeCell ref="B68:E68"/>
    <mergeCell ref="A15:A16"/>
    <mergeCell ref="B70:E70"/>
    <mergeCell ref="B71:E71"/>
    <mergeCell ref="M52:Q52"/>
    <mergeCell ref="M69:Q69"/>
    <mergeCell ref="B22:E22"/>
    <mergeCell ref="B21:E21"/>
    <mergeCell ref="B23:E23"/>
    <mergeCell ref="B54:E54"/>
    <mergeCell ref="B53:E53"/>
    <mergeCell ref="B24:E24"/>
    <mergeCell ref="B25:E25"/>
    <mergeCell ref="B26:E26"/>
    <mergeCell ref="B27:E27"/>
    <mergeCell ref="B28:E28"/>
    <mergeCell ref="B52:E52"/>
    <mergeCell ref="B29:E29"/>
    <mergeCell ref="B30:E30"/>
    <mergeCell ref="B72:E72"/>
    <mergeCell ref="B73:E73"/>
    <mergeCell ref="B74:E74"/>
    <mergeCell ref="B55:E55"/>
    <mergeCell ref="B56:E56"/>
    <mergeCell ref="B57:E57"/>
    <mergeCell ref="B58:E58"/>
    <mergeCell ref="B59:E59"/>
    <mergeCell ref="B60:E60"/>
    <mergeCell ref="B61:E61"/>
    <mergeCell ref="B62:E62"/>
    <mergeCell ref="B69:E69"/>
    <mergeCell ref="B63:E63"/>
    <mergeCell ref="A1:B7"/>
    <mergeCell ref="C1:Q1"/>
    <mergeCell ref="E2:Q2"/>
    <mergeCell ref="E3:Q6"/>
    <mergeCell ref="E7:Q7"/>
    <mergeCell ref="A9:L9"/>
    <mergeCell ref="M9:Q9"/>
    <mergeCell ref="B10:D10"/>
    <mergeCell ref="F10:H10"/>
    <mergeCell ref="I10:J10"/>
    <mergeCell ref="K10:L10"/>
    <mergeCell ref="M10:O13"/>
    <mergeCell ref="P10:Q13"/>
    <mergeCell ref="B11:D11"/>
    <mergeCell ref="F11:H11"/>
    <mergeCell ref="I11:J11"/>
    <mergeCell ref="K11:L11"/>
    <mergeCell ref="B12:D12"/>
    <mergeCell ref="F12:H12"/>
    <mergeCell ref="I12:J12"/>
    <mergeCell ref="K12:L12"/>
    <mergeCell ref="B13:D13"/>
    <mergeCell ref="F13:H13"/>
    <mergeCell ref="I13:J13"/>
    <mergeCell ref="K13:L13"/>
    <mergeCell ref="L15:L16"/>
    <mergeCell ref="M15:Q15"/>
    <mergeCell ref="B17:K17"/>
    <mergeCell ref="M17:Q17"/>
    <mergeCell ref="B18:E18"/>
    <mergeCell ref="M18:Q18"/>
    <mergeCell ref="B20:E20"/>
    <mergeCell ref="B19:E19"/>
    <mergeCell ref="B15:E16"/>
    <mergeCell ref="F15:F16"/>
    <mergeCell ref="G15:G16"/>
    <mergeCell ref="H15:I15"/>
    <mergeCell ref="J15:K15"/>
    <mergeCell ref="B81:E81"/>
    <mergeCell ref="B82:E82"/>
    <mergeCell ref="B83:E83"/>
    <mergeCell ref="B84:E84"/>
    <mergeCell ref="B85:E85"/>
    <mergeCell ref="B86:E86"/>
    <mergeCell ref="B75:E75"/>
    <mergeCell ref="B76:E76"/>
    <mergeCell ref="B77:E77"/>
    <mergeCell ref="B78:E78"/>
    <mergeCell ref="B79:E79"/>
    <mergeCell ref="B80:E80"/>
    <mergeCell ref="B93:E93"/>
    <mergeCell ref="B94:E94"/>
    <mergeCell ref="B95:E95"/>
    <mergeCell ref="B96:E96"/>
    <mergeCell ref="B97:E97"/>
    <mergeCell ref="B98:E98"/>
    <mergeCell ref="B87:E87"/>
    <mergeCell ref="B88:E88"/>
    <mergeCell ref="B89:E89"/>
    <mergeCell ref="B90:E90"/>
    <mergeCell ref="B91:E91"/>
    <mergeCell ref="B92:E92"/>
    <mergeCell ref="B105:E105"/>
    <mergeCell ref="B106:E106"/>
    <mergeCell ref="B107:E107"/>
    <mergeCell ref="B108:E108"/>
    <mergeCell ref="B109:E109"/>
    <mergeCell ref="B110:E110"/>
    <mergeCell ref="B99:E99"/>
    <mergeCell ref="B100:E100"/>
    <mergeCell ref="B101:E101"/>
    <mergeCell ref="B102:E102"/>
    <mergeCell ref="B103:E103"/>
    <mergeCell ref="B104:E104"/>
    <mergeCell ref="B117:E117"/>
    <mergeCell ref="B118:E118"/>
    <mergeCell ref="B119:E119"/>
    <mergeCell ref="B120:E120"/>
    <mergeCell ref="B121:E121"/>
    <mergeCell ref="A123:I123"/>
    <mergeCell ref="B111:E111"/>
    <mergeCell ref="B112:E112"/>
    <mergeCell ref="B113:E113"/>
    <mergeCell ref="B114:E114"/>
    <mergeCell ref="B115:E115"/>
    <mergeCell ref="B116:E116"/>
    <mergeCell ref="T136:AB136"/>
    <mergeCell ref="AE136:AJ137"/>
    <mergeCell ref="AM136:AO137"/>
    <mergeCell ref="AE138:AG138"/>
    <mergeCell ref="AM138:AN138"/>
    <mergeCell ref="T140:AB140"/>
    <mergeCell ref="M123:Q123"/>
    <mergeCell ref="A124:I124"/>
    <mergeCell ref="M124:Q126"/>
    <mergeCell ref="A125:I125"/>
    <mergeCell ref="A126:I126"/>
    <mergeCell ref="A128:I128"/>
    <mergeCell ref="M128:Q131"/>
    <mergeCell ref="A129:I129"/>
    <mergeCell ref="A130:I130"/>
    <mergeCell ref="A131:I131"/>
    <mergeCell ref="T156:AB156"/>
    <mergeCell ref="AE158:AH158"/>
    <mergeCell ref="AE159:AH159"/>
    <mergeCell ref="T160:AB160"/>
    <mergeCell ref="T164:AB164"/>
    <mergeCell ref="AE164:AG164"/>
    <mergeCell ref="T144:AB144"/>
    <mergeCell ref="AE145:AG145"/>
    <mergeCell ref="T148:AB148"/>
    <mergeCell ref="AE151:AG151"/>
    <mergeCell ref="T152:AB152"/>
    <mergeCell ref="AE155:AH155"/>
    <mergeCell ref="C281:D281"/>
    <mergeCell ref="E281:H281"/>
    <mergeCell ref="I281:J281"/>
    <mergeCell ref="K281:L281"/>
    <mergeCell ref="C282:D282"/>
    <mergeCell ref="E282:H282"/>
    <mergeCell ref="I282:J282"/>
    <mergeCell ref="K282:L282"/>
    <mergeCell ref="T171:AN172"/>
    <mergeCell ref="T206:AN207"/>
    <mergeCell ref="T241:AN242"/>
    <mergeCell ref="A279:L279"/>
    <mergeCell ref="B280:D280"/>
    <mergeCell ref="E280:H280"/>
    <mergeCell ref="I280:J280"/>
    <mergeCell ref="K280:L280"/>
    <mergeCell ref="F290:H290"/>
    <mergeCell ref="F291:H291"/>
    <mergeCell ref="A286:L286"/>
    <mergeCell ref="F287:H287"/>
    <mergeCell ref="I287:J287"/>
    <mergeCell ref="F288:H288"/>
    <mergeCell ref="I288:J288"/>
    <mergeCell ref="F289:H289"/>
    <mergeCell ref="C283:D283"/>
    <mergeCell ref="E283:H283"/>
    <mergeCell ref="I283:J283"/>
    <mergeCell ref="K283:L283"/>
    <mergeCell ref="C284:D284"/>
    <mergeCell ref="E284:H284"/>
    <mergeCell ref="I284:J284"/>
    <mergeCell ref="K284:L284"/>
    <mergeCell ref="B31:E31"/>
    <mergeCell ref="B32:E32"/>
    <mergeCell ref="B33:E33"/>
    <mergeCell ref="B34:E34"/>
    <mergeCell ref="B35:E35"/>
    <mergeCell ref="B36:E36"/>
    <mergeCell ref="B37:E37"/>
    <mergeCell ref="B38:E38"/>
    <mergeCell ref="B39:E39"/>
    <mergeCell ref="B49:E49"/>
    <mergeCell ref="B50:E50"/>
    <mergeCell ref="B51:E51"/>
    <mergeCell ref="B40:E40"/>
    <mergeCell ref="B41:E41"/>
    <mergeCell ref="B42:E42"/>
    <mergeCell ref="B43:E43"/>
    <mergeCell ref="B44:E44"/>
    <mergeCell ref="B45:E45"/>
    <mergeCell ref="B46:E46"/>
    <mergeCell ref="B47:E47"/>
    <mergeCell ref="B48:E48"/>
  </mergeCells>
  <phoneticPr fontId="36" type="noConversion"/>
  <conditionalFormatting sqref="L105:Q105 L107:Q107 L121:Q122 L76:R81 M53:Q62 L83:Q88 L90:Q95 L97:Q99 L101:Q103 L109:Q115 L19:Q51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{0D22510D-E460-48B0-93C0-089C83A763D2}</x14:id>
        </ext>
      </extLst>
    </cfRule>
  </conditionalFormatting>
  <conditionalFormatting sqref="L117:Q117">
    <cfRule type="dataBar" priority="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{A5ACD06B-89C1-44F5-AD07-5ADEAABF4B15}</x14:id>
        </ext>
      </extLst>
    </cfRule>
  </conditionalFormatting>
  <conditionalFormatting sqref="L119:Q119"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{258B5BB1-ED4F-4D0F-93EE-71CD0AB4ABAC}</x14:id>
        </ext>
      </extLst>
    </cfRule>
  </conditionalFormatting>
  <conditionalFormatting sqref="L76:L81 L83:L88 L97:L99 L101:L103 L105 L107 L109:L115 L117 L119 L121:L122 L90:L95 L19:L51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{19CD15EC-3609-4FAF-91D5-DC8CCC1BBC3B}</x14:id>
        </ext>
      </extLst>
    </cfRule>
  </conditionalFormatting>
  <conditionalFormatting sqref="L53:L62">
    <cfRule type="dataBar" priority="23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{FAC66DED-B60E-41BE-AC53-CFC14E05270D}</x14:id>
        </ext>
      </extLst>
    </cfRule>
  </conditionalFormatting>
  <conditionalFormatting sqref="M53:Q62 L19:Q51">
    <cfRule type="dataBar" priority="2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{E243BFFB-539A-4BC4-90AB-E60806730C70}</x14:id>
        </ext>
      </extLst>
    </cfRule>
  </conditionalFormatting>
  <conditionalFormatting sqref="M64:Q68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{19BBE6F1-32C3-45AA-9585-FF258C2FC0BD}</x14:id>
        </ext>
      </extLst>
    </cfRule>
  </conditionalFormatting>
  <conditionalFormatting sqref="M64:Q68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{42D37A74-C5D8-404E-A099-0E7DF326F956}</x14:id>
        </ext>
      </extLst>
    </cfRule>
  </conditionalFormatting>
  <conditionalFormatting sqref="L64:L68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{93DAF97A-BEC0-4A2C-8E26-E2E47D5AE313}</x14:id>
        </ext>
      </extLst>
    </cfRule>
  </conditionalFormatting>
  <conditionalFormatting sqref="L64:L68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{D3FD80D7-F25D-4BEE-8874-13EEEAD381EB}</x14:id>
        </ext>
      </extLst>
    </cfRule>
  </conditionalFormatting>
  <conditionalFormatting sqref="L64:L68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{F661B324-7F94-4CA8-B07B-C3708F915F6F}</x14:id>
        </ext>
      </extLst>
    </cfRule>
  </conditionalFormatting>
  <conditionalFormatting sqref="M70:Q74">
    <cfRule type="dataBar" priority="25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{24A07A12-C970-4D8C-8D4C-B5E51E5A0503}</x14:id>
        </ext>
      </extLst>
    </cfRule>
  </conditionalFormatting>
  <conditionalFormatting sqref="L70:L74">
    <cfRule type="dataBar" priority="25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{4DB7FFBA-1E1A-4602-9AAD-406BA98BB070}</x14:id>
        </ext>
      </extLst>
    </cfRule>
  </conditionalFormatting>
  <dataValidations disablePrompts="1" count="1">
    <dataValidation type="list" allowBlank="1" showInputMessage="1" showErrorMessage="1" sqref="T2" xr:uid="{4A201DE8-D9DB-432F-9ED9-3248E27637B0}">
      <formula1>"Wall Mounted,Split System,"</formula1>
    </dataValidation>
  </dataValidations>
  <printOptions horizontalCentered="1"/>
  <pageMargins left="0.19685039370078741" right="0.19685039370078741" top="0.19685039370078741" bottom="0.19685039370078741" header="0.19685039370078741" footer="0.19685039370078741"/>
  <pageSetup paperSize="9" scale="55" orientation="landscape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D22510D-E460-48B0-93C0-089C83A763D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L105:Q105 L107:Q107 L121:Q122 L76:R81 M53:Q62 L83:Q88 L90:Q95 L97:Q99 L101:Q103 L109:Q115 L19:Q51</xm:sqref>
        </x14:conditionalFormatting>
        <x14:conditionalFormatting xmlns:xm="http://schemas.microsoft.com/office/excel/2006/main">
          <x14:cfRule type="dataBar" id="{A5ACD06B-89C1-44F5-AD07-5ADEAABF4B1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L117:Q117</xm:sqref>
        </x14:conditionalFormatting>
        <x14:conditionalFormatting xmlns:xm="http://schemas.microsoft.com/office/excel/2006/main">
          <x14:cfRule type="dataBar" id="{258B5BB1-ED4F-4D0F-93EE-71CD0AB4ABA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L119:Q119</xm:sqref>
        </x14:conditionalFormatting>
        <x14:conditionalFormatting xmlns:xm="http://schemas.microsoft.com/office/excel/2006/main">
          <x14:cfRule type="dataBar" id="{19CD15EC-3609-4FAF-91D5-DC8CCC1BBC3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L76:L81 L83:L88 L97:L99 L101:L103 L105 L107 L109:L115 L117 L119 L121:L122 L90:L95 L19:L51</xm:sqref>
        </x14:conditionalFormatting>
        <x14:conditionalFormatting xmlns:xm="http://schemas.microsoft.com/office/excel/2006/main">
          <x14:cfRule type="dataBar" id="{FAC66DED-B60E-41BE-AC53-CFC14E05270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L53:L62</xm:sqref>
        </x14:conditionalFormatting>
        <x14:conditionalFormatting xmlns:xm="http://schemas.microsoft.com/office/excel/2006/main">
          <x14:cfRule type="dataBar" id="{E243BFFB-539A-4BC4-90AB-E60806730C7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M53:Q62 L19:Q51</xm:sqref>
        </x14:conditionalFormatting>
        <x14:conditionalFormatting xmlns:xm="http://schemas.microsoft.com/office/excel/2006/main">
          <x14:cfRule type="dataBar" id="{19BBE6F1-32C3-45AA-9585-FF258C2FC0B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M64:Q68</xm:sqref>
        </x14:conditionalFormatting>
        <x14:conditionalFormatting xmlns:xm="http://schemas.microsoft.com/office/excel/2006/main">
          <x14:cfRule type="dataBar" id="{42D37A74-C5D8-404E-A099-0E7DF326F95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M64:Q68</xm:sqref>
        </x14:conditionalFormatting>
        <x14:conditionalFormatting xmlns:xm="http://schemas.microsoft.com/office/excel/2006/main">
          <x14:cfRule type="dataBar" id="{93DAF97A-BEC0-4A2C-8E26-E2E47D5AE31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L64:L68</xm:sqref>
        </x14:conditionalFormatting>
        <x14:conditionalFormatting xmlns:xm="http://schemas.microsoft.com/office/excel/2006/main">
          <x14:cfRule type="dataBar" id="{D3FD80D7-F25D-4BEE-8874-13EEEAD381E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L64:L68</xm:sqref>
        </x14:conditionalFormatting>
        <x14:conditionalFormatting xmlns:xm="http://schemas.microsoft.com/office/excel/2006/main">
          <x14:cfRule type="dataBar" id="{F661B324-7F94-4CA8-B07B-C3708F915F6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L64:L68</xm:sqref>
        </x14:conditionalFormatting>
        <x14:conditionalFormatting xmlns:xm="http://schemas.microsoft.com/office/excel/2006/main">
          <x14:cfRule type="dataBar" id="{24A07A12-C970-4D8C-8D4C-B5E51E5A050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M70:Q74</xm:sqref>
        </x14:conditionalFormatting>
        <x14:conditionalFormatting xmlns:xm="http://schemas.microsoft.com/office/excel/2006/main">
          <x14:cfRule type="dataBar" id="{4DB7FFBA-1E1A-4602-9AAD-406BA98BB07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L70:L74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BD726-031D-4DEA-9FB8-58AF5950118A}">
  <sheetPr codeName="Planilha20"/>
  <dimension ref="A1:O46"/>
  <sheetViews>
    <sheetView topLeftCell="D2" zoomScaleNormal="100" workbookViewId="0">
      <selection activeCell="E5" sqref="E5"/>
    </sheetView>
  </sheetViews>
  <sheetFormatPr defaultRowHeight="14.4" x14ac:dyDescent="0.3"/>
  <cols>
    <col min="1" max="1" width="24.109375" customWidth="1"/>
    <col min="2" max="2" width="20.6640625" style="49" customWidth="1"/>
    <col min="3" max="12" width="15.5546875" style="49" customWidth="1"/>
    <col min="13" max="13" width="15.5546875" customWidth="1"/>
    <col min="15" max="15" width="16.109375" customWidth="1"/>
  </cols>
  <sheetData>
    <row r="1" spans="1:15" hidden="1" x14ac:dyDescent="0.3">
      <c r="B1"/>
      <c r="C1"/>
      <c r="D1"/>
      <c r="E1"/>
      <c r="F1"/>
      <c r="G1"/>
      <c r="H1"/>
      <c r="I1"/>
    </row>
    <row r="2" spans="1:15" ht="5.0999999999999996" customHeight="1" x14ac:dyDescent="0.3">
      <c r="A2" s="29"/>
      <c r="B2" s="510"/>
      <c r="C2" s="510"/>
      <c r="D2" s="510"/>
      <c r="E2" s="510"/>
      <c r="F2" s="510"/>
      <c r="G2" s="510"/>
      <c r="H2" s="510"/>
      <c r="I2" s="510"/>
      <c r="J2" s="510"/>
      <c r="K2" s="510"/>
      <c r="L2" s="510"/>
      <c r="M2" s="29"/>
      <c r="N2" s="29"/>
    </row>
    <row r="3" spans="1:15" ht="32.25" customHeight="1" x14ac:dyDescent="0.3">
      <c r="A3" s="513"/>
      <c r="B3" s="1077" t="s">
        <v>880</v>
      </c>
      <c r="C3" s="1077"/>
      <c r="D3" s="1077"/>
      <c r="E3" s="1077"/>
      <c r="F3" s="1077"/>
      <c r="G3" s="1077"/>
      <c r="H3" s="1077"/>
      <c r="I3" s="1077"/>
      <c r="J3" s="1077"/>
      <c r="K3" s="1077"/>
      <c r="L3" s="1077"/>
      <c r="M3" s="1077"/>
      <c r="N3" s="513"/>
      <c r="O3" s="6" t="s">
        <v>881</v>
      </c>
    </row>
    <row r="4" spans="1:15" s="3" customFormat="1" ht="25.5" customHeight="1" x14ac:dyDescent="0.3">
      <c r="A4" s="514"/>
      <c r="B4" s="514" t="s">
        <v>96</v>
      </c>
      <c r="C4" s="514" t="s">
        <v>882</v>
      </c>
      <c r="D4" s="514" t="s">
        <v>883</v>
      </c>
      <c r="E4" s="514" t="s">
        <v>884</v>
      </c>
      <c r="F4" s="514" t="s">
        <v>885</v>
      </c>
      <c r="G4" s="514" t="s">
        <v>886</v>
      </c>
      <c r="H4" s="514" t="s">
        <v>887</v>
      </c>
      <c r="I4" s="514" t="s">
        <v>888</v>
      </c>
      <c r="J4" s="514" t="s">
        <v>889</v>
      </c>
      <c r="K4" s="514" t="s">
        <v>1171</v>
      </c>
      <c r="L4" s="514" t="s">
        <v>1172</v>
      </c>
      <c r="M4" s="514" t="s">
        <v>891</v>
      </c>
      <c r="N4" s="514"/>
      <c r="O4" s="6" t="s">
        <v>892</v>
      </c>
    </row>
    <row r="5" spans="1:15" s="3" customFormat="1" ht="34.5" customHeight="1" x14ac:dyDescent="0.3">
      <c r="A5" s="514"/>
      <c r="B5" s="515" t="s">
        <v>543</v>
      </c>
      <c r="C5" s="515" t="s">
        <v>157</v>
      </c>
      <c r="D5" s="515" t="s">
        <v>918</v>
      </c>
      <c r="E5" s="515" t="s">
        <v>545</v>
      </c>
      <c r="F5" s="515" t="s">
        <v>583</v>
      </c>
      <c r="G5" s="515" t="s">
        <v>893</v>
      </c>
      <c r="H5" s="515" t="s">
        <v>894</v>
      </c>
      <c r="I5" s="515" t="s">
        <v>895</v>
      </c>
      <c r="J5" s="515" t="s">
        <v>583</v>
      </c>
      <c r="K5" s="515" t="s">
        <v>583</v>
      </c>
      <c r="L5" s="515" t="s">
        <v>546</v>
      </c>
      <c r="M5" s="515" t="s">
        <v>546</v>
      </c>
      <c r="N5" s="514"/>
      <c r="O5" s="6" t="s">
        <v>896</v>
      </c>
    </row>
    <row r="6" spans="1:15" x14ac:dyDescent="0.3">
      <c r="A6" s="516"/>
      <c r="B6" s="517"/>
      <c r="C6" s="517"/>
      <c r="D6" s="517"/>
      <c r="E6" s="517"/>
      <c r="F6" s="517"/>
      <c r="G6" s="517"/>
      <c r="H6" s="517"/>
      <c r="I6" s="517"/>
      <c r="J6" s="517"/>
      <c r="K6" s="517"/>
      <c r="L6" s="517"/>
      <c r="M6" s="517"/>
      <c r="N6" s="513"/>
      <c r="O6" s="6" t="s">
        <v>897</v>
      </c>
    </row>
    <row r="7" spans="1:15" ht="5.0999999999999996" customHeight="1" x14ac:dyDescent="0.3">
      <c r="A7" s="510"/>
      <c r="B7" s="43"/>
      <c r="C7" s="43"/>
      <c r="D7" s="43"/>
      <c r="E7" s="43"/>
      <c r="F7" s="43"/>
      <c r="G7" s="43"/>
      <c r="H7" s="43"/>
      <c r="I7" s="43"/>
      <c r="J7" s="43"/>
      <c r="K7" s="43"/>
      <c r="L7" s="43"/>
      <c r="M7" s="43"/>
      <c r="N7" s="29"/>
      <c r="O7" s="3" t="s">
        <v>898</v>
      </c>
    </row>
    <row r="8" spans="1:15" ht="33.75" customHeight="1" x14ac:dyDescent="0.3">
      <c r="A8" s="518"/>
      <c r="B8" s="1077" t="s">
        <v>899</v>
      </c>
      <c r="C8" s="1077"/>
      <c r="D8" s="1077"/>
      <c r="E8" s="1077"/>
      <c r="F8" s="1077"/>
      <c r="G8" s="1077"/>
      <c r="H8" s="1077"/>
      <c r="I8" s="1077"/>
      <c r="J8" s="1077"/>
      <c r="K8" s="1077"/>
      <c r="L8" s="1077"/>
      <c r="M8" s="1077"/>
      <c r="N8" s="1077"/>
      <c r="O8" s="3" t="s">
        <v>900</v>
      </c>
    </row>
    <row r="9" spans="1:15" ht="25.5" customHeight="1" x14ac:dyDescent="0.3">
      <c r="A9" s="514"/>
      <c r="B9" s="514" t="s">
        <v>96</v>
      </c>
      <c r="C9" s="514" t="s">
        <v>882</v>
      </c>
      <c r="D9" s="514" t="s">
        <v>883</v>
      </c>
      <c r="E9" s="514" t="s">
        <v>884</v>
      </c>
      <c r="F9" s="514" t="s">
        <v>901</v>
      </c>
      <c r="G9" s="514" t="s">
        <v>902</v>
      </c>
      <c r="H9" s="514"/>
      <c r="I9" s="514"/>
      <c r="J9" s="514"/>
      <c r="K9" s="514"/>
      <c r="L9" s="514"/>
      <c r="M9" s="514"/>
      <c r="N9" s="514"/>
      <c r="O9" s="3" t="s">
        <v>872</v>
      </c>
    </row>
    <row r="10" spans="1:15" ht="34.5" customHeight="1" x14ac:dyDescent="0.3">
      <c r="A10" s="514"/>
      <c r="B10" s="515" t="s">
        <v>903</v>
      </c>
      <c r="C10" s="515"/>
      <c r="D10" s="515"/>
      <c r="E10" s="515" t="s">
        <v>904</v>
      </c>
      <c r="F10" s="515" t="s">
        <v>546</v>
      </c>
      <c r="G10" s="515" t="s">
        <v>546</v>
      </c>
      <c r="H10" s="514"/>
      <c r="I10" s="514"/>
      <c r="J10" s="514"/>
      <c r="K10" s="514"/>
      <c r="L10" s="514"/>
      <c r="M10" s="514"/>
      <c r="N10" s="514"/>
      <c r="O10" s="3" t="s">
        <v>873</v>
      </c>
    </row>
    <row r="11" spans="1:15" x14ac:dyDescent="0.3">
      <c r="A11" s="516"/>
      <c r="B11" s="517"/>
      <c r="C11" s="517"/>
      <c r="D11" s="517"/>
      <c r="E11" s="517"/>
      <c r="F11" s="517"/>
      <c r="G11" s="517"/>
      <c r="H11" s="517"/>
      <c r="I11" s="517"/>
      <c r="J11" s="517"/>
      <c r="K11" s="517"/>
      <c r="L11" s="517"/>
      <c r="M11" s="517"/>
      <c r="N11" s="513"/>
      <c r="O11" s="3" t="s">
        <v>874</v>
      </c>
    </row>
    <row r="12" spans="1:15" ht="5.0999999999999996" customHeight="1" x14ac:dyDescent="0.3">
      <c r="A12" s="29"/>
      <c r="B12" s="510"/>
      <c r="C12" s="510"/>
      <c r="D12" s="510"/>
      <c r="E12" s="510"/>
      <c r="F12" s="510"/>
      <c r="G12" s="510"/>
      <c r="H12" s="510"/>
      <c r="I12" s="510"/>
      <c r="J12" s="510"/>
      <c r="K12" s="510"/>
      <c r="L12" s="510"/>
      <c r="M12" s="29"/>
      <c r="N12" s="29"/>
      <c r="O12" s="6" t="s">
        <v>905</v>
      </c>
    </row>
    <row r="13" spans="1:15" ht="25.8" x14ac:dyDescent="0.3">
      <c r="A13" s="518"/>
      <c r="B13" s="1077" t="s">
        <v>906</v>
      </c>
      <c r="C13" s="1077"/>
      <c r="D13" s="1077"/>
      <c r="E13" s="1077"/>
      <c r="F13" s="1077"/>
      <c r="G13" s="1077"/>
      <c r="H13" s="1077"/>
      <c r="I13" s="1077"/>
      <c r="J13" s="1077"/>
      <c r="K13" s="1077"/>
      <c r="L13" s="1077"/>
      <c r="M13" s="1077"/>
      <c r="N13" s="1077"/>
      <c r="O13" s="6"/>
    </row>
    <row r="14" spans="1:15" ht="25.5" customHeight="1" x14ac:dyDescent="0.3">
      <c r="A14" s="514"/>
      <c r="B14" s="514" t="s">
        <v>96</v>
      </c>
      <c r="C14" s="514" t="s">
        <v>882</v>
      </c>
      <c r="D14" s="514" t="s">
        <v>908</v>
      </c>
      <c r="E14" s="514" t="s">
        <v>909</v>
      </c>
      <c r="F14" s="514" t="s">
        <v>884</v>
      </c>
      <c r="G14" s="514" t="s">
        <v>910</v>
      </c>
      <c r="H14" s="514"/>
      <c r="I14" s="514"/>
      <c r="J14" s="514"/>
      <c r="K14" s="514"/>
      <c r="L14" s="514"/>
      <c r="M14" s="514"/>
      <c r="N14" s="514"/>
      <c r="O14" s="6"/>
    </row>
    <row r="15" spans="1:15" ht="35.25" customHeight="1" x14ac:dyDescent="0.3">
      <c r="A15" s="514"/>
      <c r="B15" s="515" t="s">
        <v>903</v>
      </c>
      <c r="C15" s="515"/>
      <c r="D15" s="515"/>
      <c r="E15" s="515"/>
      <c r="F15" s="515" t="s">
        <v>904</v>
      </c>
      <c r="G15" s="515" t="s">
        <v>912</v>
      </c>
      <c r="H15" s="514"/>
      <c r="I15" s="514"/>
      <c r="J15" s="514"/>
      <c r="K15" s="514"/>
      <c r="L15" s="514"/>
      <c r="M15" s="514"/>
      <c r="N15" s="514"/>
      <c r="O15" s="6"/>
    </row>
    <row r="16" spans="1:15" x14ac:dyDescent="0.3">
      <c r="A16" s="516"/>
      <c r="B16" s="517"/>
      <c r="C16" s="517"/>
      <c r="D16" s="517"/>
      <c r="E16" s="517"/>
      <c r="F16" s="517"/>
      <c r="G16" s="517"/>
      <c r="H16" s="517"/>
      <c r="I16" s="517"/>
      <c r="J16" s="517"/>
      <c r="K16" s="517"/>
      <c r="L16" s="517"/>
      <c r="M16" s="517"/>
      <c r="N16" s="513"/>
      <c r="O16" s="6"/>
    </row>
    <row r="17" spans="1:15" ht="5.0999999999999996" customHeight="1" x14ac:dyDescent="0.3">
      <c r="A17" s="29"/>
      <c r="B17" s="510"/>
      <c r="C17" s="510"/>
      <c r="D17" s="510"/>
      <c r="E17" s="510"/>
      <c r="F17" s="510"/>
      <c r="G17" s="510"/>
      <c r="H17" s="510"/>
      <c r="I17" s="510"/>
      <c r="J17" s="510"/>
      <c r="K17" s="510"/>
      <c r="L17" s="510"/>
      <c r="M17" s="29"/>
      <c r="N17" s="29"/>
      <c r="O17" s="6"/>
    </row>
    <row r="18" spans="1:15" x14ac:dyDescent="0.3">
      <c r="O18" s="3"/>
    </row>
    <row r="19" spans="1:15" x14ac:dyDescent="0.3">
      <c r="O19" s="3"/>
    </row>
    <row r="20" spans="1:15" x14ac:dyDescent="0.3">
      <c r="O20" s="3"/>
    </row>
    <row r="21" spans="1:15" x14ac:dyDescent="0.3">
      <c r="G21" s="6"/>
      <c r="O21" s="3"/>
    </row>
    <row r="22" spans="1:15" x14ac:dyDescent="0.3">
      <c r="G22" s="6"/>
      <c r="O22" s="3"/>
    </row>
    <row r="23" spans="1:15" x14ac:dyDescent="0.3">
      <c r="G23" s="6"/>
      <c r="O23" s="3"/>
    </row>
    <row r="24" spans="1:15" x14ac:dyDescent="0.3">
      <c r="G24" s="6"/>
      <c r="O24" s="3"/>
    </row>
    <row r="25" spans="1:15" x14ac:dyDescent="0.3">
      <c r="G25" s="3"/>
      <c r="O25" s="3"/>
    </row>
    <row r="26" spans="1:15" x14ac:dyDescent="0.3">
      <c r="G26" s="3"/>
      <c r="O26" s="3"/>
    </row>
    <row r="27" spans="1:15" x14ac:dyDescent="0.3">
      <c r="G27" s="3"/>
      <c r="O27" s="3"/>
    </row>
    <row r="28" spans="1:15" x14ac:dyDescent="0.3">
      <c r="E28" s="519"/>
      <c r="G28" s="3"/>
      <c r="O28" s="3"/>
    </row>
    <row r="29" spans="1:15" x14ac:dyDescent="0.3">
      <c r="G29" s="3"/>
      <c r="O29" s="3"/>
    </row>
    <row r="30" spans="1:15" x14ac:dyDescent="0.3">
      <c r="G30" s="6"/>
      <c r="O30" s="3"/>
    </row>
    <row r="31" spans="1:15" x14ac:dyDescent="0.3">
      <c r="O31" s="3"/>
    </row>
    <row r="32" spans="1:15" x14ac:dyDescent="0.3">
      <c r="O32" s="3"/>
    </row>
    <row r="33" spans="15:15" x14ac:dyDescent="0.3">
      <c r="O33" s="3"/>
    </row>
    <row r="34" spans="15:15" x14ac:dyDescent="0.3">
      <c r="O34" s="3"/>
    </row>
    <row r="35" spans="15:15" x14ac:dyDescent="0.3">
      <c r="O35" s="3"/>
    </row>
    <row r="36" spans="15:15" x14ac:dyDescent="0.3">
      <c r="O36" s="3"/>
    </row>
    <row r="37" spans="15:15" x14ac:dyDescent="0.3">
      <c r="O37" s="3"/>
    </row>
    <row r="38" spans="15:15" x14ac:dyDescent="0.3">
      <c r="O38" s="3"/>
    </row>
    <row r="39" spans="15:15" x14ac:dyDescent="0.3">
      <c r="O39" s="3"/>
    </row>
    <row r="40" spans="15:15" x14ac:dyDescent="0.3">
      <c r="O40" s="3"/>
    </row>
    <row r="41" spans="15:15" x14ac:dyDescent="0.3">
      <c r="O41" s="3"/>
    </row>
    <row r="42" spans="15:15" x14ac:dyDescent="0.3">
      <c r="O42" s="3"/>
    </row>
    <row r="43" spans="15:15" x14ac:dyDescent="0.3">
      <c r="O43" s="3"/>
    </row>
    <row r="44" spans="15:15" x14ac:dyDescent="0.3">
      <c r="O44" s="3"/>
    </row>
    <row r="45" spans="15:15" x14ac:dyDescent="0.3">
      <c r="O45" s="3"/>
    </row>
    <row r="46" spans="15:15" x14ac:dyDescent="0.3">
      <c r="O46" s="3"/>
    </row>
  </sheetData>
  <mergeCells count="3">
    <mergeCell ref="B3:M3"/>
    <mergeCell ref="B8:N8"/>
    <mergeCell ref="B13:N13"/>
  </mergeCells>
  <dataValidations count="11">
    <dataValidation type="list" allowBlank="1" showInputMessage="1" showErrorMessage="1" sqref="C15" xr:uid="{D8D2D8C1-4316-4E1E-AF31-83D24F55F67B}">
      <formula1>"Tubo Axial, Caixa de Ventilação, Torre Filtro Cartucho,"</formula1>
    </dataValidation>
    <dataValidation type="list" allowBlank="1" showInputMessage="1" showErrorMessage="1" sqref="D5" xr:uid="{DBFDBBE2-468F-450E-9465-8123F2AA89E2}">
      <mc:AlternateContent xmlns:x12ac="http://schemas.microsoft.com/office/spreadsheetml/2011/1/ac" xmlns:mc="http://schemas.openxmlformats.org/markup-compatibility/2006">
        <mc:Choice Requires="x12ac">
          <x12ac:list>1TR,2TR,3TR,4TR,5TR,"7,5TR",10TR,"12,5TR",15TR,20TR,25TR,30TR,35TR,40TR,45TR,50TR,55TR,60TR,</x12ac:list>
        </mc:Choice>
        <mc:Fallback>
          <formula1>"1TR,2TR,3TR,4TR,5TR,7,5TR,10TR,12,5TR,15TR,20TR,25TR,30TR,35TR,40TR,45TR,50TR,55TR,60TR,"</formula1>
        </mc:Fallback>
      </mc:AlternateContent>
    </dataValidation>
    <dataValidation type="list" allowBlank="1" showInputMessage="1" showErrorMessage="1" sqref="K5:M5" xr:uid="{E44F89D0-0A86-4367-9EE8-5BACCC2D6EA5}">
      <formula1>"SIM,NÃO,"</formula1>
    </dataValidation>
    <dataValidation type="list" allowBlank="1" showInputMessage="1" showErrorMessage="1" sqref="I5" xr:uid="{9CCA6A4F-AD91-4442-987D-01CAD7582B7F}">
      <formula1>"ON/OFF, Proporcional,"</formula1>
    </dataValidation>
    <dataValidation type="list" allowBlank="1" showInputMessage="1" showErrorMessage="1" sqref="H5" xr:uid="{AA82474B-C06E-40CE-A73D-D77AAFC2272F}">
      <formula1>"Sirocco, Eletrônico,"</formula1>
    </dataValidation>
    <dataValidation type="list" allowBlank="1" showInputMessage="1" showErrorMessage="1" sqref="G5" xr:uid="{D1EE7F97-BFB5-4472-9387-1484F17B8B17}">
      <formula1>"1 MANUAL, 2 MANUAIS, 1 COM ATUADOR ON/OFF, 2 COM ATUADORES ON/OFF, 1 C/ ATUADOR PROP, 2 C/ ATUADOR PROP,"</formula1>
    </dataValidation>
    <dataValidation type="list" allowBlank="1" showInputMessage="1" showErrorMessage="1" sqref="F5 J5 F10:G10" xr:uid="{E881E1C8-564D-447A-8F18-E71945229BBC}">
      <formula1>"SIM, NÃO,"</formula1>
    </dataValidation>
    <dataValidation type="list" allowBlank="1" showInputMessage="1" showErrorMessage="1" sqref="E5 E10 F15" xr:uid="{45D8C7A4-1961-4F18-8D54-BBE7DD7F3176}">
      <formula1>"127V/1F,220V/1F,220V/3F,380V/3F,440V/3F,460V/3F,480V/3F,"</formula1>
    </dataValidation>
    <dataValidation type="list" allowBlank="1" showInputMessage="1" showErrorMessage="1" sqref="D10" xr:uid="{690C8E25-D11E-44AF-A45D-30561B79F859}">
      <formula1>"7.000BTU/h,9.000BTU/h,12.000BTU/h,18.000BTU/h,21.000BTU/h,24.000BTU/h,36.000BTU/h,48.000BTU/h,60.000BTU/h,80.000BTU/h,"</formula1>
    </dataValidation>
    <dataValidation type="list" allowBlank="1" showInputMessage="1" showErrorMessage="1" sqref="C10" xr:uid="{F98144A3-B0BF-40EB-84FB-42E2078E9717}">
      <formula1>"Split Piso-Teto, Split Hi-Wall, ACJ,"</formula1>
    </dataValidation>
    <dataValidation type="list" allowBlank="1" showInputMessage="1" showErrorMessage="1" sqref="C5" xr:uid="{017109BA-A264-4A34-9389-9ED09E08C563}">
      <formula1>"Wall Mounted, Split System, Self Contained,"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1921" r:id="rId4" name="Button 1">
              <controlPr defaultSize="0" print="0" autoFill="0" autoPict="0" macro="[0]!CadastroEquipIndustrial">
                <anchor moveWithCells="1" sizeWithCells="1">
                  <from>
                    <xdr:col>0</xdr:col>
                    <xdr:colOff>99060</xdr:colOff>
                    <xdr:row>4</xdr:row>
                    <xdr:rowOff>60960</xdr:rowOff>
                  </from>
                  <to>
                    <xdr:col>0</xdr:col>
                    <xdr:colOff>1524000</xdr:colOff>
                    <xdr:row>4</xdr:row>
                    <xdr:rowOff>419100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22" r:id="rId5" name="Button 2">
              <controlPr defaultSize="0" print="0" autoFill="0" autoPict="0" macro="[0]!CadastroEquipComercial">
                <anchor moveWithCells="1" sizeWithCells="1">
                  <from>
                    <xdr:col>0</xdr:col>
                    <xdr:colOff>106680</xdr:colOff>
                    <xdr:row>9</xdr:row>
                    <xdr:rowOff>30480</xdr:rowOff>
                  </from>
                  <to>
                    <xdr:col>0</xdr:col>
                    <xdr:colOff>1531620</xdr:colOff>
                    <xdr:row>9</xdr:row>
                    <xdr:rowOff>403860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23" r:id="rId6" name="Button 3">
              <controlPr defaultSize="0" print="0" autoFill="0" autoPict="0" macro="[0]!CadastroVentiladores">
                <anchor moveWithCells="1" sizeWithCells="1">
                  <from>
                    <xdr:col>0</xdr:col>
                    <xdr:colOff>114300</xdr:colOff>
                    <xdr:row>14</xdr:row>
                    <xdr:rowOff>38100</xdr:rowOff>
                  </from>
                  <to>
                    <xdr:col>0</xdr:col>
                    <xdr:colOff>1554480</xdr:colOff>
                    <xdr:row>14</xdr:row>
                    <xdr:rowOff>419100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54A6AB-311D-4BEB-B51D-9C7457760713}">
  <sheetPr codeName="Planilha21"/>
  <dimension ref="A1:AG47"/>
  <sheetViews>
    <sheetView workbookViewId="0">
      <selection activeCell="A2" sqref="A2:L2"/>
    </sheetView>
  </sheetViews>
  <sheetFormatPr defaultRowHeight="14.4" x14ac:dyDescent="0.3"/>
  <cols>
    <col min="1" max="1" width="16.5546875" customWidth="1"/>
    <col min="2" max="3" width="15.5546875" customWidth="1"/>
    <col min="4" max="4" width="13" customWidth="1"/>
    <col min="5" max="5" width="22.44140625" customWidth="1"/>
    <col min="6" max="6" width="25.6640625" customWidth="1"/>
    <col min="7" max="7" width="16.5546875" customWidth="1"/>
    <col min="8" max="8" width="23.5546875" customWidth="1"/>
    <col min="9" max="9" width="22.109375" customWidth="1"/>
    <col min="10" max="10" width="21.88671875" customWidth="1"/>
    <col min="11" max="11" width="25.6640625" customWidth="1"/>
    <col min="12" max="12" width="19.6640625" customWidth="1"/>
    <col min="13" max="13" width="33.44140625" customWidth="1"/>
    <col min="15" max="15" width="13.44140625" style="522" customWidth="1"/>
    <col min="16" max="16" width="12.88671875" customWidth="1"/>
    <col min="17" max="17" width="13" customWidth="1"/>
    <col min="18" max="18" width="13.5546875" customWidth="1"/>
    <col min="19" max="19" width="13.44140625" customWidth="1"/>
    <col min="20" max="20" width="11.5546875" customWidth="1"/>
    <col min="21" max="21" width="12.33203125" customWidth="1"/>
    <col min="22" max="22" width="15.5546875" customWidth="1"/>
    <col min="23" max="23" width="14.6640625" customWidth="1"/>
    <col min="24" max="24" width="14.44140625" style="521" customWidth="1"/>
    <col min="25" max="25" width="13" style="521" customWidth="1"/>
    <col min="26" max="27" width="13.88671875" style="521" customWidth="1"/>
    <col min="28" max="28" width="14.88671875" style="49" customWidth="1"/>
    <col min="29" max="31" width="9.109375" style="49"/>
    <col min="32" max="32" width="11.88671875" style="49" customWidth="1"/>
    <col min="33" max="33" width="17.109375" customWidth="1"/>
  </cols>
  <sheetData>
    <row r="1" spans="1:33" x14ac:dyDescent="0.3">
      <c r="A1" s="176" t="s">
        <v>96</v>
      </c>
      <c r="B1" s="176" t="s">
        <v>882</v>
      </c>
      <c r="C1" s="176" t="s">
        <v>883</v>
      </c>
      <c r="D1" s="176" t="s">
        <v>884</v>
      </c>
      <c r="E1" s="176" t="s">
        <v>929</v>
      </c>
      <c r="F1" s="176" t="s">
        <v>930</v>
      </c>
      <c r="G1" s="176" t="s">
        <v>887</v>
      </c>
      <c r="H1" s="176" t="s">
        <v>931</v>
      </c>
      <c r="I1" s="176" t="s">
        <v>932</v>
      </c>
      <c r="J1" s="176" t="s">
        <v>890</v>
      </c>
      <c r="K1" s="176" t="s">
        <v>933</v>
      </c>
      <c r="L1" s="176" t="s">
        <v>891</v>
      </c>
      <c r="M1" s="291" t="s">
        <v>959</v>
      </c>
      <c r="N1" s="291" t="s">
        <v>959</v>
      </c>
      <c r="O1" s="528" t="s">
        <v>958</v>
      </c>
      <c r="P1" s="291" t="s">
        <v>960</v>
      </c>
      <c r="Q1" s="291" t="s">
        <v>961</v>
      </c>
      <c r="R1" s="291" t="s">
        <v>962</v>
      </c>
      <c r="S1" s="291" t="s">
        <v>963</v>
      </c>
      <c r="T1" s="531" t="s">
        <v>964</v>
      </c>
      <c r="U1" s="291" t="s">
        <v>965</v>
      </c>
      <c r="V1" s="291" t="s">
        <v>966</v>
      </c>
      <c r="W1" s="291" t="s">
        <v>967</v>
      </c>
      <c r="X1" s="528" t="s">
        <v>968</v>
      </c>
      <c r="Y1" s="528" t="s">
        <v>969</v>
      </c>
      <c r="Z1" s="528" t="s">
        <v>970</v>
      </c>
      <c r="AA1" s="528" t="s">
        <v>976</v>
      </c>
      <c r="AB1" s="528" t="s">
        <v>971</v>
      </c>
      <c r="AC1" s="528" t="s">
        <v>972</v>
      </c>
      <c r="AD1" s="528" t="s">
        <v>973</v>
      </c>
      <c r="AE1" s="528" t="s">
        <v>974</v>
      </c>
      <c r="AF1" s="528" t="s">
        <v>975</v>
      </c>
      <c r="AG1" s="528" t="s">
        <v>978</v>
      </c>
    </row>
    <row r="2" spans="1:33" x14ac:dyDescent="0.3">
      <c r="A2" s="515"/>
      <c r="B2" s="515"/>
      <c r="C2" s="515"/>
      <c r="D2" s="515"/>
      <c r="E2" s="515"/>
      <c r="F2" s="515"/>
      <c r="G2" s="515"/>
      <c r="H2" s="515"/>
      <c r="I2" s="515"/>
      <c r="J2" s="515"/>
      <c r="K2" s="515"/>
      <c r="L2" s="515"/>
      <c r="M2" t="str">
        <f>B2&amp;"; "&amp;C2&amp;"; "</f>
        <v xml:space="preserve">; ; </v>
      </c>
      <c r="N2">
        <f t="shared" ref="N2:N41" si="0">IF(B2="Wall Mounted",1,IF(B2="Split System",2,IF(B2="Self Contained",3,0)))</f>
        <v>0</v>
      </c>
      <c r="O2" s="522" t="b">
        <f>IF(N2=1,VLOOKUP(C2,'AUX5-CUSTOS'!$B$3:$O$14,2,),IF(N2=2,VLOOKUP(C2,'AUX5-CUSTOS'!$B$17:$O$34,2,),IF(N2=3,VLOOKUP(C2,'AUX5-CUSTOS'!$B$36:$O$53,2,))))</f>
        <v>0</v>
      </c>
      <c r="P2" s="522" t="b">
        <f>IF(AND(N2=1,E2="SIM"),VLOOKUP(C2,'AUX5-CUSTOS'!$B$3:$O$14,3,FALSE))</f>
        <v>0</v>
      </c>
      <c r="Q2" s="522" t="b">
        <f>IF(AND(N2=1,F2="1 MANUAL"),VLOOKUP(C2,'AUX5-CUSTOS'!$B$3:$O$14,4,FALSE))</f>
        <v>0</v>
      </c>
      <c r="R2" s="522" t="b">
        <f>IF(AND(N2=1,F2="2 MANUAIS"),VLOOKUP(C2,'AUX5-CUSTOS'!$B$3:$O$14,5,FALSE))</f>
        <v>0</v>
      </c>
      <c r="S2" s="522" t="b">
        <f>IF(AND(N2=1,F2="1 COM ATUADOR ON/OFF"),VLOOKUP(C2,'AUX5-CUSTOS'!$B$3:$O$14,6,FALSE))</f>
        <v>0</v>
      </c>
      <c r="T2" s="522" t="b">
        <f>IF(AND(N2=1,F2="2 COM ATUADORES ON/OFF"),VLOOKUP(C2,'AUX5-CUSTOS'!$B$3:$O$14,7,FALSE))</f>
        <v>0</v>
      </c>
      <c r="U2" s="522" t="b">
        <f>IF(AND(N2=1,G2="Eletrônico"),VLOOKUP(C2,'AUX5-CUSTOS'!$B$3:$O$14,8,FALSE))</f>
        <v>0</v>
      </c>
      <c r="V2" s="522" t="b">
        <f>IF(AND(N2=1,H2="Proporcional"),VLOOKUP(C2,'AUX5-CUSTOS'!$B$3:$O$14,9,FALSE))</f>
        <v>0</v>
      </c>
      <c r="W2" s="522" t="b">
        <f>IF(AND(N2=1,I2="SIM"),VLOOKUP(C2,'AUX5-CUSTOS'!$B$3:$O$14,10,FALSE))</f>
        <v>0</v>
      </c>
      <c r="X2" s="521" t="b">
        <f>IF(AND(N2=1,J2="SIM"),VLOOKUP(C2,'AUX5-CUSTOS'!$B$3:$O$14,11,FALSE))</f>
        <v>0</v>
      </c>
      <c r="Y2" s="521" t="b">
        <f>IF(AND(N2=1,K2="SIM"),VLOOKUP(C2,'AUX5-CUSTOS'!$B$3:$O$14,12,FALSE))</f>
        <v>0</v>
      </c>
      <c r="Z2" s="521" t="b">
        <f>IF(AND(N2=1,L2="SIM"),VLOOKUP(C2,'AUX5-CUSTOS'!$B$3:$O$14,13,FALSE))</f>
        <v>0</v>
      </c>
      <c r="AB2" s="521">
        <f>SUM(O2:Z2)</f>
        <v>0</v>
      </c>
      <c r="AC2" s="49" t="b">
        <f>IF(N2=1,VLOOKUP(C2,'AUX5-CUSTOS'!$B$3:$S$14,15,FALSE))</f>
        <v>0</v>
      </c>
      <c r="AD2" s="49" t="b">
        <f>IF(N2=1,VLOOKUP(C2,'AUX5-CUSTOS'!$B$3:$S$14,16,FALSE))</f>
        <v>0</v>
      </c>
      <c r="AE2" s="49" t="b">
        <f>IF(N2=1,VLOOKUP(C2,'AUX5-CUSTOS'!$B$3:$S$14,17,FALSE))</f>
        <v>0</v>
      </c>
      <c r="AF2" s="49" t="b">
        <f>IF(N2=1,VLOOKUP(C2,'AUX5-CUSTOS'!$B$3:$S$14,18,FALSE))</f>
        <v>0</v>
      </c>
      <c r="AG2" t="b">
        <f>IF(N2=1,VLOOKUP(C2,'AUX5-CUSTOS'!$B$3:$T$14,19,FALSE))</f>
        <v>0</v>
      </c>
    </row>
    <row r="3" spans="1:33" x14ac:dyDescent="0.3">
      <c r="A3" s="515"/>
      <c r="B3" s="515"/>
      <c r="C3" s="515"/>
      <c r="D3" s="515"/>
      <c r="E3" s="515"/>
      <c r="F3" s="515"/>
      <c r="G3" s="515"/>
      <c r="H3" s="515"/>
      <c r="I3" s="515"/>
      <c r="J3" s="515"/>
      <c r="K3" s="515"/>
      <c r="L3" s="515"/>
      <c r="M3" t="str">
        <f t="shared" ref="M3:M41" si="1">B3&amp;"; "&amp;C3&amp;"; "</f>
        <v xml:space="preserve">; ; </v>
      </c>
      <c r="N3">
        <f t="shared" si="0"/>
        <v>0</v>
      </c>
      <c r="O3" s="522" t="b">
        <f>IF(N3=1,VLOOKUP(C3,'AUX5-CUSTOS'!$B$3:$O$14,2,),IF(N3=2,VLOOKUP(C3,'AUX5-CUSTOS'!$B$17:$O$34,2,),IF(N3=3,VLOOKUP(C3,'AUX5-CUSTOS'!$B$36:$O$53,2,))))</f>
        <v>0</v>
      </c>
      <c r="P3" s="522" t="b">
        <f>IF(AND(N3=1,E3="SIM"),VLOOKUP(C3,'AUX5-CUSTOS'!$B$3:$O$14,3,FALSE))</f>
        <v>0</v>
      </c>
      <c r="Q3" s="522" t="b">
        <f>IF(AND(N3=1,F3="1 MANUAL"),VLOOKUP(C3,'AUX5-CUSTOS'!$B$3:$O$14,4,FALSE))</f>
        <v>0</v>
      </c>
      <c r="R3" s="522" t="b">
        <f>IF(AND(N3=1,F3="2 MANUAIS"),VLOOKUP(C3,'AUX5-CUSTOS'!$B$3:$O$14,5,FALSE))</f>
        <v>0</v>
      </c>
      <c r="S3" s="522" t="b">
        <f>IF(AND(N3=1,F3="1 COM ATUADOR ON/OFF"),VLOOKUP(C3,'AUX5-CUSTOS'!$B$3:$O$14,6,FALSE))</f>
        <v>0</v>
      </c>
      <c r="T3" s="522" t="b">
        <f>IF(AND(N3=1,F3="2 COM ATUADORES ON/OFF"),VLOOKUP(C3,'AUX5-CUSTOS'!$B$3:$O$14,7,FALSE))</f>
        <v>0</v>
      </c>
      <c r="U3" s="522" t="b">
        <f>IF(AND(N3=1,G3="Eletrônico"),VLOOKUP(C3,'AUX5-CUSTOS'!$B$3:$O$14,8,FALSE))</f>
        <v>0</v>
      </c>
      <c r="V3" s="522" t="b">
        <f>IF(AND(N3=1,H3="Proporcional"),VLOOKUP(C3,'AUX5-CUSTOS'!$B$3:$O$14,9,FALSE))</f>
        <v>0</v>
      </c>
      <c r="W3" s="522" t="b">
        <f>IF(AND(N3=1,I3="SIM"),VLOOKUP(C3,'AUX5-CUSTOS'!$B$3:$O$14,10,FALSE))</f>
        <v>0</v>
      </c>
      <c r="X3" s="521" t="b">
        <f>IF(AND(N3=1,J3="SIM"),VLOOKUP(C3,'AUX5-CUSTOS'!$B$3:$O$14,11,FALSE))</f>
        <v>0</v>
      </c>
      <c r="Y3" s="521" t="b">
        <f>IF(AND(N3=1,K3="SIM"),VLOOKUP(C3,'AUX5-CUSTOS'!$B$3:$O$14,12,FALSE))</f>
        <v>0</v>
      </c>
      <c r="Z3" s="521" t="b">
        <f>IF(AND(N3=1,L3="SIM"),VLOOKUP(C3,'AUX5-CUSTOS'!$B$3:$O$14,13,FALSE))</f>
        <v>0</v>
      </c>
      <c r="AB3" s="521">
        <f t="shared" ref="AB3:AB47" si="2">SUM(O3:Z3)</f>
        <v>0</v>
      </c>
      <c r="AC3" s="49" t="b">
        <f>IF(N3=1,VLOOKUP(C3,'AUX5-CUSTOS'!$B$3:$S$14,15,FALSE))</f>
        <v>0</v>
      </c>
      <c r="AD3" s="49" t="b">
        <f>IF(N3=1,VLOOKUP(C3,'AUX5-CUSTOS'!$B$3:$S$14,16,FALSE))</f>
        <v>0</v>
      </c>
      <c r="AE3" s="49" t="b">
        <f>IF(N3=1,VLOOKUP(C3,'AUX5-CUSTOS'!$B$3:$S$14,17,FALSE))</f>
        <v>0</v>
      </c>
      <c r="AF3" s="49" t="b">
        <f>IF(N3=1,VLOOKUP(C3,'AUX5-CUSTOS'!$B$3:$S$14,18,FALSE))</f>
        <v>0</v>
      </c>
      <c r="AG3" t="b">
        <f>IF(N3=1,VLOOKUP(C3,'AUX5-CUSTOS'!$B$3:$T$14,19,FALSE))</f>
        <v>0</v>
      </c>
    </row>
    <row r="4" spans="1:33" x14ac:dyDescent="0.3">
      <c r="A4" s="515"/>
      <c r="B4" s="515"/>
      <c r="C4" s="515"/>
      <c r="D4" s="515"/>
      <c r="E4" s="515"/>
      <c r="F4" s="515"/>
      <c r="G4" s="515"/>
      <c r="H4" s="515"/>
      <c r="I4" s="515"/>
      <c r="J4" s="515"/>
      <c r="K4" s="515"/>
      <c r="L4" s="515"/>
      <c r="M4" t="str">
        <f t="shared" si="1"/>
        <v xml:space="preserve">; ; </v>
      </c>
      <c r="N4">
        <f t="shared" si="0"/>
        <v>0</v>
      </c>
      <c r="O4" s="522" t="b">
        <f>IF(N4=1,VLOOKUP(C4,'AUX5-CUSTOS'!$B$3:$O$14,2,),IF(N4=2,VLOOKUP(C4,'AUX5-CUSTOS'!$B$17:$O$34,2,),IF(N4=3,VLOOKUP(C4,'AUX5-CUSTOS'!$B$36:$O$53,2,))))</f>
        <v>0</v>
      </c>
      <c r="P4" s="522" t="b">
        <f>IF(AND(N4=1,E4="SIM"),VLOOKUP(C4,'AUX5-CUSTOS'!$B$3:$O$14,3,FALSE))</f>
        <v>0</v>
      </c>
      <c r="Q4" s="522" t="b">
        <f>IF(AND(N4=1,F4="1 MANUAL"),VLOOKUP(C4,'AUX5-CUSTOS'!$B$3:$O$14,4,FALSE))</f>
        <v>0</v>
      </c>
      <c r="R4" s="522" t="b">
        <f>IF(AND(N4=1,F4="2 MANUAIS"),VLOOKUP(C4,'AUX5-CUSTOS'!$B$3:$O$14,5,FALSE))</f>
        <v>0</v>
      </c>
      <c r="S4" s="522" t="b">
        <f>IF(AND(N4=1,F4="1 COM ATUADOR ON/OFF"),VLOOKUP(C4,'AUX5-CUSTOS'!$B$3:$O$14,6,FALSE))</f>
        <v>0</v>
      </c>
      <c r="T4" s="522" t="b">
        <f>IF(AND(N4=1,F4="2 COM ATUADORES ON/OFF"),VLOOKUP(C4,'AUX5-CUSTOS'!$B$3:$O$14,7,FALSE))</f>
        <v>0</v>
      </c>
      <c r="U4" s="522" t="b">
        <f>IF(AND(N4=1,G4="Eletrônico"),VLOOKUP(C4,'AUX5-CUSTOS'!$B$3:$O$14,8,FALSE))</f>
        <v>0</v>
      </c>
      <c r="V4" s="522" t="b">
        <f>IF(AND(N4=1,H4="Proporcional"),VLOOKUP(C4,'AUX5-CUSTOS'!$B$3:$O$14,9,FALSE))</f>
        <v>0</v>
      </c>
      <c r="W4" s="522" t="b">
        <f>IF(AND(N4=1,I4="SIM"),VLOOKUP(C4,'AUX5-CUSTOS'!$B$3:$O$14,10,FALSE))</f>
        <v>0</v>
      </c>
      <c r="X4" s="521" t="b">
        <f>IF(AND(N4=1,J4="SIM"),VLOOKUP(C4,'AUX5-CUSTOS'!$B$3:$O$14,11,FALSE))</f>
        <v>0</v>
      </c>
      <c r="Y4" s="521" t="b">
        <f>IF(AND(N4=1,K4="SIM"),VLOOKUP(C4,'AUX5-CUSTOS'!$B$3:$O$14,12,FALSE))</f>
        <v>0</v>
      </c>
      <c r="Z4" s="521" t="b">
        <f>IF(AND(N4=1,L4="SIM"),VLOOKUP(C4,'AUX5-CUSTOS'!$B$3:$O$14,13,FALSE))</f>
        <v>0</v>
      </c>
      <c r="AB4" s="521">
        <f t="shared" si="2"/>
        <v>0</v>
      </c>
      <c r="AC4" s="49" t="b">
        <f>IF(N4=1,VLOOKUP(C4,'AUX5-CUSTOS'!$B$3:$S$14,15,FALSE))</f>
        <v>0</v>
      </c>
      <c r="AD4" s="49" t="b">
        <f>IF(N4=1,VLOOKUP(C4,'AUX5-CUSTOS'!$B$3:$S$14,16,FALSE))</f>
        <v>0</v>
      </c>
      <c r="AE4" s="49" t="b">
        <f>IF(N4=1,VLOOKUP(C4,'AUX5-CUSTOS'!$B$3:$S$14,17,FALSE))</f>
        <v>0</v>
      </c>
      <c r="AF4" s="49" t="b">
        <f>IF(N4=1,VLOOKUP(C4,'AUX5-CUSTOS'!$B$3:$S$14,18,FALSE))</f>
        <v>0</v>
      </c>
      <c r="AG4" t="b">
        <f>IF(N4=1,VLOOKUP(C4,'AUX5-CUSTOS'!$B$3:$T$14,19,FALSE))</f>
        <v>0</v>
      </c>
    </row>
    <row r="5" spans="1:33" x14ac:dyDescent="0.3">
      <c r="A5" s="515"/>
      <c r="B5" s="515"/>
      <c r="C5" s="515"/>
      <c r="D5" s="515"/>
      <c r="E5" s="515"/>
      <c r="F5" s="515"/>
      <c r="G5" s="515"/>
      <c r="H5" s="515"/>
      <c r="I5" s="515"/>
      <c r="J5" s="515"/>
      <c r="K5" s="515"/>
      <c r="L5" s="515"/>
      <c r="M5" t="str">
        <f t="shared" si="1"/>
        <v xml:space="preserve">; ; </v>
      </c>
      <c r="N5">
        <f t="shared" si="0"/>
        <v>0</v>
      </c>
      <c r="O5" s="522" t="b">
        <f>IF(N5=1,VLOOKUP(C5,'AUX5-CUSTOS'!$B$3:$O$14,2,),IF(N5=2,VLOOKUP(C5,'AUX5-CUSTOS'!$B$17:$O$34,2,),IF(N5=3,VLOOKUP(C5,'AUX5-CUSTOS'!$B$36:$O$53,2,))))</f>
        <v>0</v>
      </c>
      <c r="P5" s="522" t="b">
        <f>IF(AND(N5=1,E5="SIM"),VLOOKUP(C5,'AUX5-CUSTOS'!$B$3:$O$14,3,FALSE))</f>
        <v>0</v>
      </c>
      <c r="Q5" s="522" t="b">
        <f>IF(AND(N5=1,F5="1 MANUAL"),VLOOKUP(C5,'AUX5-CUSTOS'!$B$3:$O$14,4,FALSE))</f>
        <v>0</v>
      </c>
      <c r="R5" s="522" t="b">
        <f>IF(AND(N5=1,F5="2 MANUAIS"),VLOOKUP(C5,'AUX5-CUSTOS'!$B$3:$O$14,5,FALSE))</f>
        <v>0</v>
      </c>
      <c r="S5" s="522" t="b">
        <f>IF(AND(N5=1,F5="1 COM ATUADOR ON/OFF"),VLOOKUP(C5,'AUX5-CUSTOS'!$B$3:$O$14,6,FALSE))</f>
        <v>0</v>
      </c>
      <c r="T5" s="522" t="b">
        <f>IF(AND(N5=1,F5="2 COM ATUADORES ON/OFF"),VLOOKUP(C5,'AUX5-CUSTOS'!$B$3:$O$14,7,FALSE))</f>
        <v>0</v>
      </c>
      <c r="U5" s="522" t="b">
        <f>IF(AND(N5=1,G5="Eletrônico"),VLOOKUP(C5,'AUX5-CUSTOS'!$B$3:$O$14,8,FALSE))</f>
        <v>0</v>
      </c>
      <c r="V5" s="522" t="b">
        <f>IF(AND(N5=1,H5="Proporcional"),VLOOKUP(C5,'AUX5-CUSTOS'!$B$3:$O$14,9,FALSE))</f>
        <v>0</v>
      </c>
      <c r="W5" s="522" t="b">
        <f>IF(AND(N5=1,I5="SIM"),VLOOKUP(C5,'AUX5-CUSTOS'!$B$3:$O$14,10,FALSE))</f>
        <v>0</v>
      </c>
      <c r="X5" s="521" t="b">
        <f>IF(AND(N5=1,J5="SIM"),VLOOKUP(C5,'AUX5-CUSTOS'!$B$3:$O$14,11,FALSE))</f>
        <v>0</v>
      </c>
      <c r="Y5" s="521" t="b">
        <f>IF(AND(N5=1,K5="SIM"),VLOOKUP(C5,'AUX5-CUSTOS'!$B$3:$O$14,12,FALSE))</f>
        <v>0</v>
      </c>
      <c r="Z5" s="521" t="b">
        <f>IF(AND(N5=1,L5="SIM"),VLOOKUP(C5,'AUX5-CUSTOS'!$B$3:$O$14,13,FALSE))</f>
        <v>0</v>
      </c>
      <c r="AB5" s="521">
        <f t="shared" si="2"/>
        <v>0</v>
      </c>
      <c r="AC5" s="49" t="b">
        <f>IF(N5=1,VLOOKUP(C5,'AUX5-CUSTOS'!$B$3:$S$14,15,FALSE))</f>
        <v>0</v>
      </c>
      <c r="AD5" s="49" t="b">
        <f>IF(N5=1,VLOOKUP(C5,'AUX5-CUSTOS'!$B$3:$S$14,16,FALSE))</f>
        <v>0</v>
      </c>
      <c r="AE5" s="49" t="b">
        <f>IF(N5=1,VLOOKUP(C5,'AUX5-CUSTOS'!$B$3:$S$14,17,FALSE))</f>
        <v>0</v>
      </c>
      <c r="AF5" s="49" t="b">
        <f>IF(N5=1,VLOOKUP(C5,'AUX5-CUSTOS'!$B$3:$S$14,18,FALSE))</f>
        <v>0</v>
      </c>
      <c r="AG5" t="b">
        <f>IF(N5=1,VLOOKUP(C5,'AUX5-CUSTOS'!$B$3:$T$14,19,FALSE))</f>
        <v>0</v>
      </c>
    </row>
    <row r="6" spans="1:33" x14ac:dyDescent="0.3">
      <c r="A6" s="515"/>
      <c r="B6" s="515"/>
      <c r="C6" s="515"/>
      <c r="D6" s="515"/>
      <c r="E6" s="515"/>
      <c r="F6" s="515"/>
      <c r="G6" s="515"/>
      <c r="H6" s="515"/>
      <c r="I6" s="515"/>
      <c r="J6" s="515"/>
      <c r="K6" s="515"/>
      <c r="L6" s="515"/>
      <c r="M6" t="str">
        <f t="shared" si="1"/>
        <v xml:space="preserve">; ; </v>
      </c>
      <c r="N6">
        <f t="shared" si="0"/>
        <v>0</v>
      </c>
      <c r="O6" s="522" t="b">
        <f>IF(N6=1,VLOOKUP(C6,'AUX5-CUSTOS'!$B$3:$O$14,2,),IF(N6=2,VLOOKUP(C6,'AUX5-CUSTOS'!$B$17:$O$34,2,),IF(N6=3,VLOOKUP(C6,'AUX5-CUSTOS'!$B$36:$O$53,2,))))</f>
        <v>0</v>
      </c>
      <c r="P6" s="522" t="b">
        <f>IF(AND(N6=1,E6="SIM"),VLOOKUP(C6,'AUX5-CUSTOS'!$B$3:$O$14,3,FALSE))</f>
        <v>0</v>
      </c>
      <c r="Q6" s="522" t="b">
        <f>IF(AND(N6=1,F6="1 MANUAL"),VLOOKUP(C6,'AUX5-CUSTOS'!$B$3:$O$14,4,FALSE))</f>
        <v>0</v>
      </c>
      <c r="R6" s="522" t="b">
        <f>IF(AND(N6=1,F6="2 MANUAIS"),VLOOKUP(C6,'AUX5-CUSTOS'!$B$3:$O$14,5,FALSE))</f>
        <v>0</v>
      </c>
      <c r="S6" s="522" t="b">
        <f>IF(AND(N6=1,F6="1 COM ATUADOR ON/OFF"),VLOOKUP(C6,'AUX5-CUSTOS'!$B$3:$O$14,6,FALSE))</f>
        <v>0</v>
      </c>
      <c r="T6" s="522" t="b">
        <f>IF(AND(N6=1,F6="2 COM ATUADORES ON/OFF"),VLOOKUP(C6,'AUX5-CUSTOS'!$B$3:$O$14,7,FALSE))</f>
        <v>0</v>
      </c>
      <c r="U6" s="522" t="b">
        <f>IF(AND(N6=1,G6="Eletrônico"),VLOOKUP(C6,'AUX5-CUSTOS'!$B$3:$O$14,8,FALSE))</f>
        <v>0</v>
      </c>
      <c r="V6" s="522" t="b">
        <f>IF(AND(N6=1,H6="Proporcional"),VLOOKUP(C6,'AUX5-CUSTOS'!$B$3:$O$14,9,FALSE))</f>
        <v>0</v>
      </c>
      <c r="W6" s="522" t="b">
        <f>IF(AND(N6=1,I6="SIM"),VLOOKUP(C6,'AUX5-CUSTOS'!$B$3:$O$14,10,FALSE))</f>
        <v>0</v>
      </c>
      <c r="X6" s="521" t="b">
        <f>IF(AND(N6=1,J6="SIM"),VLOOKUP(C6,'AUX5-CUSTOS'!$B$3:$O$14,11,FALSE))</f>
        <v>0</v>
      </c>
      <c r="Y6" s="521" t="b">
        <f>IF(AND(N6=1,K6="SIM"),VLOOKUP(C6,'AUX5-CUSTOS'!$B$3:$O$14,12,FALSE))</f>
        <v>0</v>
      </c>
      <c r="Z6" s="521" t="b">
        <f>IF(AND(N6=1,L6="SIM"),VLOOKUP(C6,'AUX5-CUSTOS'!$B$3:$O$14,13,FALSE))</f>
        <v>0</v>
      </c>
      <c r="AB6" s="521">
        <f t="shared" si="2"/>
        <v>0</v>
      </c>
      <c r="AC6" s="49" t="b">
        <f>IF(N6=1,VLOOKUP(C6,'AUX5-CUSTOS'!$B$3:$S$14,15,FALSE))</f>
        <v>0</v>
      </c>
      <c r="AD6" s="49" t="b">
        <f>IF(N6=1,VLOOKUP(C6,'AUX5-CUSTOS'!$B$3:$S$14,16,FALSE))</f>
        <v>0</v>
      </c>
      <c r="AE6" s="49" t="b">
        <f>IF(N6=1,VLOOKUP(C6,'AUX5-CUSTOS'!$B$3:$S$14,17,FALSE))</f>
        <v>0</v>
      </c>
      <c r="AF6" s="49" t="b">
        <f>IF(N6=1,VLOOKUP(C6,'AUX5-CUSTOS'!$B$3:$S$14,18,FALSE))</f>
        <v>0</v>
      </c>
      <c r="AG6" t="b">
        <f>IF(N6=1,VLOOKUP(C6,'AUX5-CUSTOS'!$B$3:$T$14,19,FALSE))</f>
        <v>0</v>
      </c>
    </row>
    <row r="7" spans="1:33" x14ac:dyDescent="0.3">
      <c r="A7" s="515"/>
      <c r="B7" s="515"/>
      <c r="C7" s="515"/>
      <c r="D7" s="515"/>
      <c r="E7" s="515"/>
      <c r="F7" s="515"/>
      <c r="G7" s="515"/>
      <c r="H7" s="515"/>
      <c r="I7" s="515"/>
      <c r="J7" s="515"/>
      <c r="K7" s="515"/>
      <c r="L7" s="515"/>
      <c r="M7" t="str">
        <f t="shared" si="1"/>
        <v xml:space="preserve">; ; </v>
      </c>
      <c r="N7">
        <f t="shared" si="0"/>
        <v>0</v>
      </c>
      <c r="O7" s="522" t="b">
        <f>IF(N7=1,VLOOKUP(C7,'AUX5-CUSTOS'!$B$3:$O$14,2,),IF(N7=2,VLOOKUP(C7,'AUX5-CUSTOS'!$B$17:$O$34,2,),IF(N7=3,VLOOKUP(C7,'AUX5-CUSTOS'!$B$36:$O$53,2,))))</f>
        <v>0</v>
      </c>
      <c r="P7" s="522" t="b">
        <f>IF(AND(N7=1,E7="SIM"),VLOOKUP(C7,'AUX5-CUSTOS'!$B$3:$O$14,3,FALSE))</f>
        <v>0</v>
      </c>
      <c r="Q7" s="522" t="b">
        <f>IF(AND(N7=1,F7="1 MANUAL"),VLOOKUP(C7,'AUX5-CUSTOS'!$B$3:$O$14,4,FALSE))</f>
        <v>0</v>
      </c>
      <c r="R7" s="522" t="b">
        <f>IF(AND(N7=1,F7="2 MANUAIS"),VLOOKUP(C7,'AUX5-CUSTOS'!$B$3:$O$14,5,FALSE))</f>
        <v>0</v>
      </c>
      <c r="S7" s="522" t="b">
        <f>IF(AND(N7=1,F7="1 COM ATUADOR ON/OFF"),VLOOKUP(C7,'AUX5-CUSTOS'!$B$3:$O$14,6,FALSE))</f>
        <v>0</v>
      </c>
      <c r="T7" s="522" t="b">
        <f>IF(AND(N7=1,F7="2 COM ATUADORES ON/OFF"),VLOOKUP(C7,'AUX5-CUSTOS'!$B$3:$O$14,7,FALSE))</f>
        <v>0</v>
      </c>
      <c r="U7" s="522" t="b">
        <f>IF(AND(N7=1,G7="Eletrônico"),VLOOKUP(C7,'AUX5-CUSTOS'!$B$3:$O$14,8,FALSE))</f>
        <v>0</v>
      </c>
      <c r="V7" s="522" t="b">
        <f>IF(AND(N7=1,H7="Proporcional"),VLOOKUP(C7,'AUX5-CUSTOS'!$B$3:$O$14,9,FALSE))</f>
        <v>0</v>
      </c>
      <c r="W7" s="522" t="b">
        <f>IF(AND(N7=1,I7="SIM"),VLOOKUP(C7,'AUX5-CUSTOS'!$B$3:$O$14,10,FALSE))</f>
        <v>0</v>
      </c>
      <c r="X7" s="521" t="b">
        <f>IF(AND(N7=1,J7="SIM"),VLOOKUP(C7,'AUX5-CUSTOS'!$B$3:$O$14,11,FALSE))</f>
        <v>0</v>
      </c>
      <c r="Y7" s="521" t="b">
        <f>IF(AND(N7=1,K7="SIM"),VLOOKUP(C7,'AUX5-CUSTOS'!$B$3:$O$14,12,FALSE))</f>
        <v>0</v>
      </c>
      <c r="Z7" s="521" t="b">
        <f>IF(AND(N7=1,L7="SIM"),VLOOKUP(C7,'AUX5-CUSTOS'!$B$3:$O$14,13,FALSE))</f>
        <v>0</v>
      </c>
      <c r="AB7" s="521">
        <f t="shared" si="2"/>
        <v>0</v>
      </c>
      <c r="AC7" s="49" t="b">
        <f>IF(N7=1,VLOOKUP(C7,'AUX5-CUSTOS'!$B$3:$S$14,15,FALSE))</f>
        <v>0</v>
      </c>
      <c r="AD7" s="49" t="b">
        <f>IF(N7=1,VLOOKUP(C7,'AUX5-CUSTOS'!$B$3:$S$14,16,FALSE))</f>
        <v>0</v>
      </c>
      <c r="AE7" s="49" t="b">
        <f>IF(N7=1,VLOOKUP(C7,'AUX5-CUSTOS'!$B$3:$S$14,17,FALSE))</f>
        <v>0</v>
      </c>
      <c r="AF7" s="49" t="b">
        <f>IF(N7=1,VLOOKUP(C7,'AUX5-CUSTOS'!$B$3:$S$14,18,FALSE))</f>
        <v>0</v>
      </c>
      <c r="AG7" t="b">
        <f>IF(N7=1,VLOOKUP(C7,'AUX5-CUSTOS'!$B$3:$T$14,19,FALSE))</f>
        <v>0</v>
      </c>
    </row>
    <row r="8" spans="1:33" x14ac:dyDescent="0.3">
      <c r="A8" s="515"/>
      <c r="B8" s="515"/>
      <c r="C8" s="515"/>
      <c r="D8" s="515"/>
      <c r="E8" s="515"/>
      <c r="F8" s="515"/>
      <c r="G8" s="515"/>
      <c r="H8" s="515"/>
      <c r="I8" s="515"/>
      <c r="J8" s="515"/>
      <c r="K8" s="515"/>
      <c r="L8" s="515"/>
      <c r="M8" t="str">
        <f t="shared" si="1"/>
        <v xml:space="preserve">; ; </v>
      </c>
      <c r="N8">
        <f t="shared" si="0"/>
        <v>0</v>
      </c>
      <c r="O8" s="522" t="b">
        <f>IF(N8=1,VLOOKUP(C8,'AUX5-CUSTOS'!$B$3:$O$14,2,),IF(N8=2,VLOOKUP(C8,'AUX5-CUSTOS'!$B$17:$O$34,2,),IF(N8=3,VLOOKUP(C8,'AUX5-CUSTOS'!$B$36:$O$53,2,))))</f>
        <v>0</v>
      </c>
      <c r="P8" s="522" t="b">
        <f>IF(AND(N8=1,E8="SIM"),VLOOKUP(C8,'AUX5-CUSTOS'!$B$3:$O$14,3,FALSE))</f>
        <v>0</v>
      </c>
      <c r="Q8" s="522" t="b">
        <f>IF(AND(N8=1,F8="1 MANUAL"),VLOOKUP(C8,'AUX5-CUSTOS'!$B$3:$O$14,4,FALSE))</f>
        <v>0</v>
      </c>
      <c r="R8" s="522" t="b">
        <f>IF(AND(N8=1,F8="2 MANUAIS"),VLOOKUP(C8,'AUX5-CUSTOS'!$B$3:$O$14,5,FALSE))</f>
        <v>0</v>
      </c>
      <c r="S8" s="522" t="b">
        <f>IF(AND(N8=1,F8="1 COM ATUADOR ON/OFF"),VLOOKUP(C8,'AUX5-CUSTOS'!$B$3:$O$14,6,FALSE))</f>
        <v>0</v>
      </c>
      <c r="T8" s="522" t="b">
        <f>IF(AND(N8=1,F8="2 COM ATUADORES ON/OFF"),VLOOKUP(C8,'AUX5-CUSTOS'!$B$3:$O$14,7,FALSE))</f>
        <v>0</v>
      </c>
      <c r="U8" s="522" t="b">
        <f>IF(AND(N8=1,G8="Eletrônico"),VLOOKUP(C8,'AUX5-CUSTOS'!$B$3:$O$14,8,FALSE))</f>
        <v>0</v>
      </c>
      <c r="V8" s="522" t="b">
        <f>IF(AND(N8=1,H8="Proporcional"),VLOOKUP(C8,'AUX5-CUSTOS'!$B$3:$O$14,9,FALSE))</f>
        <v>0</v>
      </c>
      <c r="W8" s="522" t="b">
        <f>IF(AND(N8=1,I8="SIM"),VLOOKUP(C8,'AUX5-CUSTOS'!$B$3:$O$14,10,FALSE))</f>
        <v>0</v>
      </c>
      <c r="X8" s="521" t="b">
        <f>IF(AND(N8=1,J8="SIM"),VLOOKUP(C8,'AUX5-CUSTOS'!$B$3:$O$14,11,FALSE))</f>
        <v>0</v>
      </c>
      <c r="Y8" s="521" t="b">
        <f>IF(AND(N8=1,K8="SIM"),VLOOKUP(C8,'AUX5-CUSTOS'!$B$3:$O$14,12,FALSE))</f>
        <v>0</v>
      </c>
      <c r="Z8" s="521" t="b">
        <f>IF(AND(N8=1,L8="SIM"),VLOOKUP(C8,'AUX5-CUSTOS'!$B$3:$O$14,13,FALSE))</f>
        <v>0</v>
      </c>
      <c r="AB8" s="521">
        <f t="shared" si="2"/>
        <v>0</v>
      </c>
      <c r="AC8" s="49" t="b">
        <f>IF(N8=1,VLOOKUP(C8,'AUX5-CUSTOS'!$B$3:$S$14,15,FALSE))</f>
        <v>0</v>
      </c>
      <c r="AD8" s="49" t="b">
        <f>IF(N8=1,VLOOKUP(C8,'AUX5-CUSTOS'!$B$3:$S$14,16,FALSE))</f>
        <v>0</v>
      </c>
      <c r="AE8" s="49" t="b">
        <f>IF(N8=1,VLOOKUP(C8,'AUX5-CUSTOS'!$B$3:$S$14,17,FALSE))</f>
        <v>0</v>
      </c>
      <c r="AF8" s="49" t="b">
        <f>IF(N8=1,VLOOKUP(C8,'AUX5-CUSTOS'!$B$3:$S$14,18,FALSE))</f>
        <v>0</v>
      </c>
      <c r="AG8" t="b">
        <f>IF(N8=1,VLOOKUP(C8,'AUX5-CUSTOS'!$B$3:$T$14,19,FALSE))</f>
        <v>0</v>
      </c>
    </row>
    <row r="9" spans="1:33" x14ac:dyDescent="0.3">
      <c r="A9" s="515"/>
      <c r="B9" s="515"/>
      <c r="C9" s="515"/>
      <c r="D9" s="515"/>
      <c r="E9" s="515"/>
      <c r="F9" s="515"/>
      <c r="G9" s="515"/>
      <c r="H9" s="515"/>
      <c r="I9" s="515"/>
      <c r="J9" s="515"/>
      <c r="K9" s="515"/>
      <c r="L9" s="515"/>
      <c r="M9" t="str">
        <f t="shared" si="1"/>
        <v xml:space="preserve">; ; </v>
      </c>
      <c r="N9">
        <f t="shared" si="0"/>
        <v>0</v>
      </c>
      <c r="O9" s="522" t="b">
        <f>IF(N9=1,VLOOKUP(C9,'AUX5-CUSTOS'!$B$3:$O$14,2,),IF(N9=2,VLOOKUP(C9,'AUX5-CUSTOS'!$B$17:$O$34,2,),IF(N9=3,VLOOKUP(C9,'AUX5-CUSTOS'!$B$36:$O$53,2,))))</f>
        <v>0</v>
      </c>
      <c r="P9" s="522" t="b">
        <f>IF(AND(N9=1,E9="SIM"),VLOOKUP(C9,'AUX5-CUSTOS'!$B$3:$O$14,3,FALSE))</f>
        <v>0</v>
      </c>
      <c r="Q9" s="522" t="b">
        <f>IF(AND(N9=1,F9="1 MANUAL"),VLOOKUP(C9,'AUX5-CUSTOS'!$B$3:$O$14,4,FALSE))</f>
        <v>0</v>
      </c>
      <c r="R9" s="522" t="b">
        <f>IF(AND(N9=1,F9="2 MANUAIS"),VLOOKUP(C9,'AUX5-CUSTOS'!$B$3:$O$14,5,FALSE))</f>
        <v>0</v>
      </c>
      <c r="S9" s="522" t="b">
        <f>IF(AND(N9=1,F9="1 COM ATUADOR ON/OFF"),VLOOKUP(C9,'AUX5-CUSTOS'!$B$3:$O$14,6,FALSE))</f>
        <v>0</v>
      </c>
      <c r="T9" s="522" t="b">
        <f>IF(AND(N9=1,F9="2 COM ATUADORES ON/OFF"),VLOOKUP(C9,'AUX5-CUSTOS'!$B$3:$O$14,7,FALSE))</f>
        <v>0</v>
      </c>
      <c r="U9" s="522" t="b">
        <f>IF(AND(N9=1,G9="Eletrônico"),VLOOKUP(C9,'AUX5-CUSTOS'!$B$3:$O$14,8,FALSE))</f>
        <v>0</v>
      </c>
      <c r="V9" s="522" t="b">
        <f>IF(AND(N9=1,H9="Proporcional"),VLOOKUP(C9,'AUX5-CUSTOS'!$B$3:$O$14,9,FALSE))</f>
        <v>0</v>
      </c>
      <c r="W9" s="522" t="b">
        <f>IF(AND(N9=1,I9="SIM"),VLOOKUP(C9,'AUX5-CUSTOS'!$B$3:$O$14,10,FALSE))</f>
        <v>0</v>
      </c>
      <c r="X9" s="521" t="b">
        <f>IF(AND(N9=1,J9="SIM"),VLOOKUP(C9,'AUX5-CUSTOS'!$B$3:$O$14,11,FALSE))</f>
        <v>0</v>
      </c>
      <c r="Y9" s="521" t="b">
        <f>IF(AND(N9=1,K9="SIM"),VLOOKUP(C9,'AUX5-CUSTOS'!$B$3:$O$14,12,FALSE))</f>
        <v>0</v>
      </c>
      <c r="Z9" s="521" t="b">
        <f>IF(AND(N9=1,L9="SIM"),VLOOKUP(C9,'AUX5-CUSTOS'!$B$3:$O$14,13,FALSE))</f>
        <v>0</v>
      </c>
      <c r="AB9" s="521">
        <f t="shared" si="2"/>
        <v>0</v>
      </c>
      <c r="AC9" s="49" t="b">
        <f>IF(N9=1,VLOOKUP(C9,'AUX5-CUSTOS'!$B$3:$S$14,15,FALSE))</f>
        <v>0</v>
      </c>
      <c r="AD9" s="49" t="b">
        <f>IF(N9=1,VLOOKUP(C9,'AUX5-CUSTOS'!$B$3:$S$14,16,FALSE))</f>
        <v>0</v>
      </c>
      <c r="AE9" s="49" t="b">
        <f>IF(N9=1,VLOOKUP(C9,'AUX5-CUSTOS'!$B$3:$S$14,17,FALSE))</f>
        <v>0</v>
      </c>
      <c r="AF9" s="49" t="b">
        <f>IF(N9=1,VLOOKUP(C9,'AUX5-CUSTOS'!$B$3:$S$14,18,FALSE))</f>
        <v>0</v>
      </c>
      <c r="AG9" t="b">
        <f>IF(N9=1,VLOOKUP(C9,'AUX5-CUSTOS'!$B$3:$T$14,19,FALSE))</f>
        <v>0</v>
      </c>
    </row>
    <row r="10" spans="1:33" x14ac:dyDescent="0.3">
      <c r="A10" s="515"/>
      <c r="B10" s="515"/>
      <c r="C10" s="515"/>
      <c r="D10" s="515"/>
      <c r="E10" s="515"/>
      <c r="F10" s="515"/>
      <c r="G10" s="515"/>
      <c r="H10" s="515"/>
      <c r="I10" s="515"/>
      <c r="J10" s="515"/>
      <c r="K10" s="515"/>
      <c r="L10" s="515"/>
      <c r="M10" t="str">
        <f t="shared" si="1"/>
        <v xml:space="preserve">; ; </v>
      </c>
      <c r="N10">
        <f t="shared" si="0"/>
        <v>0</v>
      </c>
      <c r="O10" s="522" t="b">
        <f>IF(N10=1,VLOOKUP(C10,'AUX5-CUSTOS'!$B$3:$O$14,2,),IF(N10=2,VLOOKUP(C10,'AUX5-CUSTOS'!$B$17:$O$34,2,),IF(N10=3,VLOOKUP(C10,'AUX5-CUSTOS'!$B$36:$O$53,2,))))</f>
        <v>0</v>
      </c>
      <c r="P10" s="522" t="b">
        <f>IF(AND(N10=1,E10="SIM"),VLOOKUP(C10,'AUX5-CUSTOS'!$B$3:$O$14,3,FALSE))</f>
        <v>0</v>
      </c>
      <c r="Q10" s="522" t="b">
        <f>IF(AND(N10=1,F10="1 MANUAL"),VLOOKUP(C10,'AUX5-CUSTOS'!$B$3:$O$14,4,FALSE))</f>
        <v>0</v>
      </c>
      <c r="R10" s="522" t="b">
        <f>IF(AND(N10=1,F10="2 MANUAIS"),VLOOKUP(C10,'AUX5-CUSTOS'!$B$3:$O$14,5,FALSE))</f>
        <v>0</v>
      </c>
      <c r="S10" s="522" t="b">
        <f>IF(AND(N10=1,F10="1 COM ATUADOR ON/OFF"),VLOOKUP(C10,'AUX5-CUSTOS'!$B$3:$O$14,6,FALSE))</f>
        <v>0</v>
      </c>
      <c r="T10" s="522" t="b">
        <f>IF(AND(N10=1,F10="2 COM ATUADORES ON/OFF"),VLOOKUP(C10,'AUX5-CUSTOS'!$B$3:$O$14,7,FALSE))</f>
        <v>0</v>
      </c>
      <c r="U10" s="522" t="b">
        <f>IF(AND(N10=1,G10="Eletrônico"),VLOOKUP(C10,'AUX5-CUSTOS'!$B$3:$O$14,8,FALSE))</f>
        <v>0</v>
      </c>
      <c r="V10" s="522" t="b">
        <f>IF(AND(N10=1,H10="Proporcional"),VLOOKUP(C10,'AUX5-CUSTOS'!$B$3:$O$14,9,FALSE))</f>
        <v>0</v>
      </c>
      <c r="W10" s="522" t="b">
        <f>IF(AND(N10=1,I10="SIM"),VLOOKUP(C10,'AUX5-CUSTOS'!$B$3:$O$14,10,FALSE))</f>
        <v>0</v>
      </c>
      <c r="X10" s="521" t="b">
        <f>IF(AND(N10=1,J10="SIM"),VLOOKUP(C10,'AUX5-CUSTOS'!$B$3:$O$14,11,FALSE))</f>
        <v>0</v>
      </c>
      <c r="Y10" s="521" t="b">
        <f>IF(AND(N10=1,K10="SIM"),VLOOKUP(C10,'AUX5-CUSTOS'!$B$3:$O$14,12,FALSE))</f>
        <v>0</v>
      </c>
      <c r="Z10" s="521" t="b">
        <f>IF(AND(N10=1,L10="SIM"),VLOOKUP(C10,'AUX5-CUSTOS'!$B$3:$O$14,13,FALSE))</f>
        <v>0</v>
      </c>
      <c r="AB10" s="521">
        <f t="shared" si="2"/>
        <v>0</v>
      </c>
      <c r="AC10" s="49" t="b">
        <f>IF(N10=1,VLOOKUP(C10,'AUX5-CUSTOS'!$B$3:$S$14,15,FALSE))</f>
        <v>0</v>
      </c>
      <c r="AD10" s="49" t="b">
        <f>IF(N10=1,VLOOKUP(C10,'AUX5-CUSTOS'!$B$3:$S$14,16,FALSE))</f>
        <v>0</v>
      </c>
      <c r="AE10" s="49" t="b">
        <f>IF(N10=1,VLOOKUP(C10,'AUX5-CUSTOS'!$B$3:$S$14,17,FALSE))</f>
        <v>0</v>
      </c>
      <c r="AF10" s="49" t="b">
        <f>IF(N10=1,VLOOKUP(C10,'AUX5-CUSTOS'!$B$3:$S$14,18,FALSE))</f>
        <v>0</v>
      </c>
      <c r="AG10" t="b">
        <f>IF(N10=1,VLOOKUP(C10,'AUX5-CUSTOS'!$B$3:$T$14,19,FALSE))</f>
        <v>0</v>
      </c>
    </row>
    <row r="11" spans="1:33" x14ac:dyDescent="0.3">
      <c r="A11" s="515"/>
      <c r="B11" s="515"/>
      <c r="C11" s="515"/>
      <c r="D11" s="515"/>
      <c r="E11" s="515"/>
      <c r="F11" s="515"/>
      <c r="G11" s="515"/>
      <c r="H11" s="515"/>
      <c r="I11" s="515"/>
      <c r="J11" s="515"/>
      <c r="K11" s="515"/>
      <c r="L11" s="515"/>
      <c r="M11" t="str">
        <f t="shared" si="1"/>
        <v xml:space="preserve">; ; </v>
      </c>
      <c r="N11">
        <f t="shared" si="0"/>
        <v>0</v>
      </c>
      <c r="O11" s="522" t="b">
        <f>IF(N11=1,VLOOKUP(C11,'AUX5-CUSTOS'!$B$3:$O$14,2,),IF(N11=2,VLOOKUP(C11,'AUX5-CUSTOS'!$B$17:$O$34,2,),IF(N11=3,VLOOKUP(C11,'AUX5-CUSTOS'!$B$36:$O$53,2,))))</f>
        <v>0</v>
      </c>
      <c r="P11" s="522" t="b">
        <f>IF(AND(N11=1,E11="SIM"),VLOOKUP(C11,'AUX5-CUSTOS'!$B$3:$O$14,3,FALSE))</f>
        <v>0</v>
      </c>
      <c r="Q11" s="522" t="b">
        <f>IF(AND(N11=1,F11="1 MANUAL"),VLOOKUP(C11,'AUX5-CUSTOS'!$B$3:$O$14,4,FALSE))</f>
        <v>0</v>
      </c>
      <c r="R11" s="522" t="b">
        <f>IF(AND(N11=1,F11="2 MANUAIS"),VLOOKUP(C11,'AUX5-CUSTOS'!$B$3:$O$14,5,FALSE))</f>
        <v>0</v>
      </c>
      <c r="S11" s="522" t="b">
        <f>IF(AND(N11=1,F11="1 COM ATUADOR ON/OFF"),VLOOKUP(C11,'AUX5-CUSTOS'!$B$3:$O$14,6,FALSE))</f>
        <v>0</v>
      </c>
      <c r="T11" s="522" t="b">
        <f>IF(AND(N11=1,F11="2 COM ATUADORES ON/OFF"),VLOOKUP(C11,'AUX5-CUSTOS'!$B$3:$O$14,7,FALSE))</f>
        <v>0</v>
      </c>
      <c r="U11" s="522" t="b">
        <f>IF(AND(N11=1,G11="Eletrônico"),VLOOKUP(C11,'AUX5-CUSTOS'!$B$3:$O$14,8,FALSE))</f>
        <v>0</v>
      </c>
      <c r="V11" s="522" t="b">
        <f>IF(AND(N11=1,H11="Proporcional"),VLOOKUP(C11,'AUX5-CUSTOS'!$B$3:$O$14,9,FALSE))</f>
        <v>0</v>
      </c>
      <c r="W11" s="522" t="b">
        <f>IF(AND(N11=1,I11="SIM"),VLOOKUP(C11,'AUX5-CUSTOS'!$B$3:$O$14,10,FALSE))</f>
        <v>0</v>
      </c>
      <c r="X11" s="521" t="b">
        <f>IF(AND(N11=1,J11="SIM"),VLOOKUP(C11,'AUX5-CUSTOS'!$B$3:$O$14,11,FALSE))</f>
        <v>0</v>
      </c>
      <c r="Y11" s="521" t="b">
        <f>IF(AND(N11=1,K11="SIM"),VLOOKUP(C11,'AUX5-CUSTOS'!$B$3:$O$14,12,FALSE))</f>
        <v>0</v>
      </c>
      <c r="Z11" s="521" t="b">
        <f>IF(AND(N11=1,L11="SIM"),VLOOKUP(C11,'AUX5-CUSTOS'!$B$3:$O$14,13,FALSE))</f>
        <v>0</v>
      </c>
      <c r="AB11" s="521">
        <f t="shared" si="2"/>
        <v>0</v>
      </c>
      <c r="AC11" s="49" t="b">
        <f>IF(N11=1,VLOOKUP(C11,'AUX5-CUSTOS'!$B$3:$S$14,15,FALSE))</f>
        <v>0</v>
      </c>
      <c r="AD11" s="49" t="b">
        <f>IF(N11=1,VLOOKUP(C11,'AUX5-CUSTOS'!$B$3:$S$14,16,FALSE))</f>
        <v>0</v>
      </c>
      <c r="AE11" s="49" t="b">
        <f>IF(N11=1,VLOOKUP(C11,'AUX5-CUSTOS'!$B$3:$S$14,17,FALSE))</f>
        <v>0</v>
      </c>
      <c r="AF11" s="49" t="b">
        <f>IF(N11=1,VLOOKUP(C11,'AUX5-CUSTOS'!$B$3:$S$14,18,FALSE))</f>
        <v>0</v>
      </c>
      <c r="AG11" t="b">
        <f>IF(N11=1,VLOOKUP(C11,'AUX5-CUSTOS'!$B$3:$T$14,19,FALSE))</f>
        <v>0</v>
      </c>
    </row>
    <row r="12" spans="1:33" x14ac:dyDescent="0.3">
      <c r="A12" s="515"/>
      <c r="B12" s="515"/>
      <c r="C12" s="515"/>
      <c r="D12" s="515"/>
      <c r="E12" s="515"/>
      <c r="F12" s="515"/>
      <c r="G12" s="515"/>
      <c r="H12" s="515"/>
      <c r="I12" s="515"/>
      <c r="J12" s="515"/>
      <c r="K12" s="515"/>
      <c r="L12" s="515"/>
      <c r="M12" t="str">
        <f t="shared" si="1"/>
        <v xml:space="preserve">; ; </v>
      </c>
      <c r="N12">
        <f t="shared" si="0"/>
        <v>0</v>
      </c>
      <c r="O12" s="522" t="b">
        <f>IF(N12=1,VLOOKUP(C12,'AUX5-CUSTOS'!$B$3:$O$14,2,),IF(N12=2,VLOOKUP(C12,'AUX5-CUSTOS'!$B$17:$O$34,2,),IF(N12=3,VLOOKUP(C12,'AUX5-CUSTOS'!$B$36:$O$53,2,))))</f>
        <v>0</v>
      </c>
      <c r="P12" s="522" t="b">
        <f>IF(AND(N12=1,E12="SIM"),VLOOKUP(C12,'AUX5-CUSTOS'!$B$3:$O$14,3,FALSE))</f>
        <v>0</v>
      </c>
      <c r="Q12" s="522" t="b">
        <f>IF(AND(N12=1,F12="1 MANUAL"),VLOOKUP(C12,'AUX5-CUSTOS'!$B$3:$O$14,4,FALSE))</f>
        <v>0</v>
      </c>
      <c r="R12" s="522" t="b">
        <f>IF(AND(N12=1,F12="2 MANUAIS"),VLOOKUP(C12,'AUX5-CUSTOS'!$B$3:$O$14,5,FALSE))</f>
        <v>0</v>
      </c>
      <c r="S12" s="522" t="b">
        <f>IF(AND(N12=1,F12="1 COM ATUADOR ON/OFF"),VLOOKUP(C12,'AUX5-CUSTOS'!$B$3:$O$14,6,FALSE))</f>
        <v>0</v>
      </c>
      <c r="T12" s="522" t="b">
        <f>IF(AND(N12=1,F12="2 COM ATUADORES ON/OFF"),VLOOKUP(C12,'AUX5-CUSTOS'!$B$3:$O$14,7,FALSE))</f>
        <v>0</v>
      </c>
      <c r="U12" s="522" t="b">
        <f>IF(AND(N12=1,G12="Eletrônico"),VLOOKUP(C12,'AUX5-CUSTOS'!$B$3:$O$14,8,FALSE))</f>
        <v>0</v>
      </c>
      <c r="V12" s="522" t="b">
        <f>IF(AND(N12=1,H12="Proporcional"),VLOOKUP(C12,'AUX5-CUSTOS'!$B$3:$O$14,9,FALSE))</f>
        <v>0</v>
      </c>
      <c r="W12" s="522" t="b">
        <f>IF(AND(N12=1,I12="SIM"),VLOOKUP(C12,'AUX5-CUSTOS'!$B$3:$O$14,10,FALSE))</f>
        <v>0</v>
      </c>
      <c r="X12" s="521" t="b">
        <f>IF(AND(N12=1,J12="SIM"),VLOOKUP(C12,'AUX5-CUSTOS'!$B$3:$O$14,11,FALSE))</f>
        <v>0</v>
      </c>
      <c r="Y12" s="521" t="b">
        <f>IF(AND(N12=1,K12="SIM"),VLOOKUP(C12,'AUX5-CUSTOS'!$B$3:$O$14,12,FALSE))</f>
        <v>0</v>
      </c>
      <c r="Z12" s="521" t="b">
        <f>IF(AND(N12=1,L12="SIM"),VLOOKUP(C12,'AUX5-CUSTOS'!$B$3:$O$14,13,FALSE))</f>
        <v>0</v>
      </c>
      <c r="AB12" s="521">
        <f t="shared" si="2"/>
        <v>0</v>
      </c>
      <c r="AC12" s="49" t="b">
        <f>IF(N12=1,VLOOKUP(C12,'AUX5-CUSTOS'!$B$3:$S$14,15,FALSE))</f>
        <v>0</v>
      </c>
      <c r="AD12" s="49" t="b">
        <f>IF(N12=1,VLOOKUP(C12,'AUX5-CUSTOS'!$B$3:$S$14,16,FALSE))</f>
        <v>0</v>
      </c>
      <c r="AE12" s="49" t="b">
        <f>IF(N12=1,VLOOKUP(C12,'AUX5-CUSTOS'!$B$3:$S$14,17,FALSE))</f>
        <v>0</v>
      </c>
      <c r="AF12" s="49" t="b">
        <f>IF(N12=1,VLOOKUP(C12,'AUX5-CUSTOS'!$B$3:$S$14,18,FALSE))</f>
        <v>0</v>
      </c>
      <c r="AG12" t="b">
        <f>IF(N12=1,VLOOKUP(C12,'AUX5-CUSTOS'!$B$3:$T$14,19,FALSE))</f>
        <v>0</v>
      </c>
    </row>
    <row r="13" spans="1:33" x14ac:dyDescent="0.3">
      <c r="A13" s="515"/>
      <c r="B13" s="515"/>
      <c r="C13" s="515"/>
      <c r="D13" s="515"/>
      <c r="E13" s="515"/>
      <c r="F13" s="515"/>
      <c r="G13" s="515"/>
      <c r="H13" s="515"/>
      <c r="I13" s="515"/>
      <c r="J13" s="515"/>
      <c r="K13" s="515"/>
      <c r="L13" s="515"/>
      <c r="M13" t="str">
        <f t="shared" si="1"/>
        <v xml:space="preserve">; ; </v>
      </c>
      <c r="N13">
        <f t="shared" si="0"/>
        <v>0</v>
      </c>
      <c r="O13" s="522" t="b">
        <f>IF(N13=1,VLOOKUP(C13,'AUX5-CUSTOS'!$B$3:$O$14,2,),IF(N13=2,VLOOKUP(C13,'AUX5-CUSTOS'!$B$17:$O$34,2,),IF(N13=3,VLOOKUP(C13,'AUX5-CUSTOS'!$B$36:$O$53,2,))))</f>
        <v>0</v>
      </c>
      <c r="P13" s="522" t="b">
        <f>IF(AND(N13=1,E13="SIM"),VLOOKUP(C13,'AUX5-CUSTOS'!$B$3:$O$14,3,FALSE))</f>
        <v>0</v>
      </c>
      <c r="Q13" s="522" t="b">
        <f>IF(AND(N13=1,F13="1 MANUAL"),VLOOKUP(C13,'AUX5-CUSTOS'!$B$3:$O$14,4,FALSE))</f>
        <v>0</v>
      </c>
      <c r="R13" s="522" t="b">
        <f>IF(AND(N13=1,F13="2 MANUAIS"),VLOOKUP(C13,'AUX5-CUSTOS'!$B$3:$O$14,5,FALSE))</f>
        <v>0</v>
      </c>
      <c r="S13" s="522" t="b">
        <f>IF(AND(N13=1,F13="1 COM ATUADOR ON/OFF"),VLOOKUP(C13,'AUX5-CUSTOS'!$B$3:$O$14,6,FALSE))</f>
        <v>0</v>
      </c>
      <c r="T13" s="522" t="b">
        <f>IF(AND(N13=1,F13="2 COM ATUADORES ON/OFF"),VLOOKUP(C13,'AUX5-CUSTOS'!$B$3:$O$14,7,FALSE))</f>
        <v>0</v>
      </c>
      <c r="U13" s="522" t="b">
        <f>IF(AND(N13=1,G13="Eletrônico"),VLOOKUP(C13,'AUX5-CUSTOS'!$B$3:$O$14,8,FALSE))</f>
        <v>0</v>
      </c>
      <c r="V13" s="522" t="b">
        <f>IF(AND(N13=1,H13="Proporcional"),VLOOKUP(C13,'AUX5-CUSTOS'!$B$3:$O$14,9,FALSE))</f>
        <v>0</v>
      </c>
      <c r="W13" s="522" t="b">
        <f>IF(AND(N13=1,I13="SIM"),VLOOKUP(C13,'AUX5-CUSTOS'!$B$3:$O$14,10,FALSE))</f>
        <v>0</v>
      </c>
      <c r="X13" s="521" t="b">
        <f>IF(AND(N13=1,J13="SIM"),VLOOKUP(C13,'AUX5-CUSTOS'!$B$3:$O$14,11,FALSE))</f>
        <v>0</v>
      </c>
      <c r="Y13" s="521" t="b">
        <f>IF(AND(N13=1,K13="SIM"),VLOOKUP(C13,'AUX5-CUSTOS'!$B$3:$O$14,12,FALSE))</f>
        <v>0</v>
      </c>
      <c r="Z13" s="521" t="b">
        <f>IF(AND(N13=1,L13="SIM"),VLOOKUP(C13,'AUX5-CUSTOS'!$B$3:$O$14,13,FALSE))</f>
        <v>0</v>
      </c>
      <c r="AB13" s="521">
        <f t="shared" si="2"/>
        <v>0</v>
      </c>
      <c r="AC13" s="49" t="b">
        <f>IF(N13=1,VLOOKUP(C13,'AUX5-CUSTOS'!$B$3:$S$14,15,FALSE))</f>
        <v>0</v>
      </c>
      <c r="AD13" s="49" t="b">
        <f>IF(N13=1,VLOOKUP(C13,'AUX5-CUSTOS'!$B$3:$S$14,16,FALSE))</f>
        <v>0</v>
      </c>
      <c r="AE13" s="49" t="b">
        <f>IF(N13=1,VLOOKUP(C13,'AUX5-CUSTOS'!$B$3:$S$14,17,FALSE))</f>
        <v>0</v>
      </c>
      <c r="AF13" s="49" t="b">
        <f>IF(N13=1,VLOOKUP(C13,'AUX5-CUSTOS'!$B$3:$S$14,18,FALSE))</f>
        <v>0</v>
      </c>
      <c r="AG13" t="b">
        <f>IF(N13=1,VLOOKUP(C13,'AUX5-CUSTOS'!$B$3:$T$14,19,FALSE))</f>
        <v>0</v>
      </c>
    </row>
    <row r="14" spans="1:33" x14ac:dyDescent="0.3">
      <c r="A14" s="515"/>
      <c r="B14" s="515"/>
      <c r="C14" s="515"/>
      <c r="D14" s="515"/>
      <c r="E14" s="515"/>
      <c r="F14" s="515"/>
      <c r="G14" s="515"/>
      <c r="H14" s="515"/>
      <c r="I14" s="515"/>
      <c r="J14" s="515"/>
      <c r="K14" s="515"/>
      <c r="L14" s="515"/>
      <c r="M14" t="str">
        <f t="shared" si="1"/>
        <v xml:space="preserve">; ; </v>
      </c>
      <c r="N14">
        <f t="shared" si="0"/>
        <v>0</v>
      </c>
      <c r="O14" s="522" t="b">
        <f>IF(N14=1,VLOOKUP(C14,'AUX5-CUSTOS'!$B$3:$O$14,2,),IF(N14=2,VLOOKUP(C14,'AUX5-CUSTOS'!$B$17:$O$34,2,),IF(N14=3,VLOOKUP(C14,'AUX5-CUSTOS'!$B$36:$O$53,2,))))</f>
        <v>0</v>
      </c>
      <c r="P14" s="522" t="b">
        <f>IF(AND(N14=1,E14="SIM"),VLOOKUP(C14,'AUX5-CUSTOS'!$B$3:$O$14,3,FALSE))</f>
        <v>0</v>
      </c>
      <c r="Q14" s="522" t="b">
        <f>IF(AND(N14=1,F14="1 MANUAL"),VLOOKUP(C14,'AUX5-CUSTOS'!$B$3:$O$14,4,FALSE))</f>
        <v>0</v>
      </c>
      <c r="R14" s="522" t="b">
        <f>IF(AND(N14=1,F14="2 MANUAIS"),VLOOKUP(C14,'AUX5-CUSTOS'!$B$3:$O$14,5,FALSE))</f>
        <v>0</v>
      </c>
      <c r="S14" s="522" t="b">
        <f>IF(AND(N14=1,F14="1 COM ATUADOR ON/OFF"),VLOOKUP(C14,'AUX5-CUSTOS'!$B$3:$O$14,6,FALSE))</f>
        <v>0</v>
      </c>
      <c r="T14" s="522" t="b">
        <f>IF(AND(N14=1,F14="2 COM ATUADORES ON/OFF"),VLOOKUP(C14,'AUX5-CUSTOS'!$B$3:$O$14,7,FALSE))</f>
        <v>0</v>
      </c>
      <c r="U14" s="522" t="b">
        <f>IF(AND(N14=1,G14="Eletrônico"),VLOOKUP(C14,'AUX5-CUSTOS'!$B$3:$O$14,8,FALSE))</f>
        <v>0</v>
      </c>
      <c r="V14" s="522" t="b">
        <f>IF(AND(N14=1,H14="Proporcional"),VLOOKUP(C14,'AUX5-CUSTOS'!$B$3:$O$14,9,FALSE))</f>
        <v>0</v>
      </c>
      <c r="W14" s="522" t="b">
        <f>IF(AND(N14=1,I14="SIM"),VLOOKUP(C14,'AUX5-CUSTOS'!$B$3:$O$14,10,FALSE))</f>
        <v>0</v>
      </c>
      <c r="X14" s="521" t="b">
        <f>IF(AND(N14=1,J14="SIM"),VLOOKUP(C14,'AUX5-CUSTOS'!$B$3:$O$14,11,FALSE))</f>
        <v>0</v>
      </c>
      <c r="Y14" s="521" t="b">
        <f>IF(AND(N14=1,K14="SIM"),VLOOKUP(C14,'AUX5-CUSTOS'!$B$3:$O$14,12,FALSE))</f>
        <v>0</v>
      </c>
      <c r="Z14" s="521" t="b">
        <f>IF(AND(N14=1,L14="SIM"),VLOOKUP(C14,'AUX5-CUSTOS'!$B$3:$O$14,13,FALSE))</f>
        <v>0</v>
      </c>
      <c r="AB14" s="521">
        <f t="shared" si="2"/>
        <v>0</v>
      </c>
      <c r="AC14" s="49" t="b">
        <f>IF(N14=1,VLOOKUP(C14,'AUX5-CUSTOS'!$B$3:$S$14,15,FALSE))</f>
        <v>0</v>
      </c>
      <c r="AD14" s="49" t="b">
        <f>IF(N14=1,VLOOKUP(C14,'AUX5-CUSTOS'!$B$3:$S$14,16,FALSE))</f>
        <v>0</v>
      </c>
      <c r="AE14" s="49" t="b">
        <f>IF(N14=1,VLOOKUP(C14,'AUX5-CUSTOS'!$B$3:$S$14,17,FALSE))</f>
        <v>0</v>
      </c>
      <c r="AF14" s="49" t="b">
        <f>IF(N14=1,VLOOKUP(C14,'AUX5-CUSTOS'!$B$3:$S$14,18,FALSE))</f>
        <v>0</v>
      </c>
      <c r="AG14" t="b">
        <f>IF(N14=1,VLOOKUP(C14,'AUX5-CUSTOS'!$B$3:$T$14,19,FALSE))</f>
        <v>0</v>
      </c>
    </row>
    <row r="15" spans="1:33" x14ac:dyDescent="0.3">
      <c r="A15" s="515"/>
      <c r="B15" s="515"/>
      <c r="C15" s="515"/>
      <c r="D15" s="515"/>
      <c r="E15" s="515"/>
      <c r="F15" s="515"/>
      <c r="G15" s="515"/>
      <c r="H15" s="515"/>
      <c r="I15" s="515"/>
      <c r="J15" s="515"/>
      <c r="K15" s="515"/>
      <c r="L15" s="515"/>
      <c r="M15" t="str">
        <f t="shared" si="1"/>
        <v xml:space="preserve">; ; </v>
      </c>
      <c r="N15">
        <f t="shared" si="0"/>
        <v>0</v>
      </c>
      <c r="O15" s="522" t="b">
        <f>IF(N15=1,VLOOKUP(C15,'AUX5-CUSTOS'!$B$3:$O$14,2,),IF(N15=2,VLOOKUP(C15,'AUX5-CUSTOS'!$B$17:$O$34,2,),IF(N15=3,VLOOKUP(C15,'AUX5-CUSTOS'!$B$36:$O$53,2,))))</f>
        <v>0</v>
      </c>
      <c r="P15" s="522" t="b">
        <f>IF(AND(N15=1,E15="SIM"),VLOOKUP(C15,'AUX5-CUSTOS'!$B$3:$O$14,3,FALSE))</f>
        <v>0</v>
      </c>
      <c r="Q15" s="522" t="b">
        <f>IF(AND(N15=1,F15="1 MANUAL"),VLOOKUP(C15,'AUX5-CUSTOS'!$B$3:$O$14,4,FALSE))</f>
        <v>0</v>
      </c>
      <c r="R15" s="522" t="b">
        <f>IF(AND(N15=1,F15="2 MANUAIS"),VLOOKUP(C15,'AUX5-CUSTOS'!$B$3:$O$14,5,FALSE))</f>
        <v>0</v>
      </c>
      <c r="S15" s="522" t="b">
        <f>IF(AND(N15=1,F15="1 COM ATUADOR ON/OFF"),VLOOKUP(C15,'AUX5-CUSTOS'!$B$3:$O$14,6,FALSE))</f>
        <v>0</v>
      </c>
      <c r="T15" s="522" t="b">
        <f>IF(AND(N15=1,F15="2 COM ATUADORES ON/OFF"),VLOOKUP(C15,'AUX5-CUSTOS'!$B$3:$O$14,7,FALSE))</f>
        <v>0</v>
      </c>
      <c r="U15" s="522" t="b">
        <f>IF(AND(N15=1,G15="Eletrônico"),VLOOKUP(C15,'AUX5-CUSTOS'!$B$3:$O$14,8,FALSE))</f>
        <v>0</v>
      </c>
      <c r="V15" s="522" t="b">
        <f>IF(AND(N15=1,H15="Proporcional"),VLOOKUP(C15,'AUX5-CUSTOS'!$B$3:$O$14,9,FALSE))</f>
        <v>0</v>
      </c>
      <c r="W15" s="522" t="b">
        <f>IF(AND(N15=1,I15="SIM"),VLOOKUP(C15,'AUX5-CUSTOS'!$B$3:$O$14,10,FALSE))</f>
        <v>0</v>
      </c>
      <c r="X15" s="521" t="b">
        <f>IF(AND(N15=1,J15="SIM"),VLOOKUP(C15,'AUX5-CUSTOS'!$B$3:$O$14,11,FALSE))</f>
        <v>0</v>
      </c>
      <c r="Y15" s="521" t="b">
        <f>IF(AND(N15=1,K15="SIM"),VLOOKUP(C15,'AUX5-CUSTOS'!$B$3:$O$14,12,FALSE))</f>
        <v>0</v>
      </c>
      <c r="Z15" s="521" t="b">
        <f>IF(AND(N15=1,L15="SIM"),VLOOKUP(C15,'AUX5-CUSTOS'!$B$3:$O$14,13,FALSE))</f>
        <v>0</v>
      </c>
      <c r="AB15" s="521">
        <f t="shared" si="2"/>
        <v>0</v>
      </c>
      <c r="AC15" s="49" t="b">
        <f>IF(N15=1,VLOOKUP(C15,'AUX5-CUSTOS'!$B$3:$S$14,15,FALSE))</f>
        <v>0</v>
      </c>
      <c r="AD15" s="49" t="b">
        <f>IF(N15=1,VLOOKUP(C15,'AUX5-CUSTOS'!$B$3:$S$14,16,FALSE))</f>
        <v>0</v>
      </c>
      <c r="AE15" s="49" t="b">
        <f>IF(N15=1,VLOOKUP(C15,'AUX5-CUSTOS'!$B$3:$S$14,17,FALSE))</f>
        <v>0</v>
      </c>
      <c r="AF15" s="49" t="b">
        <f>IF(N15=1,VLOOKUP(C15,'AUX5-CUSTOS'!$B$3:$S$14,18,FALSE))</f>
        <v>0</v>
      </c>
      <c r="AG15" t="b">
        <f>IF(N15=1,VLOOKUP(C15,'AUX5-CUSTOS'!$B$3:$T$14,19,FALSE))</f>
        <v>0</v>
      </c>
    </row>
    <row r="16" spans="1:33" x14ac:dyDescent="0.3">
      <c r="A16" s="515"/>
      <c r="B16" s="515"/>
      <c r="C16" s="515"/>
      <c r="D16" s="515"/>
      <c r="E16" s="515"/>
      <c r="F16" s="515"/>
      <c r="G16" s="515"/>
      <c r="H16" s="515"/>
      <c r="I16" s="515"/>
      <c r="J16" s="515"/>
      <c r="K16" s="515"/>
      <c r="L16" s="515"/>
      <c r="M16" t="str">
        <f t="shared" si="1"/>
        <v xml:space="preserve">; ; </v>
      </c>
      <c r="N16">
        <f t="shared" si="0"/>
        <v>0</v>
      </c>
      <c r="O16" s="522" t="b">
        <f>IF(N16=1,VLOOKUP(C16,'AUX5-CUSTOS'!$B$3:$O$14,2,),IF(N16=2,VLOOKUP(C16,'AUX5-CUSTOS'!$B$17:$O$34,2,),IF(N16=3,VLOOKUP(C16,'AUX5-CUSTOS'!$B$36:$O$53,2,))))</f>
        <v>0</v>
      </c>
      <c r="P16" s="522" t="b">
        <f>IF(AND(N16=1,E16="SIM"),VLOOKUP(C16,'AUX5-CUSTOS'!$B$3:$O$14,3,FALSE))</f>
        <v>0</v>
      </c>
      <c r="Q16" s="522" t="b">
        <f>IF(AND(N16=1,F16="1 MANUAL"),VLOOKUP(C16,'AUX5-CUSTOS'!$B$3:$O$14,4,FALSE))</f>
        <v>0</v>
      </c>
      <c r="R16" s="522" t="b">
        <f>IF(AND(N16=1,F16="2 MANUAIS"),VLOOKUP(C16,'AUX5-CUSTOS'!$B$3:$O$14,5,FALSE))</f>
        <v>0</v>
      </c>
      <c r="S16" s="522" t="b">
        <f>IF(AND(N16=1,F16="1 COM ATUADOR ON/OFF"),VLOOKUP(C16,'AUX5-CUSTOS'!$B$3:$O$14,6,FALSE))</f>
        <v>0</v>
      </c>
      <c r="T16" s="522" t="b">
        <f>IF(AND(N16=1,F16="2 COM ATUADORES ON/OFF"),VLOOKUP(C16,'AUX5-CUSTOS'!$B$3:$O$14,7,FALSE))</f>
        <v>0</v>
      </c>
      <c r="U16" s="522" t="b">
        <f>IF(AND(N16=1,G16="Eletrônico"),VLOOKUP(C16,'AUX5-CUSTOS'!$B$3:$O$14,8,FALSE))</f>
        <v>0</v>
      </c>
      <c r="V16" s="522" t="b">
        <f>IF(AND(N16=1,H16="Proporcional"),VLOOKUP(C16,'AUX5-CUSTOS'!$B$3:$O$14,9,FALSE))</f>
        <v>0</v>
      </c>
      <c r="W16" s="522" t="b">
        <f>IF(AND(N16=1,I16="SIM"),VLOOKUP(C16,'AUX5-CUSTOS'!$B$3:$O$14,10,FALSE))</f>
        <v>0</v>
      </c>
      <c r="X16" s="521" t="b">
        <f>IF(AND(N16=1,J16="SIM"),VLOOKUP(C16,'AUX5-CUSTOS'!$B$3:$O$14,11,FALSE))</f>
        <v>0</v>
      </c>
      <c r="Y16" s="521" t="b">
        <f>IF(AND(N16=1,K16="SIM"),VLOOKUP(C16,'AUX5-CUSTOS'!$B$3:$O$14,12,FALSE))</f>
        <v>0</v>
      </c>
      <c r="Z16" s="521" t="b">
        <f>IF(AND(N16=1,L16="SIM"),VLOOKUP(C16,'AUX5-CUSTOS'!$B$3:$O$14,13,FALSE))</f>
        <v>0</v>
      </c>
      <c r="AB16" s="521">
        <f t="shared" si="2"/>
        <v>0</v>
      </c>
      <c r="AC16" s="49" t="b">
        <f>IF(N16=1,VLOOKUP(C16,'AUX5-CUSTOS'!$B$3:$S$14,15,FALSE))</f>
        <v>0</v>
      </c>
      <c r="AD16" s="49" t="b">
        <f>IF(N16=1,VLOOKUP(C16,'AUX5-CUSTOS'!$B$3:$S$14,16,FALSE))</f>
        <v>0</v>
      </c>
      <c r="AE16" s="49" t="b">
        <f>IF(N16=1,VLOOKUP(C16,'AUX5-CUSTOS'!$B$3:$S$14,17,FALSE))</f>
        <v>0</v>
      </c>
      <c r="AF16" s="49" t="b">
        <f>IF(N16=1,VLOOKUP(C16,'AUX5-CUSTOS'!$B$3:$S$14,18,FALSE))</f>
        <v>0</v>
      </c>
      <c r="AG16" t="b">
        <f>IF(N16=1,VLOOKUP(C16,'AUX5-CUSTOS'!$B$3:$T$14,19,FALSE))</f>
        <v>0</v>
      </c>
    </row>
    <row r="17" spans="1:33" x14ac:dyDescent="0.3">
      <c r="A17" s="515"/>
      <c r="B17" s="515"/>
      <c r="C17" s="515"/>
      <c r="D17" s="515"/>
      <c r="E17" s="515"/>
      <c r="F17" s="515"/>
      <c r="G17" s="515"/>
      <c r="H17" s="515"/>
      <c r="I17" s="515"/>
      <c r="J17" s="515"/>
      <c r="K17" s="515"/>
      <c r="L17" s="515"/>
      <c r="M17" t="str">
        <f t="shared" si="1"/>
        <v xml:space="preserve">; ; </v>
      </c>
      <c r="N17">
        <f t="shared" si="0"/>
        <v>0</v>
      </c>
      <c r="O17" s="522" t="b">
        <f>IF(N17=1,VLOOKUP(C17,'AUX5-CUSTOS'!$B$3:$O$14,2,),IF(N17=2,VLOOKUP(C17,'AUX5-CUSTOS'!$B$17:$O$34,2,),IF(N17=3,VLOOKUP(C17,'AUX5-CUSTOS'!$B$36:$O$53,2,))))</f>
        <v>0</v>
      </c>
      <c r="P17" s="522" t="b">
        <f>IF(AND(N17=1,E17="SIM"),VLOOKUP(C17,'AUX5-CUSTOS'!$B$3:$O$14,3,FALSE))</f>
        <v>0</v>
      </c>
      <c r="Q17" s="522" t="b">
        <f>IF(AND(N17=1,F17="1 MANUAL"),VLOOKUP(C17,'AUX5-CUSTOS'!$B$3:$O$14,4,FALSE))</f>
        <v>0</v>
      </c>
      <c r="R17" s="522" t="b">
        <f>IF(AND(N17=1,F17="2 MANUAIS"),VLOOKUP(C17,'AUX5-CUSTOS'!$B$3:$O$14,5,FALSE))</f>
        <v>0</v>
      </c>
      <c r="S17" s="522" t="b">
        <f>IF(AND(N17=1,F17="1 COM ATUADOR ON/OFF"),VLOOKUP(C17,'AUX5-CUSTOS'!$B$3:$O$14,6,FALSE))</f>
        <v>0</v>
      </c>
      <c r="T17" s="522" t="b">
        <f>IF(AND(N17=1,F17="2 COM ATUADORES ON/OFF"),VLOOKUP(C17,'AUX5-CUSTOS'!$B$3:$O$14,7,FALSE))</f>
        <v>0</v>
      </c>
      <c r="U17" s="522" t="b">
        <f>IF(AND(N17=1,G17="Eletrônico"),VLOOKUP(C17,'AUX5-CUSTOS'!$B$3:$O$14,8,FALSE))</f>
        <v>0</v>
      </c>
      <c r="V17" s="522" t="b">
        <f>IF(AND(N17=1,H17="Proporcional"),VLOOKUP(C17,'AUX5-CUSTOS'!$B$3:$O$14,9,FALSE))</f>
        <v>0</v>
      </c>
      <c r="W17" s="522" t="b">
        <f>IF(AND(N17=1,I17="SIM"),VLOOKUP(C17,'AUX5-CUSTOS'!$B$3:$O$14,10,FALSE))</f>
        <v>0</v>
      </c>
      <c r="X17" s="521" t="b">
        <f>IF(AND(N17=1,J17="SIM"),VLOOKUP(C17,'AUX5-CUSTOS'!$B$3:$O$14,11,FALSE))</f>
        <v>0</v>
      </c>
      <c r="Y17" s="521" t="b">
        <f>IF(AND(N17=1,K17="SIM"),VLOOKUP(C17,'AUX5-CUSTOS'!$B$3:$O$14,12,FALSE))</f>
        <v>0</v>
      </c>
      <c r="Z17" s="521" t="b">
        <f>IF(AND(N17=1,L17="SIM"),VLOOKUP(C17,'AUX5-CUSTOS'!$B$3:$O$14,13,FALSE))</f>
        <v>0</v>
      </c>
      <c r="AB17" s="521">
        <f t="shared" si="2"/>
        <v>0</v>
      </c>
      <c r="AC17" s="49" t="b">
        <f>IF(N17=1,VLOOKUP(C17,'AUX5-CUSTOS'!$B$3:$S$14,15,FALSE))</f>
        <v>0</v>
      </c>
      <c r="AD17" s="49" t="b">
        <f>IF(N17=1,VLOOKUP(C17,'AUX5-CUSTOS'!$B$3:$S$14,16,FALSE))</f>
        <v>0</v>
      </c>
      <c r="AE17" s="49" t="b">
        <f>IF(N17=1,VLOOKUP(C17,'AUX5-CUSTOS'!$B$3:$S$14,17,FALSE))</f>
        <v>0</v>
      </c>
      <c r="AF17" s="49" t="b">
        <f>IF(N17=1,VLOOKUP(C17,'AUX5-CUSTOS'!$B$3:$S$14,18,FALSE))</f>
        <v>0</v>
      </c>
      <c r="AG17" t="b">
        <f>IF(N17=1,VLOOKUP(C17,'AUX5-CUSTOS'!$B$3:$T$14,19,FALSE))</f>
        <v>0</v>
      </c>
    </row>
    <row r="18" spans="1:33" x14ac:dyDescent="0.3">
      <c r="A18" s="515"/>
      <c r="B18" s="515"/>
      <c r="C18" s="515"/>
      <c r="D18" s="515"/>
      <c r="E18" s="515"/>
      <c r="F18" s="515"/>
      <c r="G18" s="515"/>
      <c r="H18" s="515"/>
      <c r="I18" s="515"/>
      <c r="J18" s="515"/>
      <c r="K18" s="515"/>
      <c r="L18" s="515"/>
      <c r="M18" t="str">
        <f t="shared" si="1"/>
        <v xml:space="preserve">; ; </v>
      </c>
      <c r="N18">
        <f t="shared" si="0"/>
        <v>0</v>
      </c>
      <c r="O18" s="522" t="b">
        <f>IF(N18=1,VLOOKUP(C18,'AUX5-CUSTOS'!$B$3:$O$14,2,),IF(N18=2,VLOOKUP(C18,'AUX5-CUSTOS'!$B$17:$O$34,2,),IF(N18=3,VLOOKUP(C18,'AUX5-CUSTOS'!$B$36:$O$53,2,))))</f>
        <v>0</v>
      </c>
      <c r="P18" s="522" t="b">
        <f>IF(AND(N18=1,E18="SIM"),VLOOKUP(C18,'AUX5-CUSTOS'!$B$3:$O$14,3,FALSE))</f>
        <v>0</v>
      </c>
      <c r="Q18" s="522" t="b">
        <f>IF(AND(N18=1,F18="1 MANUAL"),VLOOKUP(C18,'AUX5-CUSTOS'!$B$3:$O$14,4,FALSE))</f>
        <v>0</v>
      </c>
      <c r="R18" s="522" t="b">
        <f>IF(AND(N18=1,F18="2 MANUAIS"),VLOOKUP(C18,'AUX5-CUSTOS'!$B$3:$O$14,5,FALSE))</f>
        <v>0</v>
      </c>
      <c r="S18" s="522" t="b">
        <f>IF(AND(N18=1,F18="1 COM ATUADOR ON/OFF"),VLOOKUP(C18,'AUX5-CUSTOS'!$B$3:$O$14,6,FALSE))</f>
        <v>0</v>
      </c>
      <c r="T18" s="522" t="b">
        <f>IF(AND(N18=1,F18="2 COM ATUADORES ON/OFF"),VLOOKUP(C18,'AUX5-CUSTOS'!$B$3:$O$14,7,FALSE))</f>
        <v>0</v>
      </c>
      <c r="U18" s="522" t="b">
        <f>IF(AND(N18=1,G18="Eletrônico"),VLOOKUP(C18,'AUX5-CUSTOS'!$B$3:$O$14,8,FALSE))</f>
        <v>0</v>
      </c>
      <c r="V18" s="522" t="b">
        <f>IF(AND(N18=1,H18="Proporcional"),VLOOKUP(C18,'AUX5-CUSTOS'!$B$3:$O$14,9,FALSE))</f>
        <v>0</v>
      </c>
      <c r="W18" s="522" t="b">
        <f>IF(AND(N18=1,I18="SIM"),VLOOKUP(C18,'AUX5-CUSTOS'!$B$3:$O$14,10,FALSE))</f>
        <v>0</v>
      </c>
      <c r="X18" s="521" t="b">
        <f>IF(AND(N18=1,J18="SIM"),VLOOKUP(C18,'AUX5-CUSTOS'!$B$3:$O$14,11,FALSE))</f>
        <v>0</v>
      </c>
      <c r="Y18" s="521" t="b">
        <f>IF(AND(N18=1,K18="SIM"),VLOOKUP(C18,'AUX5-CUSTOS'!$B$3:$O$14,12,FALSE))</f>
        <v>0</v>
      </c>
      <c r="Z18" s="521" t="b">
        <f>IF(AND(N18=1,L18="SIM"),VLOOKUP(C18,'AUX5-CUSTOS'!$B$3:$O$14,13,FALSE))</f>
        <v>0</v>
      </c>
      <c r="AB18" s="521">
        <f t="shared" si="2"/>
        <v>0</v>
      </c>
      <c r="AC18" s="49" t="b">
        <f>IF(N18=1,VLOOKUP(C18,'AUX5-CUSTOS'!$B$3:$S$14,15,FALSE))</f>
        <v>0</v>
      </c>
      <c r="AD18" s="49" t="b">
        <f>IF(N18=1,VLOOKUP(C18,'AUX5-CUSTOS'!$B$3:$S$14,16,FALSE))</f>
        <v>0</v>
      </c>
      <c r="AE18" s="49" t="b">
        <f>IF(N18=1,VLOOKUP(C18,'AUX5-CUSTOS'!$B$3:$S$14,17,FALSE))</f>
        <v>0</v>
      </c>
      <c r="AF18" s="49" t="b">
        <f>IF(N18=1,VLOOKUP(C18,'AUX5-CUSTOS'!$B$3:$S$14,18,FALSE))</f>
        <v>0</v>
      </c>
      <c r="AG18" t="b">
        <f>IF(N18=1,VLOOKUP(C18,'AUX5-CUSTOS'!$B$3:$T$14,19,FALSE))</f>
        <v>0</v>
      </c>
    </row>
    <row r="19" spans="1:33" x14ac:dyDescent="0.3">
      <c r="A19" s="515"/>
      <c r="B19" s="515"/>
      <c r="C19" s="515"/>
      <c r="D19" s="515"/>
      <c r="E19" s="515"/>
      <c r="F19" s="515"/>
      <c r="G19" s="515"/>
      <c r="H19" s="515"/>
      <c r="I19" s="515"/>
      <c r="J19" s="515"/>
      <c r="K19" s="515"/>
      <c r="L19" s="515"/>
      <c r="M19" t="str">
        <f t="shared" si="1"/>
        <v xml:space="preserve">; ; </v>
      </c>
      <c r="N19">
        <f t="shared" si="0"/>
        <v>0</v>
      </c>
      <c r="O19" s="522" t="b">
        <f>IF(N19=1,VLOOKUP(C19,'AUX5-CUSTOS'!$B$3:$O$14,2,),IF(N19=2,VLOOKUP(C19,'AUX5-CUSTOS'!$B$17:$O$34,2,),IF(N19=3,VLOOKUP(C19,'AUX5-CUSTOS'!$B$36:$O$53,2,))))</f>
        <v>0</v>
      </c>
      <c r="P19" s="522" t="b">
        <f>IF(AND(N19=1,E19="SIM"),VLOOKUP(C19,'AUX5-CUSTOS'!$B$3:$O$14,3,FALSE))</f>
        <v>0</v>
      </c>
      <c r="Q19" s="522" t="b">
        <f>IF(AND(N19=1,F19="1 MANUAL"),VLOOKUP(C19,'AUX5-CUSTOS'!$B$3:$O$14,4,FALSE))</f>
        <v>0</v>
      </c>
      <c r="R19" s="522" t="b">
        <f>IF(AND(N19=1,F19="2 MANUAIS"),VLOOKUP(C19,'AUX5-CUSTOS'!$B$3:$O$14,5,FALSE))</f>
        <v>0</v>
      </c>
      <c r="S19" s="522" t="b">
        <f>IF(AND(N19=1,F19="1 COM ATUADOR ON/OFF"),VLOOKUP(C19,'AUX5-CUSTOS'!$B$3:$O$14,6,FALSE))</f>
        <v>0</v>
      </c>
      <c r="T19" s="522" t="b">
        <f>IF(AND(N19=1,F19="2 COM ATUADORES ON/OFF"),VLOOKUP(C19,'AUX5-CUSTOS'!$B$3:$O$14,7,FALSE))</f>
        <v>0</v>
      </c>
      <c r="U19" s="522" t="b">
        <f>IF(AND(N19=1,G19="Eletrônico"),VLOOKUP(C19,'AUX5-CUSTOS'!$B$3:$O$14,8,FALSE))</f>
        <v>0</v>
      </c>
      <c r="V19" s="522" t="b">
        <f>IF(AND(N19=1,H19="Proporcional"),VLOOKUP(C19,'AUX5-CUSTOS'!$B$3:$O$14,9,FALSE))</f>
        <v>0</v>
      </c>
      <c r="W19" s="522" t="b">
        <f>IF(AND(N19=1,I19="SIM"),VLOOKUP(C19,'AUX5-CUSTOS'!$B$3:$O$14,10,FALSE))</f>
        <v>0</v>
      </c>
      <c r="X19" s="521" t="b">
        <f>IF(AND(N19=1,J19="SIM"),VLOOKUP(C19,'AUX5-CUSTOS'!$B$3:$O$14,11,FALSE))</f>
        <v>0</v>
      </c>
      <c r="Y19" s="521" t="b">
        <f>IF(AND(N19=1,K19="SIM"),VLOOKUP(C19,'AUX5-CUSTOS'!$B$3:$O$14,12,FALSE))</f>
        <v>0</v>
      </c>
      <c r="Z19" s="521" t="b">
        <f>IF(AND(N19=1,L19="SIM"),VLOOKUP(C19,'AUX5-CUSTOS'!$B$3:$O$14,13,FALSE))</f>
        <v>0</v>
      </c>
      <c r="AB19" s="521">
        <f t="shared" si="2"/>
        <v>0</v>
      </c>
      <c r="AC19" s="49" t="b">
        <f>IF(N19=1,VLOOKUP(C19,'AUX5-CUSTOS'!$B$3:$S$14,15,FALSE))</f>
        <v>0</v>
      </c>
      <c r="AD19" s="49" t="b">
        <f>IF(N19=1,VLOOKUP(C19,'AUX5-CUSTOS'!$B$3:$S$14,16,FALSE))</f>
        <v>0</v>
      </c>
      <c r="AE19" s="49" t="b">
        <f>IF(N19=1,VLOOKUP(C19,'AUX5-CUSTOS'!$B$3:$S$14,17,FALSE))</f>
        <v>0</v>
      </c>
      <c r="AF19" s="49" t="b">
        <f>IF(N19=1,VLOOKUP(C19,'AUX5-CUSTOS'!$B$3:$S$14,18,FALSE))</f>
        <v>0</v>
      </c>
      <c r="AG19" t="b">
        <f>IF(N19=1,VLOOKUP(C19,'AUX5-CUSTOS'!$B$3:$T$14,19,FALSE))</f>
        <v>0</v>
      </c>
    </row>
    <row r="20" spans="1:33" x14ac:dyDescent="0.3">
      <c r="A20" s="515"/>
      <c r="B20" s="515"/>
      <c r="C20" s="515"/>
      <c r="D20" s="515"/>
      <c r="E20" s="515"/>
      <c r="F20" s="515"/>
      <c r="G20" s="515"/>
      <c r="H20" s="515"/>
      <c r="I20" s="515"/>
      <c r="J20" s="515"/>
      <c r="K20" s="515"/>
      <c r="L20" s="515"/>
      <c r="M20" t="str">
        <f t="shared" si="1"/>
        <v xml:space="preserve">; ; </v>
      </c>
      <c r="N20">
        <f t="shared" si="0"/>
        <v>0</v>
      </c>
      <c r="O20" s="522" t="b">
        <f>IF(N20=1,VLOOKUP(C20,'AUX5-CUSTOS'!$B$3:$O$14,2,),IF(N20=2,VLOOKUP(C20,'AUX5-CUSTOS'!$B$17:$O$34,2,),IF(N20=3,VLOOKUP(C20,'AUX5-CUSTOS'!$B$36:$O$53,2,))))</f>
        <v>0</v>
      </c>
      <c r="P20" s="522" t="b">
        <f>IF(AND(N20=1,E20="SIM"),VLOOKUP(C20,'AUX5-CUSTOS'!$B$3:$O$14,3,FALSE))</f>
        <v>0</v>
      </c>
      <c r="Q20" s="522" t="b">
        <f>IF(AND(N20=1,F20="1 MANUAL"),VLOOKUP(C20,'AUX5-CUSTOS'!$B$3:$O$14,4,FALSE))</f>
        <v>0</v>
      </c>
      <c r="R20" s="522" t="b">
        <f>IF(AND(N20=1,F20="2 MANUAIS"),VLOOKUP(C20,'AUX5-CUSTOS'!$B$3:$O$14,5,FALSE))</f>
        <v>0</v>
      </c>
      <c r="S20" s="522" t="b">
        <f>IF(AND(N20=1,F20="1 COM ATUADOR ON/OFF"),VLOOKUP(C20,'AUX5-CUSTOS'!$B$3:$O$14,6,FALSE))</f>
        <v>0</v>
      </c>
      <c r="T20" s="522" t="b">
        <f>IF(AND(N20=1,F20="2 COM ATUADORES ON/OFF"),VLOOKUP(C20,'AUX5-CUSTOS'!$B$3:$O$14,7,FALSE))</f>
        <v>0</v>
      </c>
      <c r="U20" s="522" t="b">
        <f>IF(AND(N20=1,G20="Eletrônico"),VLOOKUP(C20,'AUX5-CUSTOS'!$B$3:$O$14,8,FALSE))</f>
        <v>0</v>
      </c>
      <c r="V20" s="522" t="b">
        <f>IF(AND(N20=1,H20="Proporcional"),VLOOKUP(C20,'AUX5-CUSTOS'!$B$3:$O$14,9,FALSE))</f>
        <v>0</v>
      </c>
      <c r="W20" s="522" t="b">
        <f>IF(AND(N20=1,I20="SIM"),VLOOKUP(C20,'AUX5-CUSTOS'!$B$3:$O$14,10,FALSE))</f>
        <v>0</v>
      </c>
      <c r="X20" s="521" t="b">
        <f>IF(AND(N20=1,J20="SIM"),VLOOKUP(C20,'AUX5-CUSTOS'!$B$3:$O$14,11,FALSE))</f>
        <v>0</v>
      </c>
      <c r="Y20" s="521" t="b">
        <f>IF(AND(N20=1,K20="SIM"),VLOOKUP(C20,'AUX5-CUSTOS'!$B$3:$O$14,12,FALSE))</f>
        <v>0</v>
      </c>
      <c r="Z20" s="521" t="b">
        <f>IF(AND(N20=1,L20="SIM"),VLOOKUP(C20,'AUX5-CUSTOS'!$B$3:$O$14,13,FALSE))</f>
        <v>0</v>
      </c>
      <c r="AB20" s="521">
        <f t="shared" si="2"/>
        <v>0</v>
      </c>
      <c r="AC20" s="49" t="b">
        <f>IF(N20=1,VLOOKUP(C20,'AUX5-CUSTOS'!$B$3:$S$14,15,FALSE))</f>
        <v>0</v>
      </c>
      <c r="AD20" s="49" t="b">
        <f>IF(N20=1,VLOOKUP(C20,'AUX5-CUSTOS'!$B$3:$S$14,16,FALSE))</f>
        <v>0</v>
      </c>
      <c r="AE20" s="49" t="b">
        <f>IF(N20=1,VLOOKUP(C20,'AUX5-CUSTOS'!$B$3:$S$14,17,FALSE))</f>
        <v>0</v>
      </c>
      <c r="AF20" s="49" t="b">
        <f>IF(N20=1,VLOOKUP(C20,'AUX5-CUSTOS'!$B$3:$S$14,18,FALSE))</f>
        <v>0</v>
      </c>
      <c r="AG20" t="b">
        <f>IF(N20=1,VLOOKUP(C20,'AUX5-CUSTOS'!$B$3:$T$14,19,FALSE))</f>
        <v>0</v>
      </c>
    </row>
    <row r="21" spans="1:33" x14ac:dyDescent="0.3">
      <c r="A21" s="515"/>
      <c r="B21" s="515"/>
      <c r="C21" s="515"/>
      <c r="D21" s="515"/>
      <c r="E21" s="515"/>
      <c r="F21" s="515"/>
      <c r="G21" s="515"/>
      <c r="H21" s="515"/>
      <c r="I21" s="515"/>
      <c r="J21" s="515"/>
      <c r="K21" s="515"/>
      <c r="L21" s="515"/>
      <c r="M21" t="str">
        <f t="shared" si="1"/>
        <v xml:space="preserve">; ; </v>
      </c>
      <c r="N21">
        <f t="shared" si="0"/>
        <v>0</v>
      </c>
      <c r="O21" s="522" t="b">
        <f>IF(N21=1,VLOOKUP(C21,'AUX5-CUSTOS'!$B$3:$O$14,2,),IF(N21=2,VLOOKUP(C21,'AUX5-CUSTOS'!$B$17:$O$34,2,),IF(N21=3,VLOOKUP(C21,'AUX5-CUSTOS'!$B$36:$O$53,2,))))</f>
        <v>0</v>
      </c>
      <c r="P21" s="522" t="b">
        <f>IF(AND(N21=1,E21="SIM"),VLOOKUP(C21,'AUX5-CUSTOS'!$B$3:$O$14,3,FALSE))</f>
        <v>0</v>
      </c>
      <c r="Q21" s="522" t="b">
        <f>IF(AND(N21=1,F21="1 MANUAL"),VLOOKUP(C21,'AUX5-CUSTOS'!$B$3:$O$14,4,FALSE))</f>
        <v>0</v>
      </c>
      <c r="R21" s="522" t="b">
        <f>IF(AND(N21=1,F21="2 MANUAIS"),VLOOKUP(C21,'AUX5-CUSTOS'!$B$3:$O$14,5,FALSE))</f>
        <v>0</v>
      </c>
      <c r="S21" s="522" t="b">
        <f>IF(AND(N21=1,F21="1 COM ATUADOR ON/OFF"),VLOOKUP(C21,'AUX5-CUSTOS'!$B$3:$O$14,6,FALSE))</f>
        <v>0</v>
      </c>
      <c r="T21" s="522" t="b">
        <f>IF(AND(N21=1,F21="2 COM ATUADORES ON/OFF"),VLOOKUP(C21,'AUX5-CUSTOS'!$B$3:$O$14,7,FALSE))</f>
        <v>0</v>
      </c>
      <c r="U21" s="522" t="b">
        <f>IF(AND(N21=1,G21="Eletrônico"),VLOOKUP(C21,'AUX5-CUSTOS'!$B$3:$O$14,8,FALSE))</f>
        <v>0</v>
      </c>
      <c r="V21" s="522" t="b">
        <f>IF(AND(N21=1,H21="Proporcional"),VLOOKUP(C21,'AUX5-CUSTOS'!$B$3:$O$14,9,FALSE))</f>
        <v>0</v>
      </c>
      <c r="W21" s="522" t="b">
        <f>IF(AND(N21=1,I21="SIM"),VLOOKUP(C21,'AUX5-CUSTOS'!$B$3:$O$14,10,FALSE))</f>
        <v>0</v>
      </c>
      <c r="X21" s="521" t="b">
        <f>IF(AND(N21=1,J21="SIM"),VLOOKUP(C21,'AUX5-CUSTOS'!$B$3:$O$14,11,FALSE))</f>
        <v>0</v>
      </c>
      <c r="Y21" s="521" t="b">
        <f>IF(AND(N21=1,K21="SIM"),VLOOKUP(C21,'AUX5-CUSTOS'!$B$3:$O$14,12,FALSE))</f>
        <v>0</v>
      </c>
      <c r="Z21" s="521" t="b">
        <f>IF(AND(N21=1,L21="SIM"),VLOOKUP(C21,'AUX5-CUSTOS'!$B$3:$O$14,13,FALSE))</f>
        <v>0</v>
      </c>
      <c r="AB21" s="521">
        <f t="shared" si="2"/>
        <v>0</v>
      </c>
      <c r="AC21" s="49" t="b">
        <f>IF(N21=1,VLOOKUP(C21,'AUX5-CUSTOS'!$B$3:$S$14,15,FALSE))</f>
        <v>0</v>
      </c>
      <c r="AD21" s="49" t="b">
        <f>IF(N21=1,VLOOKUP(C21,'AUX5-CUSTOS'!$B$3:$S$14,16,FALSE))</f>
        <v>0</v>
      </c>
      <c r="AE21" s="49" t="b">
        <f>IF(N21=1,VLOOKUP(C21,'AUX5-CUSTOS'!$B$3:$S$14,17,FALSE))</f>
        <v>0</v>
      </c>
      <c r="AF21" s="49" t="b">
        <f>IF(N21=1,VLOOKUP(C21,'AUX5-CUSTOS'!$B$3:$S$14,18,FALSE))</f>
        <v>0</v>
      </c>
      <c r="AG21" t="b">
        <f>IF(N21=1,VLOOKUP(C21,'AUX5-CUSTOS'!$B$3:$T$14,19,FALSE))</f>
        <v>0</v>
      </c>
    </row>
    <row r="22" spans="1:33" x14ac:dyDescent="0.3">
      <c r="A22" s="515"/>
      <c r="B22" s="515"/>
      <c r="C22" s="515"/>
      <c r="D22" s="515"/>
      <c r="E22" s="515"/>
      <c r="F22" s="515"/>
      <c r="G22" s="515"/>
      <c r="H22" s="515"/>
      <c r="I22" s="515"/>
      <c r="J22" s="515"/>
      <c r="K22" s="515"/>
      <c r="L22" s="515"/>
      <c r="M22" t="str">
        <f t="shared" si="1"/>
        <v xml:space="preserve">; ; </v>
      </c>
      <c r="N22">
        <f t="shared" si="0"/>
        <v>0</v>
      </c>
      <c r="O22" s="522" t="b">
        <f>IF(N22=1,VLOOKUP(C22,'AUX5-CUSTOS'!$B$3:$O$14,2,),IF(N22=2,VLOOKUP(C22,'AUX5-CUSTOS'!$B$17:$O$34,2,),IF(N22=3,VLOOKUP(C22,'AUX5-CUSTOS'!$B$36:$O$53,2,))))</f>
        <v>0</v>
      </c>
      <c r="P22" s="522" t="b">
        <f>IF(AND(N22=1,E22="SIM"),VLOOKUP(C22,'AUX5-CUSTOS'!$B$3:$O$14,3,FALSE))</f>
        <v>0</v>
      </c>
      <c r="Q22" s="522" t="b">
        <f>IF(AND(N22=1,F22="1 MANUAL"),VLOOKUP(C22,'AUX5-CUSTOS'!$B$3:$O$14,4,FALSE))</f>
        <v>0</v>
      </c>
      <c r="R22" s="522" t="b">
        <f>IF(AND(N22=1,F22="2 MANUAIS"),VLOOKUP(C22,'AUX5-CUSTOS'!$B$3:$O$14,5,FALSE))</f>
        <v>0</v>
      </c>
      <c r="S22" s="522" t="b">
        <f>IF(AND(N22=1,F22="1 COM ATUADOR ON/OFF"),VLOOKUP(C22,'AUX5-CUSTOS'!$B$3:$O$14,6,FALSE))</f>
        <v>0</v>
      </c>
      <c r="T22" s="522" t="b">
        <f>IF(AND(N22=1,F22="2 COM ATUADORES ON/OFF"),VLOOKUP(C22,'AUX5-CUSTOS'!$B$3:$O$14,7,FALSE))</f>
        <v>0</v>
      </c>
      <c r="U22" s="522" t="b">
        <f>IF(AND(N22=1,G22="Eletrônico"),VLOOKUP(C22,'AUX5-CUSTOS'!$B$3:$O$14,8,FALSE))</f>
        <v>0</v>
      </c>
      <c r="V22" s="522" t="b">
        <f>IF(AND(N22=1,H22="Proporcional"),VLOOKUP(C22,'AUX5-CUSTOS'!$B$3:$O$14,9,FALSE))</f>
        <v>0</v>
      </c>
      <c r="W22" s="522" t="b">
        <f>IF(AND(N22=1,I22="SIM"),VLOOKUP(C22,'AUX5-CUSTOS'!$B$3:$O$14,10,FALSE))</f>
        <v>0</v>
      </c>
      <c r="X22" s="521" t="b">
        <f>IF(AND(N22=1,J22="SIM"),VLOOKUP(C22,'AUX5-CUSTOS'!$B$3:$O$14,11,FALSE))</f>
        <v>0</v>
      </c>
      <c r="Y22" s="521" t="b">
        <f>IF(AND(N22=1,K22="SIM"),VLOOKUP(C22,'AUX5-CUSTOS'!$B$3:$O$14,12,FALSE))</f>
        <v>0</v>
      </c>
      <c r="Z22" s="521" t="b">
        <f>IF(AND(N22=1,L22="SIM"),VLOOKUP(C22,'AUX5-CUSTOS'!$B$3:$O$14,13,FALSE))</f>
        <v>0</v>
      </c>
      <c r="AB22" s="521">
        <f t="shared" si="2"/>
        <v>0</v>
      </c>
      <c r="AC22" s="49" t="b">
        <f>IF(N22=1,VLOOKUP(C22,'AUX5-CUSTOS'!$B$3:$S$14,15,FALSE))</f>
        <v>0</v>
      </c>
      <c r="AD22" s="49" t="b">
        <f>IF(N22=1,VLOOKUP(C22,'AUX5-CUSTOS'!$B$3:$S$14,16,FALSE))</f>
        <v>0</v>
      </c>
      <c r="AE22" s="49" t="b">
        <f>IF(N22=1,VLOOKUP(C22,'AUX5-CUSTOS'!$B$3:$S$14,17,FALSE))</f>
        <v>0</v>
      </c>
      <c r="AF22" s="49" t="b">
        <f>IF(N22=1,VLOOKUP(C22,'AUX5-CUSTOS'!$B$3:$S$14,18,FALSE))</f>
        <v>0</v>
      </c>
      <c r="AG22" t="b">
        <f>IF(N22=1,VLOOKUP(C22,'AUX5-CUSTOS'!$B$3:$T$14,19,FALSE))</f>
        <v>0</v>
      </c>
    </row>
    <row r="23" spans="1:33" x14ac:dyDescent="0.3">
      <c r="A23" s="515"/>
      <c r="B23" s="515"/>
      <c r="C23" s="515"/>
      <c r="D23" s="515"/>
      <c r="E23" s="515"/>
      <c r="F23" s="515"/>
      <c r="G23" s="515"/>
      <c r="H23" s="515"/>
      <c r="I23" s="515"/>
      <c r="J23" s="515"/>
      <c r="K23" s="515"/>
      <c r="L23" s="515"/>
      <c r="M23" t="str">
        <f t="shared" si="1"/>
        <v xml:space="preserve">; ; </v>
      </c>
      <c r="N23">
        <f t="shared" si="0"/>
        <v>0</v>
      </c>
      <c r="O23" s="522" t="b">
        <f>IF(N23=1,VLOOKUP(C23,'AUX5-CUSTOS'!$B$3:$O$14,2,),IF(N23=2,VLOOKUP(C23,'AUX5-CUSTOS'!$B$17:$O$34,2,),IF(N23=3,VLOOKUP(C23,'AUX5-CUSTOS'!$B$36:$O$53,2,))))</f>
        <v>0</v>
      </c>
      <c r="P23" s="522" t="b">
        <f>IF(AND(N23=1,E23="SIM"),VLOOKUP(C23,'AUX5-CUSTOS'!$B$3:$O$14,3,FALSE))</f>
        <v>0</v>
      </c>
      <c r="Q23" s="522" t="b">
        <f>IF(AND(N23=1,F23="1 MANUAL"),VLOOKUP(C23,'AUX5-CUSTOS'!$B$3:$O$14,4,FALSE))</f>
        <v>0</v>
      </c>
      <c r="R23" s="522" t="b">
        <f>IF(AND(N23=1,F23="2 MANUAIS"),VLOOKUP(C23,'AUX5-CUSTOS'!$B$3:$O$14,5,FALSE))</f>
        <v>0</v>
      </c>
      <c r="S23" s="522" t="b">
        <f>IF(AND(N23=1,F23="1 COM ATUADOR ON/OFF"),VLOOKUP(C23,'AUX5-CUSTOS'!$B$3:$O$14,6,FALSE))</f>
        <v>0</v>
      </c>
      <c r="T23" s="522" t="b">
        <f>IF(AND(N23=1,F23="2 COM ATUADORES ON/OFF"),VLOOKUP(C23,'AUX5-CUSTOS'!$B$3:$O$14,7,FALSE))</f>
        <v>0</v>
      </c>
      <c r="U23" s="522" t="b">
        <f>IF(AND(N23=1,G23="Eletrônico"),VLOOKUP(C23,'AUX5-CUSTOS'!$B$3:$O$14,8,FALSE))</f>
        <v>0</v>
      </c>
      <c r="V23" s="522" t="b">
        <f>IF(AND(N23=1,H23="Proporcional"),VLOOKUP(C23,'AUX5-CUSTOS'!$B$3:$O$14,9,FALSE))</f>
        <v>0</v>
      </c>
      <c r="W23" s="522" t="b">
        <f>IF(AND(N23=1,I23="SIM"),VLOOKUP(C23,'AUX5-CUSTOS'!$B$3:$O$14,10,FALSE))</f>
        <v>0</v>
      </c>
      <c r="X23" s="521" t="b">
        <f>IF(AND(N23=1,J23="SIM"),VLOOKUP(C23,'AUX5-CUSTOS'!$B$3:$O$14,11,FALSE))</f>
        <v>0</v>
      </c>
      <c r="Y23" s="521" t="b">
        <f>IF(AND(N23=1,K23="SIM"),VLOOKUP(C23,'AUX5-CUSTOS'!$B$3:$O$14,12,FALSE))</f>
        <v>0</v>
      </c>
      <c r="Z23" s="521" t="b">
        <f>IF(AND(N23=1,L23="SIM"),VLOOKUP(C23,'AUX5-CUSTOS'!$B$3:$O$14,13,FALSE))</f>
        <v>0</v>
      </c>
      <c r="AB23" s="521">
        <f t="shared" si="2"/>
        <v>0</v>
      </c>
      <c r="AC23" s="49" t="b">
        <f>IF(N23=1,VLOOKUP(C23,'AUX5-CUSTOS'!$B$3:$S$14,15,FALSE))</f>
        <v>0</v>
      </c>
      <c r="AD23" s="49" t="b">
        <f>IF(N23=1,VLOOKUP(C23,'AUX5-CUSTOS'!$B$3:$S$14,16,FALSE))</f>
        <v>0</v>
      </c>
      <c r="AE23" s="49" t="b">
        <f>IF(N23=1,VLOOKUP(C23,'AUX5-CUSTOS'!$B$3:$S$14,17,FALSE))</f>
        <v>0</v>
      </c>
      <c r="AF23" s="49" t="b">
        <f>IF(N23=1,VLOOKUP(C23,'AUX5-CUSTOS'!$B$3:$S$14,18,FALSE))</f>
        <v>0</v>
      </c>
      <c r="AG23" t="b">
        <f>IF(N23=1,VLOOKUP(C23,'AUX5-CUSTOS'!$B$3:$T$14,19,FALSE))</f>
        <v>0</v>
      </c>
    </row>
    <row r="24" spans="1:33" x14ac:dyDescent="0.3">
      <c r="A24" s="515"/>
      <c r="B24" s="515"/>
      <c r="C24" s="515"/>
      <c r="D24" s="515"/>
      <c r="E24" s="515"/>
      <c r="F24" s="515"/>
      <c r="G24" s="515"/>
      <c r="H24" s="515"/>
      <c r="I24" s="515"/>
      <c r="J24" s="515"/>
      <c r="K24" s="515"/>
      <c r="L24" s="515"/>
      <c r="M24" t="str">
        <f t="shared" si="1"/>
        <v xml:space="preserve">; ; </v>
      </c>
      <c r="N24">
        <f t="shared" si="0"/>
        <v>0</v>
      </c>
      <c r="O24" s="522" t="b">
        <f>IF(N24=1,VLOOKUP(C24,'AUX5-CUSTOS'!$B$3:$O$14,2,),IF(N24=2,VLOOKUP(C24,'AUX5-CUSTOS'!$B$17:$O$34,2,),IF(N24=3,VLOOKUP(C24,'AUX5-CUSTOS'!$B$36:$O$53,2,))))</f>
        <v>0</v>
      </c>
      <c r="P24" s="522" t="b">
        <f>IF(AND(N24=1,E24="SIM"),VLOOKUP(C24,'AUX5-CUSTOS'!$B$3:$O$14,3,FALSE))</f>
        <v>0</v>
      </c>
      <c r="Q24" s="522" t="b">
        <f>IF(AND(N24=1,F24="1 MANUAL"),VLOOKUP(C24,'AUX5-CUSTOS'!$B$3:$O$14,4,FALSE))</f>
        <v>0</v>
      </c>
      <c r="R24" s="522" t="b">
        <f>IF(AND(N24=1,F24="2 MANUAIS"),VLOOKUP(C24,'AUX5-CUSTOS'!$B$3:$O$14,5,FALSE))</f>
        <v>0</v>
      </c>
      <c r="S24" s="522" t="b">
        <f>IF(AND(N24=1,F24="1 COM ATUADOR ON/OFF"),VLOOKUP(C24,'AUX5-CUSTOS'!$B$3:$O$14,6,FALSE))</f>
        <v>0</v>
      </c>
      <c r="T24" s="522" t="b">
        <f>IF(AND(N24=1,F24="2 COM ATUADORES ON/OFF"),VLOOKUP(C24,'AUX5-CUSTOS'!$B$3:$O$14,7,FALSE))</f>
        <v>0</v>
      </c>
      <c r="U24" s="522" t="b">
        <f>IF(AND(N24=1,G24="Eletrônico"),VLOOKUP(C24,'AUX5-CUSTOS'!$B$3:$O$14,8,FALSE))</f>
        <v>0</v>
      </c>
      <c r="V24" s="522" t="b">
        <f>IF(AND(N24=1,H24="Proporcional"),VLOOKUP(C24,'AUX5-CUSTOS'!$B$3:$O$14,9,FALSE))</f>
        <v>0</v>
      </c>
      <c r="W24" s="522" t="b">
        <f>IF(AND(N24=1,I24="SIM"),VLOOKUP(C24,'AUX5-CUSTOS'!$B$3:$O$14,10,FALSE))</f>
        <v>0</v>
      </c>
      <c r="X24" s="521" t="b">
        <f>IF(AND(N24=1,J24="SIM"),VLOOKUP(C24,'AUX5-CUSTOS'!$B$3:$O$14,11,FALSE))</f>
        <v>0</v>
      </c>
      <c r="Y24" s="521" t="b">
        <f>IF(AND(N24=1,K24="SIM"),VLOOKUP(C24,'AUX5-CUSTOS'!$B$3:$O$14,12,FALSE))</f>
        <v>0</v>
      </c>
      <c r="Z24" s="521" t="b">
        <f>IF(AND(N24=1,L24="SIM"),VLOOKUP(C24,'AUX5-CUSTOS'!$B$3:$O$14,13,FALSE))</f>
        <v>0</v>
      </c>
      <c r="AB24" s="521">
        <f t="shared" si="2"/>
        <v>0</v>
      </c>
      <c r="AC24" s="49" t="b">
        <f>IF(N24=1,VLOOKUP(C24,'AUX5-CUSTOS'!$B$3:$S$14,15,FALSE))</f>
        <v>0</v>
      </c>
      <c r="AD24" s="49" t="b">
        <f>IF(N24=1,VLOOKUP(C24,'AUX5-CUSTOS'!$B$3:$S$14,16,FALSE))</f>
        <v>0</v>
      </c>
      <c r="AE24" s="49" t="b">
        <f>IF(N24=1,VLOOKUP(C24,'AUX5-CUSTOS'!$B$3:$S$14,17,FALSE))</f>
        <v>0</v>
      </c>
      <c r="AF24" s="49" t="b">
        <f>IF(N24=1,VLOOKUP(C24,'AUX5-CUSTOS'!$B$3:$S$14,18,FALSE))</f>
        <v>0</v>
      </c>
      <c r="AG24" t="b">
        <f>IF(N24=1,VLOOKUP(C24,'AUX5-CUSTOS'!$B$3:$T$14,19,FALSE))</f>
        <v>0</v>
      </c>
    </row>
    <row r="25" spans="1:33" x14ac:dyDescent="0.3">
      <c r="A25" s="515"/>
      <c r="B25" s="515"/>
      <c r="C25" s="515"/>
      <c r="D25" s="515"/>
      <c r="E25" s="515"/>
      <c r="F25" s="515"/>
      <c r="G25" s="515"/>
      <c r="H25" s="515"/>
      <c r="I25" s="515"/>
      <c r="J25" s="515"/>
      <c r="K25" s="515"/>
      <c r="L25" s="515"/>
      <c r="M25" t="str">
        <f t="shared" si="1"/>
        <v xml:space="preserve">; ; </v>
      </c>
      <c r="N25">
        <f t="shared" si="0"/>
        <v>0</v>
      </c>
      <c r="O25" s="522" t="b">
        <f>IF(N25=1,VLOOKUP(C25,'AUX5-CUSTOS'!$B$3:$O$14,2,),IF(N25=2,VLOOKUP(C25,'AUX5-CUSTOS'!$B$17:$O$34,2,),IF(N25=3,VLOOKUP(C25,'AUX5-CUSTOS'!$B$36:$O$53,2,))))</f>
        <v>0</v>
      </c>
      <c r="P25" s="522" t="b">
        <f>IF(AND(N25=1,E25="SIM"),VLOOKUP(C25,'AUX5-CUSTOS'!$B$3:$O$14,3,FALSE))</f>
        <v>0</v>
      </c>
      <c r="Q25" s="522" t="b">
        <f>IF(AND(N25=1,F25="1 MANUAL"),VLOOKUP(C25,'AUX5-CUSTOS'!$B$3:$O$14,4,FALSE))</f>
        <v>0</v>
      </c>
      <c r="R25" s="522" t="b">
        <f>IF(AND(N25=1,F25="2 MANUAIS"),VLOOKUP(C25,'AUX5-CUSTOS'!$B$3:$O$14,5,FALSE))</f>
        <v>0</v>
      </c>
      <c r="S25" s="522" t="b">
        <f>IF(AND(N25=1,F25="1 COM ATUADOR ON/OFF"),VLOOKUP(C25,'AUX5-CUSTOS'!$B$3:$O$14,6,FALSE))</f>
        <v>0</v>
      </c>
      <c r="T25" s="522" t="b">
        <f>IF(AND(N25=1,F25="2 COM ATUADORES ON/OFF"),VLOOKUP(C25,'AUX5-CUSTOS'!$B$3:$O$14,7,FALSE))</f>
        <v>0</v>
      </c>
      <c r="U25" s="522" t="b">
        <f>IF(AND(N25=1,G25="Eletrônico"),VLOOKUP(C25,'AUX5-CUSTOS'!$B$3:$O$14,8,FALSE))</f>
        <v>0</v>
      </c>
      <c r="V25" s="522" t="b">
        <f>IF(AND(N25=1,H25="Proporcional"),VLOOKUP(C25,'AUX5-CUSTOS'!$B$3:$O$14,9,FALSE))</f>
        <v>0</v>
      </c>
      <c r="W25" s="522" t="b">
        <f>IF(AND(N25=1,I25="SIM"),VLOOKUP(C25,'AUX5-CUSTOS'!$B$3:$O$14,10,FALSE))</f>
        <v>0</v>
      </c>
      <c r="X25" s="521" t="b">
        <f>IF(AND(N25=1,J25="SIM"),VLOOKUP(C25,'AUX5-CUSTOS'!$B$3:$O$14,11,FALSE))</f>
        <v>0</v>
      </c>
      <c r="Y25" s="521" t="b">
        <f>IF(AND(N25=1,K25="SIM"),VLOOKUP(C25,'AUX5-CUSTOS'!$B$3:$O$14,12,FALSE))</f>
        <v>0</v>
      </c>
      <c r="Z25" s="521" t="b">
        <f>IF(AND(N25=1,L25="SIM"),VLOOKUP(C25,'AUX5-CUSTOS'!$B$3:$O$14,13,FALSE))</f>
        <v>0</v>
      </c>
      <c r="AB25" s="521">
        <f t="shared" si="2"/>
        <v>0</v>
      </c>
      <c r="AC25" s="49" t="b">
        <f>IF(N25=1,VLOOKUP(C25,'AUX5-CUSTOS'!$B$3:$S$14,15,FALSE))</f>
        <v>0</v>
      </c>
      <c r="AD25" s="49" t="b">
        <f>IF(N25=1,VLOOKUP(C25,'AUX5-CUSTOS'!$B$3:$S$14,16,FALSE))</f>
        <v>0</v>
      </c>
      <c r="AE25" s="49" t="b">
        <f>IF(N25=1,VLOOKUP(C25,'AUX5-CUSTOS'!$B$3:$S$14,17,FALSE))</f>
        <v>0</v>
      </c>
      <c r="AF25" s="49" t="b">
        <f>IF(N25=1,VLOOKUP(C25,'AUX5-CUSTOS'!$B$3:$S$14,18,FALSE))</f>
        <v>0</v>
      </c>
      <c r="AG25" t="b">
        <f>IF(N25=1,VLOOKUP(C25,'AUX5-CUSTOS'!$B$3:$T$14,19,FALSE))</f>
        <v>0</v>
      </c>
    </row>
    <row r="26" spans="1:33" x14ac:dyDescent="0.3">
      <c r="A26" s="515"/>
      <c r="B26" s="515"/>
      <c r="C26" s="515"/>
      <c r="D26" s="515"/>
      <c r="E26" s="515"/>
      <c r="F26" s="515"/>
      <c r="G26" s="515"/>
      <c r="H26" s="515"/>
      <c r="I26" s="515"/>
      <c r="J26" s="515"/>
      <c r="K26" s="515"/>
      <c r="L26" s="515"/>
      <c r="M26" t="str">
        <f t="shared" si="1"/>
        <v xml:space="preserve">; ; </v>
      </c>
      <c r="N26">
        <f t="shared" si="0"/>
        <v>0</v>
      </c>
      <c r="O26" s="522" t="b">
        <f>IF(N26=1,VLOOKUP(C26,'AUX5-CUSTOS'!$B$3:$O$14,2,),IF(N26=2,VLOOKUP(C26,'AUX5-CUSTOS'!$B$17:$O$34,2,),IF(N26=3,VLOOKUP(C26,'AUX5-CUSTOS'!$B$36:$O$53,2,))))</f>
        <v>0</v>
      </c>
      <c r="P26" s="522" t="b">
        <f>IF(AND(N26=1,E26="SIM"),VLOOKUP(C26,'AUX5-CUSTOS'!$B$3:$O$14,3,FALSE))</f>
        <v>0</v>
      </c>
      <c r="Q26" s="522" t="b">
        <f>IF(AND(N26=1,F26="1 MANUAL"),VLOOKUP(C26,'AUX5-CUSTOS'!$B$3:$O$14,4,FALSE))</f>
        <v>0</v>
      </c>
      <c r="R26" s="522" t="b">
        <f>IF(AND(N26=1,F26="2 MANUAIS"),VLOOKUP(C26,'AUX5-CUSTOS'!$B$3:$O$14,5,FALSE))</f>
        <v>0</v>
      </c>
      <c r="S26" s="522" t="b">
        <f>IF(AND(N26=1,F26="1 COM ATUADOR ON/OFF"),VLOOKUP(C26,'AUX5-CUSTOS'!$B$3:$O$14,6,FALSE))</f>
        <v>0</v>
      </c>
      <c r="T26" s="522" t="b">
        <f>IF(AND(N26=1,F26="2 COM ATUADORES ON/OFF"),VLOOKUP(C26,'AUX5-CUSTOS'!$B$3:$O$14,7,FALSE))</f>
        <v>0</v>
      </c>
      <c r="U26" s="522" t="b">
        <f>IF(AND(N26=1,G26="Eletrônico"),VLOOKUP(C26,'AUX5-CUSTOS'!$B$3:$O$14,8,FALSE))</f>
        <v>0</v>
      </c>
      <c r="V26" s="522" t="b">
        <f>IF(AND(N26=1,H26="Proporcional"),VLOOKUP(C26,'AUX5-CUSTOS'!$B$3:$O$14,9,FALSE))</f>
        <v>0</v>
      </c>
      <c r="W26" s="522" t="b">
        <f>IF(AND(N26=1,I26="SIM"),VLOOKUP(C26,'AUX5-CUSTOS'!$B$3:$O$14,10,FALSE))</f>
        <v>0</v>
      </c>
      <c r="X26" s="521" t="b">
        <f>IF(AND(N26=1,J26="SIM"),VLOOKUP(C26,'AUX5-CUSTOS'!$B$3:$O$14,11,FALSE))</f>
        <v>0</v>
      </c>
      <c r="Y26" s="521" t="b">
        <f>IF(AND(N26=1,K26="SIM"),VLOOKUP(C26,'AUX5-CUSTOS'!$B$3:$O$14,12,FALSE))</f>
        <v>0</v>
      </c>
      <c r="Z26" s="521" t="b">
        <f>IF(AND(N26=1,L26="SIM"),VLOOKUP(C26,'AUX5-CUSTOS'!$B$3:$O$14,13,FALSE))</f>
        <v>0</v>
      </c>
      <c r="AB26" s="521">
        <f t="shared" si="2"/>
        <v>0</v>
      </c>
      <c r="AC26" s="49" t="b">
        <f>IF(N26=1,VLOOKUP(C26,'AUX5-CUSTOS'!$B$3:$S$14,15,FALSE))</f>
        <v>0</v>
      </c>
      <c r="AD26" s="49" t="b">
        <f>IF(N26=1,VLOOKUP(C26,'AUX5-CUSTOS'!$B$3:$S$14,16,FALSE))</f>
        <v>0</v>
      </c>
      <c r="AE26" s="49" t="b">
        <f>IF(N26=1,VLOOKUP(C26,'AUX5-CUSTOS'!$B$3:$S$14,17,FALSE))</f>
        <v>0</v>
      </c>
      <c r="AF26" s="49" t="b">
        <f>IF(N26=1,VLOOKUP(C26,'AUX5-CUSTOS'!$B$3:$S$14,18,FALSE))</f>
        <v>0</v>
      </c>
      <c r="AG26" t="b">
        <f>IF(N26=1,VLOOKUP(C26,'AUX5-CUSTOS'!$B$3:$T$14,19,FALSE))</f>
        <v>0</v>
      </c>
    </row>
    <row r="27" spans="1:33" x14ac:dyDescent="0.3">
      <c r="A27" s="515"/>
      <c r="B27" s="515"/>
      <c r="C27" s="515"/>
      <c r="D27" s="515"/>
      <c r="E27" s="515"/>
      <c r="F27" s="515"/>
      <c r="G27" s="515"/>
      <c r="H27" s="515"/>
      <c r="I27" s="515"/>
      <c r="J27" s="515"/>
      <c r="K27" s="515"/>
      <c r="L27" s="515"/>
      <c r="M27" t="str">
        <f t="shared" si="1"/>
        <v xml:space="preserve">; ; </v>
      </c>
      <c r="N27">
        <f t="shared" si="0"/>
        <v>0</v>
      </c>
      <c r="O27" s="522" t="b">
        <f>IF(N27=1,VLOOKUP(C27,'AUX5-CUSTOS'!$B$3:$O$14,2,),IF(N27=2,VLOOKUP(C27,'AUX5-CUSTOS'!$B$17:$O$34,2,),IF(N27=3,VLOOKUP(C27,'AUX5-CUSTOS'!$B$36:$O$53,2,))))</f>
        <v>0</v>
      </c>
      <c r="P27" s="522" t="b">
        <f>IF(AND(N27=1,E27="SIM"),VLOOKUP(C27,'AUX5-CUSTOS'!$B$3:$O$14,3,FALSE))</f>
        <v>0</v>
      </c>
      <c r="Q27" s="522" t="b">
        <f>IF(AND(N27=1,F27="1 MANUAL"),VLOOKUP(C27,'AUX5-CUSTOS'!$B$3:$O$14,4,FALSE))</f>
        <v>0</v>
      </c>
      <c r="R27" s="522" t="b">
        <f>IF(AND(N27=1,F27="2 MANUAIS"),VLOOKUP(C27,'AUX5-CUSTOS'!$B$3:$O$14,5,FALSE))</f>
        <v>0</v>
      </c>
      <c r="S27" s="522" t="b">
        <f>IF(AND(N27=1,F27="1 COM ATUADOR ON/OFF"),VLOOKUP(C27,'AUX5-CUSTOS'!$B$3:$O$14,6,FALSE))</f>
        <v>0</v>
      </c>
      <c r="T27" s="522" t="b">
        <f>IF(AND(N27=1,F27="2 COM ATUADORES ON/OFF"),VLOOKUP(C27,'AUX5-CUSTOS'!$B$3:$O$14,7,FALSE))</f>
        <v>0</v>
      </c>
      <c r="U27" s="522" t="b">
        <f>IF(AND(N27=1,G27="Eletrônico"),VLOOKUP(C27,'AUX5-CUSTOS'!$B$3:$O$14,8,FALSE))</f>
        <v>0</v>
      </c>
      <c r="V27" s="522" t="b">
        <f>IF(AND(N27=1,H27="Proporcional"),VLOOKUP(C27,'AUX5-CUSTOS'!$B$3:$O$14,9,FALSE))</f>
        <v>0</v>
      </c>
      <c r="W27" s="522" t="b">
        <f>IF(AND(N27=1,I27="SIM"),VLOOKUP(C27,'AUX5-CUSTOS'!$B$3:$O$14,10,FALSE))</f>
        <v>0</v>
      </c>
      <c r="X27" s="521" t="b">
        <f>IF(AND(N27=1,J27="SIM"),VLOOKUP(C27,'AUX5-CUSTOS'!$B$3:$O$14,11,FALSE))</f>
        <v>0</v>
      </c>
      <c r="Y27" s="521" t="b">
        <f>IF(AND(N27=1,K27="SIM"),VLOOKUP(C27,'AUX5-CUSTOS'!$B$3:$O$14,12,FALSE))</f>
        <v>0</v>
      </c>
      <c r="Z27" s="521" t="b">
        <f>IF(AND(N27=1,L27="SIM"),VLOOKUP(C27,'AUX5-CUSTOS'!$B$3:$O$14,13,FALSE))</f>
        <v>0</v>
      </c>
      <c r="AB27" s="521">
        <f t="shared" si="2"/>
        <v>0</v>
      </c>
      <c r="AC27" s="49" t="b">
        <f>IF(N27=1,VLOOKUP(C27,'AUX5-CUSTOS'!$B$3:$S$14,15,FALSE))</f>
        <v>0</v>
      </c>
      <c r="AD27" s="49" t="b">
        <f>IF(N27=1,VLOOKUP(C27,'AUX5-CUSTOS'!$B$3:$S$14,16,FALSE))</f>
        <v>0</v>
      </c>
      <c r="AE27" s="49" t="b">
        <f>IF(N27=1,VLOOKUP(C27,'AUX5-CUSTOS'!$B$3:$S$14,17,FALSE))</f>
        <v>0</v>
      </c>
      <c r="AF27" s="49" t="b">
        <f>IF(N27=1,VLOOKUP(C27,'AUX5-CUSTOS'!$B$3:$S$14,18,FALSE))</f>
        <v>0</v>
      </c>
      <c r="AG27" t="b">
        <f>IF(N27=1,VLOOKUP(C27,'AUX5-CUSTOS'!$B$3:$T$14,19,FALSE))</f>
        <v>0</v>
      </c>
    </row>
    <row r="28" spans="1:33" x14ac:dyDescent="0.3">
      <c r="A28" s="515"/>
      <c r="B28" s="515"/>
      <c r="C28" s="515"/>
      <c r="D28" s="515"/>
      <c r="E28" s="515"/>
      <c r="F28" s="515"/>
      <c r="G28" s="515"/>
      <c r="H28" s="515"/>
      <c r="I28" s="515"/>
      <c r="J28" s="515"/>
      <c r="K28" s="515"/>
      <c r="L28" s="515"/>
      <c r="M28" t="str">
        <f t="shared" si="1"/>
        <v xml:space="preserve">; ; </v>
      </c>
      <c r="N28">
        <f t="shared" si="0"/>
        <v>0</v>
      </c>
      <c r="O28" s="522" t="b">
        <f>IF(N28=1,VLOOKUP(C28,'AUX5-CUSTOS'!$B$3:$O$14,2,),IF(N28=2,VLOOKUP(C28,'AUX5-CUSTOS'!$B$17:$O$34,2,),IF(N28=3,VLOOKUP(C28,'AUX5-CUSTOS'!$B$36:$O$53,2,))))</f>
        <v>0</v>
      </c>
      <c r="P28" s="522" t="b">
        <f>IF(AND(N28=1,E28="SIM"),VLOOKUP(C28,'AUX5-CUSTOS'!$B$3:$O$14,3,FALSE))</f>
        <v>0</v>
      </c>
      <c r="Q28" s="522" t="b">
        <f>IF(AND(N28=1,F28="1 MANUAL"),VLOOKUP(C28,'AUX5-CUSTOS'!$B$3:$O$14,4,FALSE))</f>
        <v>0</v>
      </c>
      <c r="R28" s="522" t="b">
        <f>IF(AND(N28=1,F28="2 MANUAIS"),VLOOKUP(C28,'AUX5-CUSTOS'!$B$3:$O$14,5,FALSE))</f>
        <v>0</v>
      </c>
      <c r="S28" s="522" t="b">
        <f>IF(AND(N28=1,F28="1 COM ATUADOR ON/OFF"),VLOOKUP(C28,'AUX5-CUSTOS'!$B$3:$O$14,6,FALSE))</f>
        <v>0</v>
      </c>
      <c r="T28" s="522" t="b">
        <f>IF(AND(N28=1,F28="2 COM ATUADORES ON/OFF"),VLOOKUP(C28,'AUX5-CUSTOS'!$B$3:$O$14,7,FALSE))</f>
        <v>0</v>
      </c>
      <c r="U28" s="522" t="b">
        <f>IF(AND(N28=1,G28="Eletrônico"),VLOOKUP(C28,'AUX5-CUSTOS'!$B$3:$O$14,8,FALSE))</f>
        <v>0</v>
      </c>
      <c r="V28" s="522" t="b">
        <f>IF(AND(N28=1,H28="Proporcional"),VLOOKUP(C28,'AUX5-CUSTOS'!$B$3:$O$14,9,FALSE))</f>
        <v>0</v>
      </c>
      <c r="W28" s="522" t="b">
        <f>IF(AND(N28=1,I28="SIM"),VLOOKUP(C28,'AUX5-CUSTOS'!$B$3:$O$14,10,FALSE))</f>
        <v>0</v>
      </c>
      <c r="X28" s="521" t="b">
        <f>IF(AND(N28=1,J28="SIM"),VLOOKUP(C28,'AUX5-CUSTOS'!$B$3:$O$14,11,FALSE))</f>
        <v>0</v>
      </c>
      <c r="Y28" s="521" t="b">
        <f>IF(AND(N28=1,K28="SIM"),VLOOKUP(C28,'AUX5-CUSTOS'!$B$3:$O$14,12,FALSE))</f>
        <v>0</v>
      </c>
      <c r="Z28" s="521" t="b">
        <f>IF(AND(N28=1,L28="SIM"),VLOOKUP(C28,'AUX5-CUSTOS'!$B$3:$O$14,13,FALSE))</f>
        <v>0</v>
      </c>
      <c r="AB28" s="521">
        <f t="shared" si="2"/>
        <v>0</v>
      </c>
      <c r="AC28" s="49" t="b">
        <f>IF(N28=1,VLOOKUP(C28,'AUX5-CUSTOS'!$B$3:$S$14,15,FALSE))</f>
        <v>0</v>
      </c>
      <c r="AD28" s="49" t="b">
        <f>IF(N28=1,VLOOKUP(C28,'AUX5-CUSTOS'!$B$3:$S$14,16,FALSE))</f>
        <v>0</v>
      </c>
      <c r="AE28" s="49" t="b">
        <f>IF(N28=1,VLOOKUP(C28,'AUX5-CUSTOS'!$B$3:$S$14,17,FALSE))</f>
        <v>0</v>
      </c>
      <c r="AF28" s="49" t="b">
        <f>IF(N28=1,VLOOKUP(C28,'AUX5-CUSTOS'!$B$3:$S$14,18,FALSE))</f>
        <v>0</v>
      </c>
      <c r="AG28" t="b">
        <f>IF(N28=1,VLOOKUP(C28,'AUX5-CUSTOS'!$B$3:$T$14,19,FALSE))</f>
        <v>0</v>
      </c>
    </row>
    <row r="29" spans="1:33" x14ac:dyDescent="0.3">
      <c r="A29" s="515"/>
      <c r="B29" s="515"/>
      <c r="C29" s="515"/>
      <c r="D29" s="515"/>
      <c r="E29" s="515"/>
      <c r="F29" s="515"/>
      <c r="G29" s="515"/>
      <c r="H29" s="515"/>
      <c r="I29" s="515"/>
      <c r="J29" s="515"/>
      <c r="K29" s="515"/>
      <c r="L29" s="515"/>
      <c r="M29" t="str">
        <f t="shared" si="1"/>
        <v xml:space="preserve">; ; </v>
      </c>
      <c r="N29">
        <f t="shared" si="0"/>
        <v>0</v>
      </c>
      <c r="O29" s="522" t="b">
        <f>IF(N29=1,VLOOKUP(C29,'AUX5-CUSTOS'!$B$3:$O$14,2,),IF(N29=2,VLOOKUP(C29,'AUX5-CUSTOS'!$B$17:$O$34,2,),IF(N29=3,VLOOKUP(C29,'AUX5-CUSTOS'!$B$36:$O$53,2,))))</f>
        <v>0</v>
      </c>
      <c r="P29" s="522" t="b">
        <f>IF(AND(N29=1,E29="SIM"),VLOOKUP(C29,'AUX5-CUSTOS'!$B$3:$O$14,3,FALSE))</f>
        <v>0</v>
      </c>
      <c r="Q29" s="522" t="b">
        <f>IF(AND(N29=1,F29="1 MANUAL"),VLOOKUP(C29,'AUX5-CUSTOS'!$B$3:$O$14,4,FALSE))</f>
        <v>0</v>
      </c>
      <c r="R29" s="522" t="b">
        <f>IF(AND(N29=1,F29="2 MANUAIS"),VLOOKUP(C29,'AUX5-CUSTOS'!$B$3:$O$14,5,FALSE))</f>
        <v>0</v>
      </c>
      <c r="S29" s="522" t="b">
        <f>IF(AND(N29=1,F29="1 COM ATUADOR ON/OFF"),VLOOKUP(C29,'AUX5-CUSTOS'!$B$3:$O$14,6,FALSE))</f>
        <v>0</v>
      </c>
      <c r="T29" s="522" t="b">
        <f>IF(AND(N29=1,F29="2 COM ATUADORES ON/OFF"),VLOOKUP(C29,'AUX5-CUSTOS'!$B$3:$O$14,7,FALSE))</f>
        <v>0</v>
      </c>
      <c r="U29" s="522" t="b">
        <f>IF(AND(N29=1,G29="Eletrônico"),VLOOKUP(C29,'AUX5-CUSTOS'!$B$3:$O$14,8,FALSE))</f>
        <v>0</v>
      </c>
      <c r="V29" s="522" t="b">
        <f>IF(AND(N29=1,H29="Proporcional"),VLOOKUP(C29,'AUX5-CUSTOS'!$B$3:$O$14,9,FALSE))</f>
        <v>0</v>
      </c>
      <c r="W29" s="522" t="b">
        <f>IF(AND(N29=1,I29="SIM"),VLOOKUP(C29,'AUX5-CUSTOS'!$B$3:$O$14,10,FALSE))</f>
        <v>0</v>
      </c>
      <c r="X29" s="521" t="b">
        <f>IF(AND(N29=1,J29="SIM"),VLOOKUP(C29,'AUX5-CUSTOS'!$B$3:$O$14,11,FALSE))</f>
        <v>0</v>
      </c>
      <c r="Y29" s="521" t="b">
        <f>IF(AND(N29=1,K29="SIM"),VLOOKUP(C29,'AUX5-CUSTOS'!$B$3:$O$14,12,FALSE))</f>
        <v>0</v>
      </c>
      <c r="Z29" s="521" t="b">
        <f>IF(AND(N29=1,L29="SIM"),VLOOKUP(C29,'AUX5-CUSTOS'!$B$3:$O$14,13,FALSE))</f>
        <v>0</v>
      </c>
      <c r="AB29" s="521">
        <f t="shared" si="2"/>
        <v>0</v>
      </c>
      <c r="AC29" s="49" t="b">
        <f>IF(N29=1,VLOOKUP(C29,'AUX5-CUSTOS'!$B$3:$S$14,15,FALSE))</f>
        <v>0</v>
      </c>
      <c r="AD29" s="49" t="b">
        <f>IF(N29=1,VLOOKUP(C29,'AUX5-CUSTOS'!$B$3:$S$14,16,FALSE))</f>
        <v>0</v>
      </c>
      <c r="AE29" s="49" t="b">
        <f>IF(N29=1,VLOOKUP(C29,'AUX5-CUSTOS'!$B$3:$S$14,17,FALSE))</f>
        <v>0</v>
      </c>
      <c r="AF29" s="49" t="b">
        <f>IF(N29=1,VLOOKUP(C29,'AUX5-CUSTOS'!$B$3:$S$14,18,FALSE))</f>
        <v>0</v>
      </c>
      <c r="AG29" t="b">
        <f>IF(N29=1,VLOOKUP(C29,'AUX5-CUSTOS'!$B$3:$T$14,19,FALSE))</f>
        <v>0</v>
      </c>
    </row>
    <row r="30" spans="1:33" x14ac:dyDescent="0.3">
      <c r="A30" s="515"/>
      <c r="B30" s="515"/>
      <c r="C30" s="515"/>
      <c r="D30" s="515"/>
      <c r="E30" s="515"/>
      <c r="F30" s="515"/>
      <c r="G30" s="515"/>
      <c r="H30" s="515"/>
      <c r="I30" s="515"/>
      <c r="J30" s="515"/>
      <c r="K30" s="515"/>
      <c r="L30" s="515"/>
      <c r="M30" t="str">
        <f t="shared" si="1"/>
        <v xml:space="preserve">; ; </v>
      </c>
      <c r="N30">
        <f t="shared" si="0"/>
        <v>0</v>
      </c>
      <c r="O30" s="522" t="b">
        <f>IF(N30=1,VLOOKUP(C30,'AUX5-CUSTOS'!$B$3:$O$14,2,),IF(N30=2,VLOOKUP(C30,'AUX5-CUSTOS'!$B$17:$O$34,2,),IF(N30=3,VLOOKUP(C30,'AUX5-CUSTOS'!$B$36:$O$53,2,))))</f>
        <v>0</v>
      </c>
      <c r="P30" s="522" t="b">
        <f>IF(AND(N30=1,E30="SIM"),VLOOKUP(C30,'AUX5-CUSTOS'!$B$3:$O$14,3,FALSE))</f>
        <v>0</v>
      </c>
      <c r="Q30" s="522" t="b">
        <f>IF(AND(N30=1,F30="1 MANUAL"),VLOOKUP(C30,'AUX5-CUSTOS'!$B$3:$O$14,4,FALSE))</f>
        <v>0</v>
      </c>
      <c r="R30" s="522" t="b">
        <f>IF(AND(N30=1,F30="2 MANUAIS"),VLOOKUP(C30,'AUX5-CUSTOS'!$B$3:$O$14,5,FALSE))</f>
        <v>0</v>
      </c>
      <c r="S30" s="522" t="b">
        <f>IF(AND(N30=1,F30="1 COM ATUADOR ON/OFF"),VLOOKUP(C30,'AUX5-CUSTOS'!$B$3:$O$14,6,FALSE))</f>
        <v>0</v>
      </c>
      <c r="T30" s="522" t="b">
        <f>IF(AND(N30=1,F30="2 COM ATUADORES ON/OFF"),VLOOKUP(C30,'AUX5-CUSTOS'!$B$3:$O$14,7,FALSE))</f>
        <v>0</v>
      </c>
      <c r="U30" s="522" t="b">
        <f>IF(AND(N30=1,G30="Eletrônico"),VLOOKUP(C30,'AUX5-CUSTOS'!$B$3:$O$14,8,FALSE))</f>
        <v>0</v>
      </c>
      <c r="V30" s="522" t="b">
        <f>IF(AND(N30=1,H30="Proporcional"),VLOOKUP(C30,'AUX5-CUSTOS'!$B$3:$O$14,9,FALSE))</f>
        <v>0</v>
      </c>
      <c r="W30" s="522" t="b">
        <f>IF(AND(N30=1,I30="SIM"),VLOOKUP(C30,'AUX5-CUSTOS'!$B$3:$O$14,10,FALSE))</f>
        <v>0</v>
      </c>
      <c r="X30" s="521" t="b">
        <f>IF(AND(N30=1,J30="SIM"),VLOOKUP(C30,'AUX5-CUSTOS'!$B$3:$O$14,11,FALSE))</f>
        <v>0</v>
      </c>
      <c r="Y30" s="521" t="b">
        <f>IF(AND(N30=1,K30="SIM"),VLOOKUP(C30,'AUX5-CUSTOS'!$B$3:$O$14,12,FALSE))</f>
        <v>0</v>
      </c>
      <c r="Z30" s="521" t="b">
        <f>IF(AND(N30=1,L30="SIM"),VLOOKUP(C30,'AUX5-CUSTOS'!$B$3:$O$14,13,FALSE))</f>
        <v>0</v>
      </c>
      <c r="AB30" s="521">
        <f t="shared" si="2"/>
        <v>0</v>
      </c>
      <c r="AC30" s="49" t="b">
        <f>IF(N30=1,VLOOKUP(C30,'AUX5-CUSTOS'!$B$3:$S$14,15,FALSE))</f>
        <v>0</v>
      </c>
      <c r="AD30" s="49" t="b">
        <f>IF(N30=1,VLOOKUP(C30,'AUX5-CUSTOS'!$B$3:$S$14,16,FALSE))</f>
        <v>0</v>
      </c>
      <c r="AE30" s="49" t="b">
        <f>IF(N30=1,VLOOKUP(C30,'AUX5-CUSTOS'!$B$3:$S$14,17,FALSE))</f>
        <v>0</v>
      </c>
      <c r="AF30" s="49" t="b">
        <f>IF(N30=1,VLOOKUP(C30,'AUX5-CUSTOS'!$B$3:$S$14,18,FALSE))</f>
        <v>0</v>
      </c>
      <c r="AG30" t="b">
        <f>IF(N30=1,VLOOKUP(C30,'AUX5-CUSTOS'!$B$3:$T$14,19,FALSE))</f>
        <v>0</v>
      </c>
    </row>
    <row r="31" spans="1:33" x14ac:dyDescent="0.3">
      <c r="A31" s="515"/>
      <c r="B31" s="515"/>
      <c r="C31" s="515"/>
      <c r="D31" s="515"/>
      <c r="E31" s="515"/>
      <c r="F31" s="515"/>
      <c r="G31" s="515"/>
      <c r="H31" s="515"/>
      <c r="I31" s="515"/>
      <c r="J31" s="515"/>
      <c r="K31" s="515"/>
      <c r="L31" s="515"/>
      <c r="M31" t="str">
        <f t="shared" si="1"/>
        <v xml:space="preserve">; ; </v>
      </c>
      <c r="N31">
        <f t="shared" si="0"/>
        <v>0</v>
      </c>
      <c r="O31" s="522" t="b">
        <f>IF(N31=1,VLOOKUP(C31,'AUX5-CUSTOS'!$B$3:$O$14,2,),IF(N31=2,VLOOKUP(C31,'AUX5-CUSTOS'!$B$17:$O$34,2,),IF(N31=3,VLOOKUP(C31,'AUX5-CUSTOS'!$B$36:$O$53,2,))))</f>
        <v>0</v>
      </c>
      <c r="P31" s="522" t="b">
        <f>IF(AND(N31=1,E31="SIM"),VLOOKUP(C31,'AUX5-CUSTOS'!$B$3:$O$14,3,FALSE))</f>
        <v>0</v>
      </c>
      <c r="Q31" s="522" t="b">
        <f>IF(AND(N31=1,F31="1 MANUAL"),VLOOKUP(C31,'AUX5-CUSTOS'!$B$3:$O$14,4,FALSE))</f>
        <v>0</v>
      </c>
      <c r="R31" s="522" t="b">
        <f>IF(AND(N31=1,F31="2 MANUAIS"),VLOOKUP(C31,'AUX5-CUSTOS'!$B$3:$O$14,5,FALSE))</f>
        <v>0</v>
      </c>
      <c r="S31" s="522" t="b">
        <f>IF(AND(N31=1,F31="1 COM ATUADOR ON/OFF"),VLOOKUP(C31,'AUX5-CUSTOS'!$B$3:$O$14,6,FALSE))</f>
        <v>0</v>
      </c>
      <c r="T31" s="522" t="b">
        <f>IF(AND(N31=1,F31="2 COM ATUADORES ON/OFF"),VLOOKUP(C31,'AUX5-CUSTOS'!$B$3:$O$14,7,FALSE))</f>
        <v>0</v>
      </c>
      <c r="U31" s="522" t="b">
        <f>IF(AND(N31=1,G31="Eletrônico"),VLOOKUP(C31,'AUX5-CUSTOS'!$B$3:$O$14,8,FALSE))</f>
        <v>0</v>
      </c>
      <c r="V31" s="522" t="b">
        <f>IF(AND(N31=1,H31="Proporcional"),VLOOKUP(C31,'AUX5-CUSTOS'!$B$3:$O$14,9,FALSE))</f>
        <v>0</v>
      </c>
      <c r="W31" s="522" t="b">
        <f>IF(AND(N31=1,I31="SIM"),VLOOKUP(C31,'AUX5-CUSTOS'!$B$3:$O$14,10,FALSE))</f>
        <v>0</v>
      </c>
      <c r="X31" s="521" t="b">
        <f>IF(AND(N31=1,J31="SIM"),VLOOKUP(C31,'AUX5-CUSTOS'!$B$3:$O$14,11,FALSE))</f>
        <v>0</v>
      </c>
      <c r="Y31" s="521" t="b">
        <f>IF(AND(N31=1,K31="SIM"),VLOOKUP(C31,'AUX5-CUSTOS'!$B$3:$O$14,12,FALSE))</f>
        <v>0</v>
      </c>
      <c r="Z31" s="521" t="b">
        <f>IF(AND(N31=1,L31="SIM"),VLOOKUP(C31,'AUX5-CUSTOS'!$B$3:$O$14,13,FALSE))</f>
        <v>0</v>
      </c>
      <c r="AB31" s="521">
        <f t="shared" si="2"/>
        <v>0</v>
      </c>
      <c r="AC31" s="49" t="b">
        <f>IF(N31=1,VLOOKUP(C31,'AUX5-CUSTOS'!$B$3:$S$14,15,FALSE))</f>
        <v>0</v>
      </c>
      <c r="AD31" s="49" t="b">
        <f>IF(N31=1,VLOOKUP(C31,'AUX5-CUSTOS'!$B$3:$S$14,16,FALSE))</f>
        <v>0</v>
      </c>
      <c r="AE31" s="49" t="b">
        <f>IF(N31=1,VLOOKUP(C31,'AUX5-CUSTOS'!$B$3:$S$14,17,FALSE))</f>
        <v>0</v>
      </c>
      <c r="AF31" s="49" t="b">
        <f>IF(N31=1,VLOOKUP(C31,'AUX5-CUSTOS'!$B$3:$S$14,18,FALSE))</f>
        <v>0</v>
      </c>
      <c r="AG31" t="b">
        <f>IF(N31=1,VLOOKUP(C31,'AUX5-CUSTOS'!$B$3:$T$14,19,FALSE))</f>
        <v>0</v>
      </c>
    </row>
    <row r="32" spans="1:33" x14ac:dyDescent="0.3">
      <c r="A32" s="515"/>
      <c r="B32" s="515"/>
      <c r="C32" s="515"/>
      <c r="D32" s="515"/>
      <c r="E32" s="515"/>
      <c r="F32" s="515"/>
      <c r="G32" s="515"/>
      <c r="H32" s="515"/>
      <c r="I32" s="515"/>
      <c r="J32" s="515"/>
      <c r="K32" s="515"/>
      <c r="L32" s="515"/>
      <c r="M32" t="str">
        <f t="shared" si="1"/>
        <v xml:space="preserve">; ; </v>
      </c>
      <c r="N32">
        <f t="shared" si="0"/>
        <v>0</v>
      </c>
      <c r="O32" s="522" t="b">
        <f>IF(N32=1,VLOOKUP(C32,'AUX5-CUSTOS'!$B$3:$O$14,2,),IF(N32=2,VLOOKUP(C32,'AUX5-CUSTOS'!$B$17:$O$34,2,),IF(N32=3,VLOOKUP(C32,'AUX5-CUSTOS'!$B$36:$O$53,2,))))</f>
        <v>0</v>
      </c>
      <c r="P32" s="522" t="b">
        <f>IF(AND(N32=1,E32="SIM"),VLOOKUP(C32,'AUX5-CUSTOS'!$B$3:$O$14,3,FALSE))</f>
        <v>0</v>
      </c>
      <c r="Q32" s="522" t="b">
        <f>IF(AND(N32=1,F32="1 MANUAL"),VLOOKUP(C32,'AUX5-CUSTOS'!$B$3:$O$14,4,FALSE))</f>
        <v>0</v>
      </c>
      <c r="R32" s="522" t="b">
        <f>IF(AND(N32=1,F32="2 MANUAIS"),VLOOKUP(C32,'AUX5-CUSTOS'!$B$3:$O$14,5,FALSE))</f>
        <v>0</v>
      </c>
      <c r="S32" s="522" t="b">
        <f>IF(AND(N32=1,F32="1 COM ATUADOR ON/OFF"),VLOOKUP(C32,'AUX5-CUSTOS'!$B$3:$O$14,6,FALSE))</f>
        <v>0</v>
      </c>
      <c r="T32" s="522" t="b">
        <f>IF(AND(N32=1,F32="2 COM ATUADORES ON/OFF"),VLOOKUP(C32,'AUX5-CUSTOS'!$B$3:$O$14,7,FALSE))</f>
        <v>0</v>
      </c>
      <c r="U32" s="522" t="b">
        <f>IF(AND(N32=1,G32="Eletrônico"),VLOOKUP(C32,'AUX5-CUSTOS'!$B$3:$O$14,8,FALSE))</f>
        <v>0</v>
      </c>
      <c r="V32" s="522" t="b">
        <f>IF(AND(N32=1,H32="Proporcional"),VLOOKUP(C32,'AUX5-CUSTOS'!$B$3:$O$14,9,FALSE))</f>
        <v>0</v>
      </c>
      <c r="W32" s="522" t="b">
        <f>IF(AND(N32=1,I32="SIM"),VLOOKUP(C32,'AUX5-CUSTOS'!$B$3:$O$14,10,FALSE))</f>
        <v>0</v>
      </c>
      <c r="X32" s="521" t="b">
        <f>IF(AND(N32=1,J32="SIM"),VLOOKUP(C32,'AUX5-CUSTOS'!$B$3:$O$14,11,FALSE))</f>
        <v>0</v>
      </c>
      <c r="Y32" s="521" t="b">
        <f>IF(AND(N32=1,K32="SIM"),VLOOKUP(C32,'AUX5-CUSTOS'!$B$3:$O$14,12,FALSE))</f>
        <v>0</v>
      </c>
      <c r="Z32" s="521" t="b">
        <f>IF(AND(N32=1,L32="SIM"),VLOOKUP(C32,'AUX5-CUSTOS'!$B$3:$O$14,13,FALSE))</f>
        <v>0</v>
      </c>
      <c r="AB32" s="521">
        <f t="shared" si="2"/>
        <v>0</v>
      </c>
      <c r="AC32" s="49" t="b">
        <f>IF(N32=1,VLOOKUP(C32,'AUX5-CUSTOS'!$B$3:$S$14,15,FALSE))</f>
        <v>0</v>
      </c>
      <c r="AD32" s="49" t="b">
        <f>IF(N32=1,VLOOKUP(C32,'AUX5-CUSTOS'!$B$3:$S$14,16,FALSE))</f>
        <v>0</v>
      </c>
      <c r="AE32" s="49" t="b">
        <f>IF(N32=1,VLOOKUP(C32,'AUX5-CUSTOS'!$B$3:$S$14,17,FALSE))</f>
        <v>0</v>
      </c>
      <c r="AF32" s="49" t="b">
        <f>IF(N32=1,VLOOKUP(C32,'AUX5-CUSTOS'!$B$3:$S$14,18,FALSE))</f>
        <v>0</v>
      </c>
      <c r="AG32" t="b">
        <f>IF(N32=1,VLOOKUP(C32,'AUX5-CUSTOS'!$B$3:$T$14,19,FALSE))</f>
        <v>0</v>
      </c>
    </row>
    <row r="33" spans="1:33" x14ac:dyDescent="0.3">
      <c r="A33" s="515"/>
      <c r="B33" s="515"/>
      <c r="C33" s="515"/>
      <c r="D33" s="515"/>
      <c r="E33" s="515"/>
      <c r="F33" s="515"/>
      <c r="G33" s="515"/>
      <c r="H33" s="515"/>
      <c r="I33" s="515"/>
      <c r="J33" s="515"/>
      <c r="K33" s="515"/>
      <c r="L33" s="515"/>
      <c r="M33" t="str">
        <f t="shared" si="1"/>
        <v xml:space="preserve">; ; </v>
      </c>
      <c r="N33">
        <f t="shared" si="0"/>
        <v>0</v>
      </c>
      <c r="O33" s="522" t="b">
        <f>IF(N33=1,VLOOKUP(C33,'AUX5-CUSTOS'!$B$3:$O$14,2,),IF(N33=2,VLOOKUP(C33,'AUX5-CUSTOS'!$B$17:$O$34,2,),IF(N33=3,VLOOKUP(C33,'AUX5-CUSTOS'!$B$36:$O$53,2,))))</f>
        <v>0</v>
      </c>
      <c r="P33" s="522" t="b">
        <f>IF(AND(N33=1,E33="SIM"),VLOOKUP(C33,'AUX5-CUSTOS'!$B$3:$O$14,3,FALSE))</f>
        <v>0</v>
      </c>
      <c r="Q33" s="522" t="b">
        <f>IF(AND(N33=1,F33="1 MANUAL"),VLOOKUP(C33,'AUX5-CUSTOS'!$B$3:$O$14,4,FALSE))</f>
        <v>0</v>
      </c>
      <c r="R33" s="522" t="b">
        <f>IF(AND(N33=1,F33="2 MANUAIS"),VLOOKUP(C33,'AUX5-CUSTOS'!$B$3:$O$14,5,FALSE))</f>
        <v>0</v>
      </c>
      <c r="S33" s="522" t="b">
        <f>IF(AND(N33=1,F33="1 COM ATUADOR ON/OFF"),VLOOKUP(C33,'AUX5-CUSTOS'!$B$3:$O$14,6,FALSE))</f>
        <v>0</v>
      </c>
      <c r="T33" s="522" t="b">
        <f>IF(AND(N33=1,F33="2 COM ATUADORES ON/OFF"),VLOOKUP(C33,'AUX5-CUSTOS'!$B$3:$O$14,7,FALSE))</f>
        <v>0</v>
      </c>
      <c r="U33" s="522" t="b">
        <f>IF(AND(N33=1,G33="Eletrônico"),VLOOKUP(C33,'AUX5-CUSTOS'!$B$3:$O$14,8,FALSE))</f>
        <v>0</v>
      </c>
      <c r="V33" s="522" t="b">
        <f>IF(AND(N33=1,H33="Proporcional"),VLOOKUP(C33,'AUX5-CUSTOS'!$B$3:$O$14,9,FALSE))</f>
        <v>0</v>
      </c>
      <c r="W33" s="522" t="b">
        <f>IF(AND(N33=1,I33="SIM"),VLOOKUP(C33,'AUX5-CUSTOS'!$B$3:$O$14,10,FALSE))</f>
        <v>0</v>
      </c>
      <c r="X33" s="521" t="b">
        <f>IF(AND(N33=1,J33="SIM"),VLOOKUP(C33,'AUX5-CUSTOS'!$B$3:$O$14,11,FALSE))</f>
        <v>0</v>
      </c>
      <c r="Y33" s="521" t="b">
        <f>IF(AND(N33=1,K33="SIM"),VLOOKUP(C33,'AUX5-CUSTOS'!$B$3:$O$14,12,FALSE))</f>
        <v>0</v>
      </c>
      <c r="Z33" s="521" t="b">
        <f>IF(AND(N33=1,L33="SIM"),VLOOKUP(C33,'AUX5-CUSTOS'!$B$3:$O$14,13,FALSE))</f>
        <v>0</v>
      </c>
      <c r="AB33" s="521">
        <f t="shared" si="2"/>
        <v>0</v>
      </c>
      <c r="AC33" s="49" t="b">
        <f>IF(N33=1,VLOOKUP(C33,'AUX5-CUSTOS'!$B$3:$S$14,15,FALSE))</f>
        <v>0</v>
      </c>
      <c r="AD33" s="49" t="b">
        <f>IF(N33=1,VLOOKUP(C33,'AUX5-CUSTOS'!$B$3:$S$14,16,FALSE))</f>
        <v>0</v>
      </c>
      <c r="AE33" s="49" t="b">
        <f>IF(N33=1,VLOOKUP(C33,'AUX5-CUSTOS'!$B$3:$S$14,17,FALSE))</f>
        <v>0</v>
      </c>
      <c r="AF33" s="49" t="b">
        <f>IF(N33=1,VLOOKUP(C33,'AUX5-CUSTOS'!$B$3:$S$14,18,FALSE))</f>
        <v>0</v>
      </c>
      <c r="AG33" t="b">
        <f>IF(N33=1,VLOOKUP(C33,'AUX5-CUSTOS'!$B$3:$T$14,19,FALSE))</f>
        <v>0</v>
      </c>
    </row>
    <row r="34" spans="1:33" x14ac:dyDescent="0.3">
      <c r="M34" t="str">
        <f t="shared" si="1"/>
        <v xml:space="preserve">; ; </v>
      </c>
      <c r="N34">
        <f t="shared" si="0"/>
        <v>0</v>
      </c>
      <c r="O34" s="522" t="b">
        <f>IF(N34=1,VLOOKUP(C34,'AUX5-CUSTOS'!$B$3:$O$14,2,),IF(N34=2,VLOOKUP(C34,'AUX5-CUSTOS'!$B$17:$O$34,2,),IF(N34=3,VLOOKUP(C34,'AUX5-CUSTOS'!$B$36:$O$53,2,))))</f>
        <v>0</v>
      </c>
      <c r="P34" s="522" t="b">
        <f>IF(AND(N34=1,E34="SIM"),VLOOKUP(C34,'AUX5-CUSTOS'!$B$3:$O$14,3,FALSE))</f>
        <v>0</v>
      </c>
      <c r="Q34" s="522" t="b">
        <f>IF(AND(N34=1,F34="1 MANUAL"),VLOOKUP(C34,'AUX5-CUSTOS'!$B$3:$O$14,4,FALSE))</f>
        <v>0</v>
      </c>
      <c r="R34" s="522" t="b">
        <f>IF(AND(N34=1,F34="2 MANUAIS"),VLOOKUP(C34,'AUX5-CUSTOS'!$B$3:$O$14,5,FALSE))</f>
        <v>0</v>
      </c>
      <c r="S34" s="522" t="b">
        <f>IF(AND(N34=1,F34="1 COM ATUADOR ON/OFF"),VLOOKUP(C34,'AUX5-CUSTOS'!$B$3:$O$14,6,FALSE))</f>
        <v>0</v>
      </c>
      <c r="T34" s="522" t="b">
        <f>IF(AND(N34=1,F34="2 COM ATUADORES ON/OFF"),VLOOKUP(C34,'AUX5-CUSTOS'!$B$3:$O$14,7,FALSE))</f>
        <v>0</v>
      </c>
      <c r="U34" s="522" t="b">
        <f>IF(AND(N34=1,G34="Eletrônico"),VLOOKUP(C34,'AUX5-CUSTOS'!$B$3:$O$14,8,FALSE))</f>
        <v>0</v>
      </c>
      <c r="V34" s="522" t="b">
        <f>IF(AND(N34=1,H34="Proporcional"),VLOOKUP(C34,'AUX5-CUSTOS'!$B$3:$O$14,9,FALSE))</f>
        <v>0</v>
      </c>
      <c r="W34" s="522" t="b">
        <f>IF(AND(N34=1,I34="SIM"),VLOOKUP(C34,'AUX5-CUSTOS'!$B$3:$O$14,10,FALSE))</f>
        <v>0</v>
      </c>
      <c r="X34" s="521" t="b">
        <f>IF(AND(N34=1,J34="SIM"),VLOOKUP(C34,'AUX5-CUSTOS'!$B$3:$O$14,11,FALSE))</f>
        <v>0</v>
      </c>
      <c r="Y34" s="521" t="b">
        <f>IF(AND(N34=1,K34="SIM"),VLOOKUP(C34,'AUX5-CUSTOS'!$B$3:$O$14,12,FALSE))</f>
        <v>0</v>
      </c>
      <c r="Z34" s="521" t="b">
        <f>IF(AND(N34=1,L34="SIM"),VLOOKUP(C34,'AUX5-CUSTOS'!$B$3:$O$14,13,FALSE))</f>
        <v>0</v>
      </c>
      <c r="AB34" s="521">
        <f t="shared" si="2"/>
        <v>0</v>
      </c>
      <c r="AC34" s="49" t="b">
        <f>IF(N34=1,VLOOKUP(C34,'AUX5-CUSTOS'!$B$3:$S$14,15,FALSE))</f>
        <v>0</v>
      </c>
      <c r="AD34" s="49" t="b">
        <f>IF(N34=1,VLOOKUP(C34,'AUX5-CUSTOS'!$B$3:$S$14,16,FALSE))</f>
        <v>0</v>
      </c>
      <c r="AE34" s="49" t="b">
        <f>IF(N34=1,VLOOKUP(C34,'AUX5-CUSTOS'!$B$3:$S$14,17,FALSE))</f>
        <v>0</v>
      </c>
      <c r="AF34" s="49" t="b">
        <f>IF(N34=1,VLOOKUP(C34,'AUX5-CUSTOS'!$B$3:$S$14,18,FALSE))</f>
        <v>0</v>
      </c>
      <c r="AG34" t="b">
        <f>IF(N34=1,VLOOKUP(C34,'AUX5-CUSTOS'!$B$3:$T$14,19,FALSE))</f>
        <v>0</v>
      </c>
    </row>
    <row r="35" spans="1:33" x14ac:dyDescent="0.3">
      <c r="M35" t="str">
        <f t="shared" si="1"/>
        <v xml:space="preserve">; ; </v>
      </c>
      <c r="N35">
        <f t="shared" si="0"/>
        <v>0</v>
      </c>
      <c r="O35" s="522" t="b">
        <f>IF(N35=1,VLOOKUP(C35,'AUX5-CUSTOS'!$B$3:$O$14,2,),IF(N35=2,VLOOKUP(C35,'AUX5-CUSTOS'!$B$17:$O$34,2,),IF(N35=3,VLOOKUP(C35,'AUX5-CUSTOS'!$B$36:$O$53,2,))))</f>
        <v>0</v>
      </c>
      <c r="P35" s="522" t="b">
        <f>IF(AND(N35=1,E35="SIM"),VLOOKUP(C35,'AUX5-CUSTOS'!$B$3:$O$14,3,FALSE))</f>
        <v>0</v>
      </c>
      <c r="Q35" s="522" t="b">
        <f>IF(AND(N35=1,F35="1 MANUAL"),VLOOKUP(C35,'AUX5-CUSTOS'!$B$3:$O$14,4,FALSE))</f>
        <v>0</v>
      </c>
      <c r="R35" s="522" t="b">
        <f>IF(AND(N35=1,F35="2 MANUAIS"),VLOOKUP(C35,'AUX5-CUSTOS'!$B$3:$O$14,5,FALSE))</f>
        <v>0</v>
      </c>
      <c r="S35" s="522" t="b">
        <f>IF(AND(N35=1,F35="1 COM ATUADOR ON/OFF"),VLOOKUP(C35,'AUX5-CUSTOS'!$B$3:$O$14,6,FALSE))</f>
        <v>0</v>
      </c>
      <c r="T35" s="522" t="b">
        <f>IF(AND(N35=1,F35="2 COM ATUADORES ON/OFF"),VLOOKUP(C35,'AUX5-CUSTOS'!$B$3:$O$14,7,FALSE))</f>
        <v>0</v>
      </c>
      <c r="U35" s="522" t="b">
        <f>IF(AND(N35=1,G35="Eletrônico"),VLOOKUP(C35,'AUX5-CUSTOS'!$B$3:$O$14,8,FALSE))</f>
        <v>0</v>
      </c>
      <c r="V35" s="522" t="b">
        <f>IF(AND(N35=1,H35="Proporcional"),VLOOKUP(C35,'AUX5-CUSTOS'!$B$3:$O$14,9,FALSE))</f>
        <v>0</v>
      </c>
      <c r="W35" s="522" t="b">
        <f>IF(AND(N35=1,I35="SIM"),VLOOKUP(C35,'AUX5-CUSTOS'!$B$3:$O$14,10,FALSE))</f>
        <v>0</v>
      </c>
      <c r="X35" s="521" t="b">
        <f>IF(AND(N35=1,J35="SIM"),VLOOKUP(C35,'AUX5-CUSTOS'!$B$3:$O$14,11,FALSE))</f>
        <v>0</v>
      </c>
      <c r="Y35" s="521" t="b">
        <f>IF(AND(N35=1,K35="SIM"),VLOOKUP(C35,'AUX5-CUSTOS'!$B$3:$O$14,12,FALSE))</f>
        <v>0</v>
      </c>
      <c r="Z35" s="521" t="b">
        <f>IF(AND(N35=1,L35="SIM"),VLOOKUP(C35,'AUX5-CUSTOS'!$B$3:$O$14,13,FALSE))</f>
        <v>0</v>
      </c>
      <c r="AB35" s="521">
        <f t="shared" si="2"/>
        <v>0</v>
      </c>
      <c r="AC35" s="49" t="b">
        <f>IF(N35=1,VLOOKUP(C35,'AUX5-CUSTOS'!$B$3:$S$14,15,FALSE))</f>
        <v>0</v>
      </c>
      <c r="AD35" s="49" t="b">
        <f>IF(N35=1,VLOOKUP(C35,'AUX5-CUSTOS'!$B$3:$S$14,16,FALSE))</f>
        <v>0</v>
      </c>
      <c r="AE35" s="49" t="b">
        <f>IF(N35=1,VLOOKUP(C35,'AUX5-CUSTOS'!$B$3:$S$14,17,FALSE))</f>
        <v>0</v>
      </c>
      <c r="AF35" s="49" t="b">
        <f>IF(N35=1,VLOOKUP(C35,'AUX5-CUSTOS'!$B$3:$S$14,18,FALSE))</f>
        <v>0</v>
      </c>
      <c r="AG35" t="b">
        <f>IF(N35=1,VLOOKUP(C35,'AUX5-CUSTOS'!$B$3:$T$14,19,FALSE))</f>
        <v>0</v>
      </c>
    </row>
    <row r="36" spans="1:33" x14ac:dyDescent="0.3">
      <c r="M36" t="str">
        <f t="shared" si="1"/>
        <v xml:space="preserve">; ; </v>
      </c>
      <c r="N36">
        <f t="shared" si="0"/>
        <v>0</v>
      </c>
      <c r="O36" s="522" t="b">
        <f>IF(N36=1,VLOOKUP(C36,'AUX5-CUSTOS'!$B$3:$O$14,2,),IF(N36=2,VLOOKUP(C36,'AUX5-CUSTOS'!$B$17:$O$34,2,),IF(N36=3,VLOOKUP(C36,'AUX5-CUSTOS'!$B$36:$O$53,2,))))</f>
        <v>0</v>
      </c>
      <c r="P36" s="522" t="b">
        <f>IF(AND(N36=1,E36="SIM"),VLOOKUP(C36,'AUX5-CUSTOS'!$B$3:$O$14,3,FALSE))</f>
        <v>0</v>
      </c>
      <c r="Q36" s="522" t="b">
        <f>IF(AND(N36=1,F36="1 MANUAL"),VLOOKUP(C36,'AUX5-CUSTOS'!$B$3:$O$14,4,FALSE))</f>
        <v>0</v>
      </c>
      <c r="R36" s="522" t="b">
        <f>IF(AND(N36=1,F36="2 MANUAIS"),VLOOKUP(C36,'AUX5-CUSTOS'!$B$3:$O$14,5,FALSE))</f>
        <v>0</v>
      </c>
      <c r="S36" s="522" t="b">
        <f>IF(AND(N36=1,F36="1 COM ATUADOR ON/OFF"),VLOOKUP(C36,'AUX5-CUSTOS'!$B$3:$O$14,6,FALSE))</f>
        <v>0</v>
      </c>
      <c r="T36" s="522" t="b">
        <f>IF(AND(N36=1,F36="2 COM ATUADORES ON/OFF"),VLOOKUP(C36,'AUX5-CUSTOS'!$B$3:$O$14,7,FALSE))</f>
        <v>0</v>
      </c>
      <c r="U36" s="522" t="b">
        <f>IF(AND(N36=1,G36="Eletrônico"),VLOOKUP(C36,'AUX5-CUSTOS'!$B$3:$O$14,8,FALSE))</f>
        <v>0</v>
      </c>
      <c r="V36" s="522" t="b">
        <f>IF(AND(N36=1,H36="Proporcional"),VLOOKUP(C36,'AUX5-CUSTOS'!$B$3:$O$14,9,FALSE))</f>
        <v>0</v>
      </c>
      <c r="W36" s="522" t="b">
        <f>IF(AND(N36=1,I36="SIM"),VLOOKUP(C36,'AUX5-CUSTOS'!$B$3:$O$14,10,FALSE))</f>
        <v>0</v>
      </c>
      <c r="X36" s="521" t="b">
        <f>IF(AND(N36=1,J36="SIM"),VLOOKUP(C36,'AUX5-CUSTOS'!$B$3:$O$14,11,FALSE))</f>
        <v>0</v>
      </c>
      <c r="Y36" s="521" t="b">
        <f>IF(AND(N36=1,K36="SIM"),VLOOKUP(C36,'AUX5-CUSTOS'!$B$3:$O$14,12,FALSE))</f>
        <v>0</v>
      </c>
      <c r="Z36" s="521" t="b">
        <f>IF(AND(N36=1,L36="SIM"),VLOOKUP(C36,'AUX5-CUSTOS'!$B$3:$O$14,13,FALSE))</f>
        <v>0</v>
      </c>
      <c r="AB36" s="521">
        <f t="shared" si="2"/>
        <v>0</v>
      </c>
      <c r="AC36" s="49" t="b">
        <f>IF(N36=1,VLOOKUP(C36,'AUX5-CUSTOS'!$B$3:$S$14,15,FALSE))</f>
        <v>0</v>
      </c>
      <c r="AD36" s="49" t="b">
        <f>IF(N36=1,VLOOKUP(C36,'AUX5-CUSTOS'!$B$3:$S$14,16,FALSE))</f>
        <v>0</v>
      </c>
      <c r="AE36" s="49" t="b">
        <f>IF(N36=1,VLOOKUP(C36,'AUX5-CUSTOS'!$B$3:$S$14,17,FALSE))</f>
        <v>0</v>
      </c>
      <c r="AF36" s="49" t="b">
        <f>IF(N36=1,VLOOKUP(C36,'AUX5-CUSTOS'!$B$3:$S$14,18,FALSE))</f>
        <v>0</v>
      </c>
      <c r="AG36" t="b">
        <f>IF(N36=1,VLOOKUP(C36,'AUX5-CUSTOS'!$B$3:$T$14,19,FALSE))</f>
        <v>0</v>
      </c>
    </row>
    <row r="37" spans="1:33" x14ac:dyDescent="0.3">
      <c r="M37" t="str">
        <f t="shared" si="1"/>
        <v xml:space="preserve">; ; </v>
      </c>
      <c r="N37">
        <f t="shared" si="0"/>
        <v>0</v>
      </c>
      <c r="O37" s="522" t="b">
        <f>IF(N37=1,VLOOKUP(C37,'AUX5-CUSTOS'!$B$3:$O$14,2,),IF(N37=2,VLOOKUP(C37,'AUX5-CUSTOS'!$B$17:$O$34,2,),IF(N37=3,VLOOKUP(C37,'AUX5-CUSTOS'!$B$36:$O$53,2,))))</f>
        <v>0</v>
      </c>
      <c r="P37" s="522" t="b">
        <f>IF(AND(N37=1,E37="SIM"),VLOOKUP(C37,'AUX5-CUSTOS'!$B$3:$O$14,3,FALSE))</f>
        <v>0</v>
      </c>
      <c r="Q37" s="522" t="b">
        <f>IF(AND(N37=1,F37="1 MANUAL"),VLOOKUP(C37,'AUX5-CUSTOS'!$B$3:$O$14,4,FALSE))</f>
        <v>0</v>
      </c>
      <c r="R37" s="522" t="b">
        <f>IF(AND(N37=1,F37="2 MANUAIS"),VLOOKUP(C37,'AUX5-CUSTOS'!$B$3:$O$14,5,FALSE))</f>
        <v>0</v>
      </c>
      <c r="S37" s="522" t="b">
        <f>IF(AND(N37=1,F37="1 COM ATUADOR ON/OFF"),VLOOKUP(C37,'AUX5-CUSTOS'!$B$3:$O$14,6,FALSE))</f>
        <v>0</v>
      </c>
      <c r="T37" s="522" t="b">
        <f>IF(AND(N37=1,F37="2 COM ATUADORES ON/OFF"),VLOOKUP(C37,'AUX5-CUSTOS'!$B$3:$O$14,7,FALSE))</f>
        <v>0</v>
      </c>
      <c r="U37" s="522" t="b">
        <f>IF(AND(N37=1,G37="Eletrônico"),VLOOKUP(C37,'AUX5-CUSTOS'!$B$3:$O$14,8,FALSE))</f>
        <v>0</v>
      </c>
      <c r="V37" s="522" t="b">
        <f>IF(AND(N37=1,H37="Proporcional"),VLOOKUP(C37,'AUX5-CUSTOS'!$B$3:$O$14,9,FALSE))</f>
        <v>0</v>
      </c>
      <c r="W37" s="522" t="b">
        <f>IF(AND(N37=1,I37="SIM"),VLOOKUP(C37,'AUX5-CUSTOS'!$B$3:$O$14,10,FALSE))</f>
        <v>0</v>
      </c>
      <c r="X37" s="521" t="b">
        <f>IF(AND(N37=1,J37="SIM"),VLOOKUP(C37,'AUX5-CUSTOS'!$B$3:$O$14,11,FALSE))</f>
        <v>0</v>
      </c>
      <c r="Y37" s="521" t="b">
        <f>IF(AND(N37=1,K37="SIM"),VLOOKUP(C37,'AUX5-CUSTOS'!$B$3:$O$14,12,FALSE))</f>
        <v>0</v>
      </c>
      <c r="Z37" s="521" t="b">
        <f>IF(AND(N37=1,L37="SIM"),VLOOKUP(C37,'AUX5-CUSTOS'!$B$3:$O$14,13,FALSE))</f>
        <v>0</v>
      </c>
      <c r="AB37" s="521">
        <f t="shared" si="2"/>
        <v>0</v>
      </c>
      <c r="AC37" s="49" t="b">
        <f>IF(N37=1,VLOOKUP(C37,'AUX5-CUSTOS'!$B$3:$S$14,15,FALSE))</f>
        <v>0</v>
      </c>
      <c r="AD37" s="49" t="b">
        <f>IF(N37=1,VLOOKUP(C37,'AUX5-CUSTOS'!$B$3:$S$14,16,FALSE))</f>
        <v>0</v>
      </c>
      <c r="AE37" s="49" t="b">
        <f>IF(N37=1,VLOOKUP(C37,'AUX5-CUSTOS'!$B$3:$S$14,17,FALSE))</f>
        <v>0</v>
      </c>
      <c r="AF37" s="49" t="b">
        <f>IF(N37=1,VLOOKUP(C37,'AUX5-CUSTOS'!$B$3:$S$14,18,FALSE))</f>
        <v>0</v>
      </c>
      <c r="AG37" t="b">
        <f>IF(N37=1,VLOOKUP(C37,'AUX5-CUSTOS'!$B$3:$T$14,19,FALSE))</f>
        <v>0</v>
      </c>
    </row>
    <row r="38" spans="1:33" x14ac:dyDescent="0.3">
      <c r="M38" t="str">
        <f t="shared" si="1"/>
        <v xml:space="preserve">; ; </v>
      </c>
      <c r="N38">
        <f t="shared" si="0"/>
        <v>0</v>
      </c>
      <c r="O38" s="522" t="b">
        <f>IF(N38=1,VLOOKUP(C38,'AUX5-CUSTOS'!$B$3:$O$14,2,),IF(N38=2,VLOOKUP(C38,'AUX5-CUSTOS'!$B$17:$O$34,2,),IF(N38=3,VLOOKUP(C38,'AUX5-CUSTOS'!$B$36:$O$53,2,))))</f>
        <v>0</v>
      </c>
      <c r="P38" s="522" t="b">
        <f>IF(AND(N38=1,E38="SIM"),VLOOKUP(C38,'AUX5-CUSTOS'!$B$3:$O$14,3,FALSE))</f>
        <v>0</v>
      </c>
      <c r="Q38" s="522" t="b">
        <f>IF(AND(N38=1,F38="1 MANUAL"),VLOOKUP(C38,'AUX5-CUSTOS'!$B$3:$O$14,4,FALSE))</f>
        <v>0</v>
      </c>
      <c r="R38" s="522" t="b">
        <f>IF(AND(N38=1,F38="2 MANUAIS"),VLOOKUP(C38,'AUX5-CUSTOS'!$B$3:$O$14,5,FALSE))</f>
        <v>0</v>
      </c>
      <c r="S38" s="522" t="b">
        <f>IF(AND(N38=1,F38="1 COM ATUADOR ON/OFF"),VLOOKUP(C38,'AUX5-CUSTOS'!$B$3:$O$14,6,FALSE))</f>
        <v>0</v>
      </c>
      <c r="T38" s="522" t="b">
        <f>IF(AND(N38=1,F38="2 COM ATUADORES ON/OFF"),VLOOKUP(C38,'AUX5-CUSTOS'!$B$3:$O$14,7,FALSE))</f>
        <v>0</v>
      </c>
      <c r="U38" s="522" t="b">
        <f>IF(AND(N38=1,G38="Eletrônico"),VLOOKUP(C38,'AUX5-CUSTOS'!$B$3:$O$14,8,FALSE))</f>
        <v>0</v>
      </c>
      <c r="V38" s="522" t="b">
        <f>IF(AND(N38=1,H38="Proporcional"),VLOOKUP(C38,'AUX5-CUSTOS'!$B$3:$O$14,9,FALSE))</f>
        <v>0</v>
      </c>
      <c r="W38" s="522" t="b">
        <f>IF(AND(N38=1,I38="SIM"),VLOOKUP(C38,'AUX5-CUSTOS'!$B$3:$O$14,10,FALSE))</f>
        <v>0</v>
      </c>
      <c r="X38" s="521" t="b">
        <f>IF(AND(N38=1,J38="SIM"),VLOOKUP(C38,'AUX5-CUSTOS'!$B$3:$O$14,11,FALSE))</f>
        <v>0</v>
      </c>
      <c r="Y38" s="521" t="b">
        <f>IF(AND(N38=1,K38="SIM"),VLOOKUP(C38,'AUX5-CUSTOS'!$B$3:$O$14,12,FALSE))</f>
        <v>0</v>
      </c>
      <c r="Z38" s="521" t="b">
        <f>IF(AND(N38=1,L38="SIM"),VLOOKUP(C38,'AUX5-CUSTOS'!$B$3:$O$14,13,FALSE))</f>
        <v>0</v>
      </c>
      <c r="AB38" s="521">
        <f t="shared" si="2"/>
        <v>0</v>
      </c>
      <c r="AC38" s="49" t="b">
        <f>IF(N38=1,VLOOKUP(C38,'AUX5-CUSTOS'!$B$3:$S$14,15,FALSE))</f>
        <v>0</v>
      </c>
      <c r="AD38" s="49" t="b">
        <f>IF(N38=1,VLOOKUP(C38,'AUX5-CUSTOS'!$B$3:$S$14,16,FALSE))</f>
        <v>0</v>
      </c>
      <c r="AE38" s="49" t="b">
        <f>IF(N38=1,VLOOKUP(C38,'AUX5-CUSTOS'!$B$3:$S$14,17,FALSE))</f>
        <v>0</v>
      </c>
      <c r="AF38" s="49" t="b">
        <f>IF(N38=1,VLOOKUP(C38,'AUX5-CUSTOS'!$B$3:$S$14,18,FALSE))</f>
        <v>0</v>
      </c>
      <c r="AG38" t="b">
        <f>IF(N38=1,VLOOKUP(C38,'AUX5-CUSTOS'!$B$3:$T$14,19,FALSE))</f>
        <v>0</v>
      </c>
    </row>
    <row r="39" spans="1:33" x14ac:dyDescent="0.3">
      <c r="M39" t="str">
        <f t="shared" si="1"/>
        <v xml:space="preserve">; ; </v>
      </c>
      <c r="N39">
        <f t="shared" si="0"/>
        <v>0</v>
      </c>
      <c r="O39" s="522" t="b">
        <f>IF(N39=1,VLOOKUP(C39,'AUX5-CUSTOS'!$B$3:$O$14,2,),IF(N39=2,VLOOKUP(C39,'AUX5-CUSTOS'!$B$17:$O$34,2,),IF(N39=3,VLOOKUP(C39,'AUX5-CUSTOS'!$B$36:$O$53,2,))))</f>
        <v>0</v>
      </c>
      <c r="P39" s="522" t="b">
        <f>IF(AND(N39=1,E39="SIM"),VLOOKUP(C39,'AUX5-CUSTOS'!$B$3:$O$14,3,FALSE))</f>
        <v>0</v>
      </c>
      <c r="Q39" s="522" t="b">
        <f>IF(AND(N39=1,F39="1 MANUAL"),VLOOKUP(C39,'AUX5-CUSTOS'!$B$3:$O$14,4,FALSE))</f>
        <v>0</v>
      </c>
      <c r="R39" s="522" t="b">
        <f>IF(AND(N39=1,F39="2 MANUAIS"),VLOOKUP(C39,'AUX5-CUSTOS'!$B$3:$O$14,5,FALSE))</f>
        <v>0</v>
      </c>
      <c r="S39" s="522" t="b">
        <f>IF(AND(N39=1,F39="1 COM ATUADOR ON/OFF"),VLOOKUP(C39,'AUX5-CUSTOS'!$B$3:$O$14,6,FALSE))</f>
        <v>0</v>
      </c>
      <c r="T39" s="522" t="b">
        <f>IF(AND(N39=1,F39="2 COM ATUADORES ON/OFF"),VLOOKUP(C39,'AUX5-CUSTOS'!$B$3:$O$14,7,FALSE))</f>
        <v>0</v>
      </c>
      <c r="U39" s="522" t="b">
        <f>IF(AND(N39=1,G39="Eletrônico"),VLOOKUP(C39,'AUX5-CUSTOS'!$B$3:$O$14,8,FALSE))</f>
        <v>0</v>
      </c>
      <c r="V39" s="522" t="b">
        <f>IF(AND(N39=1,H39="Proporcional"),VLOOKUP(C39,'AUX5-CUSTOS'!$B$3:$O$14,9,FALSE))</f>
        <v>0</v>
      </c>
      <c r="W39" s="522" t="b">
        <f>IF(AND(N39=1,I39="SIM"),VLOOKUP(C39,'AUX5-CUSTOS'!$B$3:$O$14,10,FALSE))</f>
        <v>0</v>
      </c>
      <c r="X39" s="521" t="b">
        <f>IF(AND(N39=1,J39="SIM"),VLOOKUP(C39,'AUX5-CUSTOS'!$B$3:$O$14,11,FALSE))</f>
        <v>0</v>
      </c>
      <c r="Y39" s="521" t="b">
        <f>IF(AND(N39=1,K39="SIM"),VLOOKUP(C39,'AUX5-CUSTOS'!$B$3:$O$14,12,FALSE))</f>
        <v>0</v>
      </c>
      <c r="Z39" s="521" t="b">
        <f>IF(AND(N39=1,L39="SIM"),VLOOKUP(C39,'AUX5-CUSTOS'!$B$3:$O$14,13,FALSE))</f>
        <v>0</v>
      </c>
      <c r="AB39" s="521">
        <f t="shared" si="2"/>
        <v>0</v>
      </c>
      <c r="AC39" s="49" t="b">
        <f>IF(N39=1,VLOOKUP(C39,'AUX5-CUSTOS'!$B$3:$S$14,15,FALSE))</f>
        <v>0</v>
      </c>
      <c r="AD39" s="49" t="b">
        <f>IF(N39=1,VLOOKUP(C39,'AUX5-CUSTOS'!$B$3:$S$14,16,FALSE))</f>
        <v>0</v>
      </c>
      <c r="AE39" s="49" t="b">
        <f>IF(N39=1,VLOOKUP(C39,'AUX5-CUSTOS'!$B$3:$S$14,17,FALSE))</f>
        <v>0</v>
      </c>
      <c r="AF39" s="49" t="b">
        <f>IF(N39=1,VLOOKUP(C39,'AUX5-CUSTOS'!$B$3:$S$14,18,FALSE))</f>
        <v>0</v>
      </c>
      <c r="AG39" t="b">
        <f>IF(N39=1,VLOOKUP(C39,'AUX5-CUSTOS'!$B$3:$T$14,19,FALSE))</f>
        <v>0</v>
      </c>
    </row>
    <row r="40" spans="1:33" x14ac:dyDescent="0.3">
      <c r="M40" t="str">
        <f t="shared" si="1"/>
        <v xml:space="preserve">; ; </v>
      </c>
      <c r="N40">
        <f t="shared" si="0"/>
        <v>0</v>
      </c>
      <c r="O40" s="522" t="b">
        <f>IF(N40=1,VLOOKUP(C40,'AUX5-CUSTOS'!$B$3:$O$14,2,),IF(N40=2,VLOOKUP(C40,'AUX5-CUSTOS'!$B$17:$O$34,2,),IF(N40=3,VLOOKUP(C40,'AUX5-CUSTOS'!$B$36:$O$53,2,))))</f>
        <v>0</v>
      </c>
      <c r="P40" s="522" t="b">
        <f>IF(AND(N40=1,E40="SIM"),VLOOKUP(C40,'AUX5-CUSTOS'!$B$3:$O$14,3,FALSE))</f>
        <v>0</v>
      </c>
      <c r="Q40" s="522" t="b">
        <f>IF(AND(N40=1,F40="1 MANUAL"),VLOOKUP(C40,'AUX5-CUSTOS'!$B$3:$O$14,4,FALSE))</f>
        <v>0</v>
      </c>
      <c r="R40" s="522" t="b">
        <f>IF(AND(N40=1,F40="2 MANUAIS"),VLOOKUP(C40,'AUX5-CUSTOS'!$B$3:$O$14,5,FALSE))</f>
        <v>0</v>
      </c>
      <c r="S40" s="522" t="b">
        <f>IF(AND(N40=1,F40="1 COM ATUADOR ON/OFF"),VLOOKUP(C40,'AUX5-CUSTOS'!$B$3:$O$14,6,FALSE))</f>
        <v>0</v>
      </c>
      <c r="T40" s="522" t="b">
        <f>IF(AND(N40=1,F40="2 COM ATUADORES ON/OFF"),VLOOKUP(C40,'AUX5-CUSTOS'!$B$3:$O$14,7,FALSE))</f>
        <v>0</v>
      </c>
      <c r="U40" s="522" t="b">
        <f>IF(AND(N40=1,G40="Eletrônico"),VLOOKUP(C40,'AUX5-CUSTOS'!$B$3:$O$14,8,FALSE))</f>
        <v>0</v>
      </c>
      <c r="V40" s="522" t="b">
        <f>IF(AND(N40=1,H40="Proporcional"),VLOOKUP(C40,'AUX5-CUSTOS'!$B$3:$O$14,9,FALSE))</f>
        <v>0</v>
      </c>
      <c r="W40" s="522" t="b">
        <f>IF(AND(N40=1,I40="SIM"),VLOOKUP(C40,'AUX5-CUSTOS'!$B$3:$O$14,10,FALSE))</f>
        <v>0</v>
      </c>
      <c r="X40" s="521" t="b">
        <f>IF(AND(N40=1,J40="SIM"),VLOOKUP(C40,'AUX5-CUSTOS'!$B$3:$O$14,11,FALSE))</f>
        <v>0</v>
      </c>
      <c r="Y40" s="521" t="b">
        <f>IF(AND(N40=1,K40="SIM"),VLOOKUP(C40,'AUX5-CUSTOS'!$B$3:$O$14,12,FALSE))</f>
        <v>0</v>
      </c>
      <c r="Z40" s="521" t="b">
        <f>IF(AND(N40=1,L40="SIM"),VLOOKUP(C40,'AUX5-CUSTOS'!$B$3:$O$14,13,FALSE))</f>
        <v>0</v>
      </c>
      <c r="AB40" s="521">
        <f t="shared" si="2"/>
        <v>0</v>
      </c>
      <c r="AC40" s="49" t="b">
        <f>IF(N40=1,VLOOKUP(C40,'AUX5-CUSTOS'!$B$3:$S$14,15,FALSE))</f>
        <v>0</v>
      </c>
      <c r="AD40" s="49" t="b">
        <f>IF(N40=1,VLOOKUP(C40,'AUX5-CUSTOS'!$B$3:$S$14,16,FALSE))</f>
        <v>0</v>
      </c>
      <c r="AE40" s="49" t="b">
        <f>IF(N40=1,VLOOKUP(C40,'AUX5-CUSTOS'!$B$3:$S$14,17,FALSE))</f>
        <v>0</v>
      </c>
      <c r="AF40" s="49" t="b">
        <f>IF(N40=1,VLOOKUP(C40,'AUX5-CUSTOS'!$B$3:$S$14,18,FALSE))</f>
        <v>0</v>
      </c>
      <c r="AG40" t="b">
        <f>IF(N40=1,VLOOKUP(C40,'AUX5-CUSTOS'!$B$3:$T$14,19,FALSE))</f>
        <v>0</v>
      </c>
    </row>
    <row r="41" spans="1:33" x14ac:dyDescent="0.3">
      <c r="M41" t="str">
        <f t="shared" si="1"/>
        <v xml:space="preserve">; ; </v>
      </c>
      <c r="N41">
        <f t="shared" si="0"/>
        <v>0</v>
      </c>
      <c r="O41" s="522" t="b">
        <f>IF(N41=1,VLOOKUP(C41,'AUX5-CUSTOS'!$B$3:$O$14,2,),IF(N41=2,VLOOKUP(C41,'AUX5-CUSTOS'!$B$17:$O$34,2,),IF(N41=3,VLOOKUP(C41,'AUX5-CUSTOS'!$B$36:$O$53,2,))))</f>
        <v>0</v>
      </c>
      <c r="P41" s="522" t="b">
        <f>IF(AND(N41=1,E41="SIM"),VLOOKUP(C41,'AUX5-CUSTOS'!$B$3:$O$14,3,FALSE))</f>
        <v>0</v>
      </c>
      <c r="Q41" s="522" t="b">
        <f>IF(AND(N41=1,F41="1 MANUAL"),VLOOKUP(C41,'AUX5-CUSTOS'!$B$3:$O$14,4,FALSE))</f>
        <v>0</v>
      </c>
      <c r="R41" s="522" t="b">
        <f>IF(AND(N41=1,F41="2 MANUAIS"),VLOOKUP(C41,'AUX5-CUSTOS'!$B$3:$O$14,5,FALSE))</f>
        <v>0</v>
      </c>
      <c r="S41" s="522" t="b">
        <f>IF(AND(N41=1,F41="1 COM ATUADOR ON/OFF"),VLOOKUP(C41,'AUX5-CUSTOS'!$B$3:$O$14,6,FALSE))</f>
        <v>0</v>
      </c>
      <c r="T41" s="522" t="b">
        <f>IF(AND(N41=1,F41="2 COM ATUADORES ON/OFF"),VLOOKUP(C41,'AUX5-CUSTOS'!$B$3:$O$14,7,FALSE))</f>
        <v>0</v>
      </c>
      <c r="U41" s="522" t="b">
        <f>IF(AND(N41=1,G41="Eletrônico"),VLOOKUP(C41,'AUX5-CUSTOS'!$B$3:$O$14,8,FALSE))</f>
        <v>0</v>
      </c>
      <c r="V41" s="522" t="b">
        <f>IF(AND(N41=1,H41="Proporcional"),VLOOKUP(C41,'AUX5-CUSTOS'!$B$3:$O$14,9,FALSE))</f>
        <v>0</v>
      </c>
      <c r="W41" s="522" t="b">
        <f>IF(AND(N41=1,I41="SIM"),VLOOKUP(C41,'AUX5-CUSTOS'!$B$3:$O$14,10,FALSE))</f>
        <v>0</v>
      </c>
      <c r="X41" s="521" t="b">
        <f>IF(AND(N41=1,J41="SIM"),VLOOKUP(C41,'AUX5-CUSTOS'!$B$3:$O$14,11,FALSE))</f>
        <v>0</v>
      </c>
      <c r="Y41" s="521" t="b">
        <f>IF(AND(N41=1,K41="SIM"),VLOOKUP(C41,'AUX5-CUSTOS'!$B$3:$O$14,12,FALSE))</f>
        <v>0</v>
      </c>
      <c r="Z41" s="521" t="b">
        <f>IF(AND(N41=1,L41="SIM"),VLOOKUP(C41,'AUX5-CUSTOS'!$B$3:$O$14,13,FALSE))</f>
        <v>0</v>
      </c>
      <c r="AB41" s="521">
        <f t="shared" si="2"/>
        <v>0</v>
      </c>
      <c r="AC41" s="49" t="b">
        <f>IF(N41=1,VLOOKUP(C41,'AUX5-CUSTOS'!$B$3:$S$14,15,FALSE))</f>
        <v>0</v>
      </c>
      <c r="AD41" s="49" t="b">
        <f>IF(N41=1,VLOOKUP(C41,'AUX5-CUSTOS'!$B$3:$S$14,16,FALSE))</f>
        <v>0</v>
      </c>
      <c r="AE41" s="49" t="b">
        <f>IF(N41=1,VLOOKUP(C41,'AUX5-CUSTOS'!$B$3:$S$14,17,FALSE))</f>
        <v>0</v>
      </c>
      <c r="AF41" s="49" t="b">
        <f>IF(N41=1,VLOOKUP(C41,'AUX5-CUSTOS'!$B$3:$S$14,18,FALSE))</f>
        <v>0</v>
      </c>
      <c r="AG41" t="b">
        <f>IF(N41=1,VLOOKUP(C41,'AUX5-CUSTOS'!$B$3:$T$14,19,FALSE))</f>
        <v>0</v>
      </c>
    </row>
    <row r="42" spans="1:33" x14ac:dyDescent="0.3">
      <c r="M42" t="str">
        <f t="shared" ref="M42:M47" si="3">B42&amp;"; "&amp;C42&amp;"; "</f>
        <v xml:space="preserve">; ; </v>
      </c>
      <c r="N42">
        <f t="shared" ref="N42:N47" si="4">IF(B42="Wall Mounted",1,IF(B42="Split System",2,IF(B42="Self Contained",3,0)))</f>
        <v>0</v>
      </c>
      <c r="O42" s="522" t="b">
        <f>IF(N42=1,VLOOKUP(C42,'AUX5-CUSTOS'!$B$3:$O$14,2,),IF(N42=2,VLOOKUP(C42,'AUX5-CUSTOS'!$B$17:$O$34,2,),IF(N42=3,VLOOKUP(C42,'AUX5-CUSTOS'!$B$36:$O$53,2,))))</f>
        <v>0</v>
      </c>
      <c r="P42" s="522" t="b">
        <f>IF(AND(N42=1,E42="SIM"),VLOOKUP(C42,'AUX5-CUSTOS'!$B$3:$O$14,3,FALSE))</f>
        <v>0</v>
      </c>
      <c r="Q42" s="522" t="b">
        <f>IF(AND(N42=1,F42="1 MANUAL"),VLOOKUP(C42,'AUX5-CUSTOS'!$B$3:$O$14,4,FALSE))</f>
        <v>0</v>
      </c>
      <c r="R42" s="522" t="b">
        <f>IF(AND(N42=1,F42="2 MANUAIS"),VLOOKUP(C42,'AUX5-CUSTOS'!$B$3:$O$14,5,FALSE))</f>
        <v>0</v>
      </c>
      <c r="S42" s="522" t="b">
        <f>IF(AND(N42=1,F42="1 COM ATUADOR ON/OFF"),VLOOKUP(C42,'AUX5-CUSTOS'!$B$3:$O$14,6,FALSE))</f>
        <v>0</v>
      </c>
      <c r="T42" s="522" t="b">
        <f>IF(AND(N42=1,F42="2 COM ATUADORES ON/OFF"),VLOOKUP(C42,'AUX5-CUSTOS'!$B$3:$O$14,7,FALSE))</f>
        <v>0</v>
      </c>
      <c r="U42" s="522" t="b">
        <f>IF(AND(N42=1,G42="Eletrônico"),VLOOKUP(C42,'AUX5-CUSTOS'!$B$3:$O$14,8,FALSE))</f>
        <v>0</v>
      </c>
      <c r="V42" s="522" t="b">
        <f>IF(AND(N42=1,H42="Proporcional"),VLOOKUP(C42,'AUX5-CUSTOS'!$B$3:$O$14,9,FALSE))</f>
        <v>0</v>
      </c>
      <c r="W42" s="522" t="b">
        <f>IF(AND(N42=1,I42="SIM"),VLOOKUP(C42,'AUX5-CUSTOS'!$B$3:$O$14,10,FALSE))</f>
        <v>0</v>
      </c>
      <c r="X42" s="521" t="b">
        <f>IF(AND(N42=1,J42="SIM"),VLOOKUP(C42,'AUX5-CUSTOS'!$B$3:$O$14,11,FALSE))</f>
        <v>0</v>
      </c>
      <c r="Y42" s="521" t="b">
        <f>IF(AND(N42=1,K42="SIM"),VLOOKUP(C42,'AUX5-CUSTOS'!$B$3:$O$14,12,FALSE))</f>
        <v>0</v>
      </c>
      <c r="Z42" s="521" t="b">
        <f>IF(AND(N42=1,L42="SIM"),VLOOKUP(C42,'AUX5-CUSTOS'!$B$3:$O$14,13,FALSE))</f>
        <v>0</v>
      </c>
      <c r="AB42" s="521">
        <f t="shared" si="2"/>
        <v>0</v>
      </c>
      <c r="AC42" s="49" t="b">
        <f>IF(N42=1,VLOOKUP(C42,'AUX5-CUSTOS'!$B$3:$S$14,15,FALSE))</f>
        <v>0</v>
      </c>
      <c r="AD42" s="49" t="b">
        <f>IF(N42=1,VLOOKUP(C42,'AUX5-CUSTOS'!$B$3:$S$14,16,FALSE))</f>
        <v>0</v>
      </c>
      <c r="AE42" s="49" t="b">
        <f>IF(N42=1,VLOOKUP(C42,'AUX5-CUSTOS'!$B$3:$S$14,17,FALSE))</f>
        <v>0</v>
      </c>
      <c r="AF42" s="49" t="b">
        <f>IF(N42=1,VLOOKUP(C42,'AUX5-CUSTOS'!$B$3:$S$14,18,FALSE))</f>
        <v>0</v>
      </c>
      <c r="AG42" t="b">
        <f>IF(N42=1,VLOOKUP(C42,'AUX5-CUSTOS'!$B$3:$T$14,19,FALSE))</f>
        <v>0</v>
      </c>
    </row>
    <row r="43" spans="1:33" x14ac:dyDescent="0.3">
      <c r="M43" t="str">
        <f t="shared" si="3"/>
        <v xml:space="preserve">; ; </v>
      </c>
      <c r="N43">
        <f t="shared" si="4"/>
        <v>0</v>
      </c>
      <c r="O43" s="522" t="b">
        <f>IF(N43=1,VLOOKUP(C43,'AUX5-CUSTOS'!$B$3:$O$14,2,),IF(N43=2,VLOOKUP(C43,'AUX5-CUSTOS'!$B$17:$O$34,2,),IF(N43=3,VLOOKUP(C43,'AUX5-CUSTOS'!$B$36:$O$53,2,))))</f>
        <v>0</v>
      </c>
      <c r="P43" s="522" t="b">
        <f>IF(AND(N43=1,E43="SIM"),VLOOKUP(C43,'AUX5-CUSTOS'!$B$3:$O$14,3,FALSE))</f>
        <v>0</v>
      </c>
      <c r="Q43" s="522" t="b">
        <f>IF(AND(N43=1,F43="1 MANUAL"),VLOOKUP(C43,'AUX5-CUSTOS'!$B$3:$O$14,4,FALSE))</f>
        <v>0</v>
      </c>
      <c r="R43" s="522" t="b">
        <f>IF(AND(N43=1,F43="2 MANUAIS"),VLOOKUP(C43,'AUX5-CUSTOS'!$B$3:$O$14,5,FALSE))</f>
        <v>0</v>
      </c>
      <c r="S43" s="522" t="b">
        <f>IF(AND(N43=1,F43="1 COM ATUADOR ON/OFF"),VLOOKUP(C43,'AUX5-CUSTOS'!$B$3:$O$14,6,FALSE))</f>
        <v>0</v>
      </c>
      <c r="T43" s="522" t="b">
        <f>IF(AND(N43=1,F43="2 COM ATUADORES ON/OFF"),VLOOKUP(C43,'AUX5-CUSTOS'!$B$3:$O$14,7,FALSE))</f>
        <v>0</v>
      </c>
      <c r="U43" s="522" t="b">
        <f>IF(AND(N43=1,G43="Eletrônico"),VLOOKUP(C43,'AUX5-CUSTOS'!$B$3:$O$14,8,FALSE))</f>
        <v>0</v>
      </c>
      <c r="V43" s="522" t="b">
        <f>IF(AND(N43=1,H43="Proporcional"),VLOOKUP(C43,'AUX5-CUSTOS'!$B$3:$O$14,9,FALSE))</f>
        <v>0</v>
      </c>
      <c r="W43" s="522" t="b">
        <f>IF(AND(N43=1,I43="SIM"),VLOOKUP(C43,'AUX5-CUSTOS'!$B$3:$O$14,10,FALSE))</f>
        <v>0</v>
      </c>
      <c r="X43" s="521" t="b">
        <f>IF(AND(N43=1,J43="SIM"),VLOOKUP(C43,'AUX5-CUSTOS'!$B$3:$O$14,11,FALSE))</f>
        <v>0</v>
      </c>
      <c r="Y43" s="521" t="b">
        <f>IF(AND(N43=1,K43="SIM"),VLOOKUP(C43,'AUX5-CUSTOS'!$B$3:$O$14,12,FALSE))</f>
        <v>0</v>
      </c>
      <c r="Z43" s="521" t="b">
        <f>IF(AND(N43=1,L43="SIM"),VLOOKUP(C43,'AUX5-CUSTOS'!$B$3:$O$14,13,FALSE))</f>
        <v>0</v>
      </c>
      <c r="AB43" s="521">
        <f t="shared" si="2"/>
        <v>0</v>
      </c>
      <c r="AC43" s="49" t="b">
        <f>IF(N43=1,VLOOKUP(C43,'AUX5-CUSTOS'!$B$3:$S$14,15,FALSE))</f>
        <v>0</v>
      </c>
      <c r="AD43" s="49" t="b">
        <f>IF(N43=1,VLOOKUP(C43,'AUX5-CUSTOS'!$B$3:$S$14,16,FALSE))</f>
        <v>0</v>
      </c>
      <c r="AE43" s="49" t="b">
        <f>IF(N43=1,VLOOKUP(C43,'AUX5-CUSTOS'!$B$3:$S$14,17,FALSE))</f>
        <v>0</v>
      </c>
      <c r="AF43" s="49" t="b">
        <f>IF(N43=1,VLOOKUP(C43,'AUX5-CUSTOS'!$B$3:$S$14,18,FALSE))</f>
        <v>0</v>
      </c>
      <c r="AG43" t="b">
        <f>IF(N43=1,VLOOKUP(C43,'AUX5-CUSTOS'!$B$3:$T$14,19,FALSE))</f>
        <v>0</v>
      </c>
    </row>
    <row r="44" spans="1:33" x14ac:dyDescent="0.3">
      <c r="M44" t="str">
        <f t="shared" si="3"/>
        <v xml:space="preserve">; ; </v>
      </c>
      <c r="N44">
        <f t="shared" si="4"/>
        <v>0</v>
      </c>
      <c r="O44" s="522" t="b">
        <f>IF(N44=1,VLOOKUP(C44,'AUX5-CUSTOS'!$B$3:$O$14,2,),IF(N44=2,VLOOKUP(C44,'AUX5-CUSTOS'!$B$17:$O$34,2,),IF(N44=3,VLOOKUP(C44,'AUX5-CUSTOS'!$B$36:$O$53,2,))))</f>
        <v>0</v>
      </c>
      <c r="P44" s="522" t="b">
        <f>IF(AND(N44=1,E44="SIM"),VLOOKUP(C44,'AUX5-CUSTOS'!$B$3:$O$14,3,FALSE))</f>
        <v>0</v>
      </c>
      <c r="Q44" s="522" t="b">
        <f>IF(AND(N44=1,F44="1 MANUAL"),VLOOKUP(C44,'AUX5-CUSTOS'!$B$3:$O$14,4,FALSE))</f>
        <v>0</v>
      </c>
      <c r="R44" s="522" t="b">
        <f>IF(AND(N44=1,F44="2 MANUAIS"),VLOOKUP(C44,'AUX5-CUSTOS'!$B$3:$O$14,5,FALSE))</f>
        <v>0</v>
      </c>
      <c r="S44" s="522" t="b">
        <f>IF(AND(N44=1,F44="1 COM ATUADOR ON/OFF"),VLOOKUP(C44,'AUX5-CUSTOS'!$B$3:$O$14,6,FALSE))</f>
        <v>0</v>
      </c>
      <c r="T44" s="522" t="b">
        <f>IF(AND(N44=1,F44="2 COM ATUADORES ON/OFF"),VLOOKUP(C44,'AUX5-CUSTOS'!$B$3:$O$14,7,FALSE))</f>
        <v>0</v>
      </c>
      <c r="U44" s="522" t="b">
        <f>IF(AND(N44=1,G44="Eletrônico"),VLOOKUP(C44,'AUX5-CUSTOS'!$B$3:$O$14,8,FALSE))</f>
        <v>0</v>
      </c>
      <c r="V44" s="522" t="b">
        <f>IF(AND(N44=1,H44="Proporcional"),VLOOKUP(C44,'AUX5-CUSTOS'!$B$3:$O$14,9,FALSE))</f>
        <v>0</v>
      </c>
      <c r="W44" s="522" t="b">
        <f>IF(AND(N44=1,I44="SIM"),VLOOKUP(C44,'AUX5-CUSTOS'!$B$3:$O$14,10,FALSE))</f>
        <v>0</v>
      </c>
      <c r="X44" s="521" t="b">
        <f>IF(AND(N44=1,J44="SIM"),VLOOKUP(C44,'AUX5-CUSTOS'!$B$3:$O$14,11,FALSE))</f>
        <v>0</v>
      </c>
      <c r="Y44" s="521" t="b">
        <f>IF(AND(N44=1,K44="SIM"),VLOOKUP(C44,'AUX5-CUSTOS'!$B$3:$O$14,12,FALSE))</f>
        <v>0</v>
      </c>
      <c r="Z44" s="521" t="b">
        <f>IF(AND(N44=1,L44="SIM"),VLOOKUP(C44,'AUX5-CUSTOS'!$B$3:$O$14,13,FALSE))</f>
        <v>0</v>
      </c>
      <c r="AB44" s="521">
        <f t="shared" si="2"/>
        <v>0</v>
      </c>
      <c r="AC44" s="49" t="b">
        <f>IF(N44=1,VLOOKUP(C44,'AUX5-CUSTOS'!$B$3:$S$14,15,FALSE))</f>
        <v>0</v>
      </c>
      <c r="AD44" s="49" t="b">
        <f>IF(N44=1,VLOOKUP(C44,'AUX5-CUSTOS'!$B$3:$S$14,16,FALSE))</f>
        <v>0</v>
      </c>
      <c r="AE44" s="49" t="b">
        <f>IF(N44=1,VLOOKUP(C44,'AUX5-CUSTOS'!$B$3:$S$14,17,FALSE))</f>
        <v>0</v>
      </c>
      <c r="AF44" s="49" t="b">
        <f>IF(N44=1,VLOOKUP(C44,'AUX5-CUSTOS'!$B$3:$S$14,18,FALSE))</f>
        <v>0</v>
      </c>
      <c r="AG44" t="b">
        <f>IF(N44=1,VLOOKUP(C44,'AUX5-CUSTOS'!$B$3:$T$14,19,FALSE))</f>
        <v>0</v>
      </c>
    </row>
    <row r="45" spans="1:33" x14ac:dyDescent="0.3">
      <c r="M45" t="str">
        <f t="shared" si="3"/>
        <v xml:space="preserve">; ; </v>
      </c>
      <c r="N45">
        <f t="shared" si="4"/>
        <v>0</v>
      </c>
      <c r="O45" s="522" t="b">
        <f>IF(N45=1,VLOOKUP(C45,'AUX5-CUSTOS'!$B$3:$O$14,2,),IF(N45=2,VLOOKUP(C45,'AUX5-CUSTOS'!$B$17:$O$34,2,),IF(N45=3,VLOOKUP(C45,'AUX5-CUSTOS'!$B$36:$O$53,2,))))</f>
        <v>0</v>
      </c>
      <c r="P45" s="522" t="b">
        <f>IF(AND(N45=1,E45="SIM"),VLOOKUP(C45,'AUX5-CUSTOS'!$B$3:$O$14,3,FALSE))</f>
        <v>0</v>
      </c>
      <c r="Q45" s="522" t="b">
        <f>IF(AND(N45=1,F45="1 MANUAL"),VLOOKUP(C45,'AUX5-CUSTOS'!$B$3:$O$14,4,FALSE))</f>
        <v>0</v>
      </c>
      <c r="R45" s="522" t="b">
        <f>IF(AND(N45=1,F45="2 MANUAIS"),VLOOKUP(C45,'AUX5-CUSTOS'!$B$3:$O$14,5,FALSE))</f>
        <v>0</v>
      </c>
      <c r="S45" s="522" t="b">
        <f>IF(AND(N45=1,F45="1 COM ATUADOR ON/OFF"),VLOOKUP(C45,'AUX5-CUSTOS'!$B$3:$O$14,6,FALSE))</f>
        <v>0</v>
      </c>
      <c r="T45" s="522" t="b">
        <f>IF(AND(N45=1,F45="2 COM ATUADORES ON/OFF"),VLOOKUP(C45,'AUX5-CUSTOS'!$B$3:$O$14,7,FALSE))</f>
        <v>0</v>
      </c>
      <c r="U45" s="522" t="b">
        <f>IF(AND(N45=1,G45="Eletrônico"),VLOOKUP(C45,'AUX5-CUSTOS'!$B$3:$O$14,8,FALSE))</f>
        <v>0</v>
      </c>
      <c r="V45" s="522" t="b">
        <f>IF(AND(N45=1,H45="Proporcional"),VLOOKUP(C45,'AUX5-CUSTOS'!$B$3:$O$14,9,FALSE))</f>
        <v>0</v>
      </c>
      <c r="W45" s="522" t="b">
        <f>IF(AND(N45=1,I45="SIM"),VLOOKUP(C45,'AUX5-CUSTOS'!$B$3:$O$14,10,FALSE))</f>
        <v>0</v>
      </c>
      <c r="X45" s="521" t="b">
        <f>IF(AND(N45=1,J45="SIM"),VLOOKUP(C45,'AUX5-CUSTOS'!$B$3:$O$14,11,FALSE))</f>
        <v>0</v>
      </c>
      <c r="Y45" s="521" t="b">
        <f>IF(AND(N45=1,K45="SIM"),VLOOKUP(C45,'AUX5-CUSTOS'!$B$3:$O$14,12,FALSE))</f>
        <v>0</v>
      </c>
      <c r="Z45" s="521" t="b">
        <f>IF(AND(N45=1,L45="SIM"),VLOOKUP(C45,'AUX5-CUSTOS'!$B$3:$O$14,13,FALSE))</f>
        <v>0</v>
      </c>
      <c r="AB45" s="521">
        <f t="shared" si="2"/>
        <v>0</v>
      </c>
      <c r="AC45" s="49" t="b">
        <f>IF(N45=1,VLOOKUP(C45,'AUX5-CUSTOS'!$B$3:$S$14,15,FALSE))</f>
        <v>0</v>
      </c>
      <c r="AD45" s="49" t="b">
        <f>IF(N45=1,VLOOKUP(C45,'AUX5-CUSTOS'!$B$3:$S$14,16,FALSE))</f>
        <v>0</v>
      </c>
      <c r="AE45" s="49" t="b">
        <f>IF(N45=1,VLOOKUP(C45,'AUX5-CUSTOS'!$B$3:$S$14,17,FALSE))</f>
        <v>0</v>
      </c>
      <c r="AF45" s="49" t="b">
        <f>IF(N45=1,VLOOKUP(C45,'AUX5-CUSTOS'!$B$3:$S$14,18,FALSE))</f>
        <v>0</v>
      </c>
      <c r="AG45" t="b">
        <f>IF(N45=1,VLOOKUP(C45,'AUX5-CUSTOS'!$B$3:$T$14,19,FALSE))</f>
        <v>0</v>
      </c>
    </row>
    <row r="46" spans="1:33" x14ac:dyDescent="0.3">
      <c r="M46" t="str">
        <f t="shared" si="3"/>
        <v xml:space="preserve">; ; </v>
      </c>
      <c r="N46">
        <f t="shared" si="4"/>
        <v>0</v>
      </c>
      <c r="O46" s="522" t="b">
        <f>IF(N46=1,VLOOKUP(C46,'AUX5-CUSTOS'!$B$3:$O$14,2,),IF(N46=2,VLOOKUP(C46,'AUX5-CUSTOS'!$B$17:$O$34,2,),IF(N46=3,VLOOKUP(C46,'AUX5-CUSTOS'!$B$36:$O$53,2,))))</f>
        <v>0</v>
      </c>
      <c r="P46" s="522" t="b">
        <f>IF(AND(N46=1,E46="SIM"),VLOOKUP(C46,'AUX5-CUSTOS'!$B$3:$O$14,3,FALSE))</f>
        <v>0</v>
      </c>
      <c r="Q46" s="522" t="b">
        <f>IF(AND(N46=1,F46="1 MANUAL"),VLOOKUP(C46,'AUX5-CUSTOS'!$B$3:$O$14,4,FALSE))</f>
        <v>0</v>
      </c>
      <c r="R46" s="522" t="b">
        <f>IF(AND(N46=1,F46="2 MANUAIS"),VLOOKUP(C46,'AUX5-CUSTOS'!$B$3:$O$14,5,FALSE))</f>
        <v>0</v>
      </c>
      <c r="S46" s="522" t="b">
        <f>IF(AND(N46=1,F46="1 COM ATUADOR ON/OFF"),VLOOKUP(C46,'AUX5-CUSTOS'!$B$3:$O$14,6,FALSE))</f>
        <v>0</v>
      </c>
      <c r="T46" s="522" t="b">
        <f>IF(AND(N46=1,F46="2 COM ATUADORES ON/OFF"),VLOOKUP(C46,'AUX5-CUSTOS'!$B$3:$O$14,7,FALSE))</f>
        <v>0</v>
      </c>
      <c r="U46" s="522" t="b">
        <f>IF(AND(N46=1,G46="Eletrônico"),VLOOKUP(C46,'AUX5-CUSTOS'!$B$3:$O$14,8,FALSE))</f>
        <v>0</v>
      </c>
      <c r="V46" s="522" t="b">
        <f>IF(AND(N46=1,H46="Proporcional"),VLOOKUP(C46,'AUX5-CUSTOS'!$B$3:$O$14,9,FALSE))</f>
        <v>0</v>
      </c>
      <c r="W46" s="522" t="b">
        <f>IF(AND(N46=1,I46="SIM"),VLOOKUP(C46,'AUX5-CUSTOS'!$B$3:$O$14,10,FALSE))</f>
        <v>0</v>
      </c>
      <c r="X46" s="521" t="b">
        <f>IF(AND(N46=1,J46="SIM"),VLOOKUP(C46,'AUX5-CUSTOS'!$B$3:$O$14,11,FALSE))</f>
        <v>0</v>
      </c>
      <c r="Y46" s="521" t="b">
        <f>IF(AND(N46=1,K46="SIM"),VLOOKUP(C46,'AUX5-CUSTOS'!$B$3:$O$14,12,FALSE))</f>
        <v>0</v>
      </c>
      <c r="Z46" s="521" t="b">
        <f>IF(AND(N46=1,L46="SIM"),VLOOKUP(C46,'AUX5-CUSTOS'!$B$3:$O$14,13,FALSE))</f>
        <v>0</v>
      </c>
      <c r="AB46" s="521">
        <f t="shared" si="2"/>
        <v>0</v>
      </c>
      <c r="AC46" s="49" t="b">
        <f>IF(N46=1,VLOOKUP(C46,'AUX5-CUSTOS'!$B$3:$S$14,15,FALSE))</f>
        <v>0</v>
      </c>
      <c r="AD46" s="49" t="b">
        <f>IF(N46=1,VLOOKUP(C46,'AUX5-CUSTOS'!$B$3:$S$14,16,FALSE))</f>
        <v>0</v>
      </c>
      <c r="AE46" s="49" t="b">
        <f>IF(N46=1,VLOOKUP(C46,'AUX5-CUSTOS'!$B$3:$S$14,17,FALSE))</f>
        <v>0</v>
      </c>
      <c r="AF46" s="49" t="b">
        <f>IF(N46=1,VLOOKUP(C46,'AUX5-CUSTOS'!$B$3:$S$14,18,FALSE))</f>
        <v>0</v>
      </c>
      <c r="AG46" t="b">
        <f>IF(N46=1,VLOOKUP(C46,'AUX5-CUSTOS'!$B$3:$T$14,19,FALSE))</f>
        <v>0</v>
      </c>
    </row>
    <row r="47" spans="1:33" x14ac:dyDescent="0.3">
      <c r="M47" t="str">
        <f t="shared" si="3"/>
        <v xml:space="preserve">; ; </v>
      </c>
      <c r="N47">
        <f t="shared" si="4"/>
        <v>0</v>
      </c>
      <c r="O47" s="522" t="b">
        <f>IF(N47=1,VLOOKUP(C47,'AUX5-CUSTOS'!$B$3:$O$14,2,),IF(N47=2,VLOOKUP(C47,'AUX5-CUSTOS'!$B$17:$O$34,2,),IF(N47=3,VLOOKUP(C47,'AUX5-CUSTOS'!$B$36:$O$53,2,))))</f>
        <v>0</v>
      </c>
      <c r="P47" s="522" t="b">
        <f>IF(AND(N47=1,E47="SIM"),VLOOKUP(C47,'AUX5-CUSTOS'!$B$3:$O$14,3,FALSE))</f>
        <v>0</v>
      </c>
      <c r="Q47" s="522" t="b">
        <f>IF(AND(N47=1,F47="1 MANUAL"),VLOOKUP(C47,'AUX5-CUSTOS'!$B$3:$O$14,4,FALSE))</f>
        <v>0</v>
      </c>
      <c r="R47" s="522" t="b">
        <f>IF(AND(N47=1,F47="2 MANUAIS"),VLOOKUP(C47,'AUX5-CUSTOS'!$B$3:$O$14,5,FALSE))</f>
        <v>0</v>
      </c>
      <c r="S47" s="522" t="b">
        <f>IF(AND(N47=1,F47="1 COM ATUADOR ON/OFF"),VLOOKUP(C47,'AUX5-CUSTOS'!$B$3:$O$14,6,FALSE))</f>
        <v>0</v>
      </c>
      <c r="T47" s="522" t="b">
        <f>IF(AND(N47=1,F47="2 COM ATUADORES ON/OFF"),VLOOKUP(C47,'AUX5-CUSTOS'!$B$3:$O$14,7,FALSE))</f>
        <v>0</v>
      </c>
      <c r="U47" s="522" t="b">
        <f>IF(AND(N47=1,G47="Eletrônico"),VLOOKUP(C47,'AUX5-CUSTOS'!$B$3:$O$14,8,FALSE))</f>
        <v>0</v>
      </c>
      <c r="V47" s="522" t="b">
        <f>IF(AND(N47=1,H47="Proporcional"),VLOOKUP(C47,'AUX5-CUSTOS'!$B$3:$O$14,9,FALSE))</f>
        <v>0</v>
      </c>
      <c r="W47" s="522" t="b">
        <f>IF(AND(N47=1,I47="SIM"),VLOOKUP(C47,'AUX5-CUSTOS'!$B$3:$O$14,10,FALSE))</f>
        <v>0</v>
      </c>
      <c r="X47" s="521" t="b">
        <f>IF(AND(N47=1,J47="SIM"),VLOOKUP(C47,'AUX5-CUSTOS'!$B$3:$O$14,11,FALSE))</f>
        <v>0</v>
      </c>
      <c r="Y47" s="521" t="b">
        <f>IF(AND(N47=1,K47="SIM"),VLOOKUP(C47,'AUX5-CUSTOS'!$B$3:$O$14,12,FALSE))</f>
        <v>0</v>
      </c>
      <c r="Z47" s="521" t="b">
        <f>IF(AND(N47=1,L47="SIM"),VLOOKUP(C47,'AUX5-CUSTOS'!$B$3:$O$14,13,FALSE))</f>
        <v>0</v>
      </c>
      <c r="AB47" s="521">
        <f t="shared" si="2"/>
        <v>0</v>
      </c>
      <c r="AC47" s="49" t="b">
        <f>IF(N47=1,VLOOKUP(C47,'AUX5-CUSTOS'!$B$3:$S$14,15,FALSE))</f>
        <v>0</v>
      </c>
      <c r="AD47" s="49" t="b">
        <f>IF(N47=1,VLOOKUP(C47,'AUX5-CUSTOS'!$B$3:$S$14,16,FALSE))</f>
        <v>0</v>
      </c>
      <c r="AE47" s="49" t="b">
        <f>IF(N47=1,VLOOKUP(C47,'AUX5-CUSTOS'!$B$3:$S$14,17,FALSE))</f>
        <v>0</v>
      </c>
      <c r="AF47" s="49" t="b">
        <f>IF(N47=1,VLOOKUP(C47,'AUX5-CUSTOS'!$B$3:$S$14,18,FALSE))</f>
        <v>0</v>
      </c>
      <c r="AG47" t="b">
        <f>IF(N47=1,VLOOKUP(C47,'AUX5-CUSTOS'!$B$3:$T$14,19,FALSE))</f>
        <v>0</v>
      </c>
    </row>
  </sheetData>
  <phoneticPr fontId="36" type="noConversion"/>
  <dataValidations count="9">
    <dataValidation type="list" allowBlank="1" showInputMessage="1" showErrorMessage="1" sqref="B2:B33" xr:uid="{D0B64893-B657-4C5D-9CAE-FCC02101D680}">
      <formula1>"Wall Mounted, Split System, Self Contained,"</formula1>
    </dataValidation>
    <dataValidation type="list" allowBlank="1" showInputMessage="1" showErrorMessage="1" sqref="D2:D33" xr:uid="{6D73377E-7E2F-49E0-A7F3-028D24273E29}">
      <formula1>"127V/1F,220V/1F,220V/3F,380V/3F,440V/3F,460V/3F,480V/3F,"</formula1>
    </dataValidation>
    <dataValidation type="list" allowBlank="1" showInputMessage="1" showErrorMessage="1" sqref="I2:I33 E2:E33" xr:uid="{48E95B09-D66D-4508-88F9-22CCA51D52E2}">
      <formula1>"SIM, NÃO,"</formula1>
    </dataValidation>
    <dataValidation type="list" allowBlank="1" showInputMessage="1" showErrorMessage="1" sqref="F2:F33" xr:uid="{124FDDA3-27E0-4404-BFB7-275220EF9287}">
      <formula1>"1 MANUAL, 2 MANUAIS, 1 COM ATUADOR ON/OFF, 2 COM ATUADORES ON/OFF, 1 C/ ATUADOR PROP, 2 C/ ATUADOR PROP,"</formula1>
    </dataValidation>
    <dataValidation type="list" allowBlank="1" showInputMessage="1" showErrorMessage="1" sqref="G2:G33" xr:uid="{7288FC8A-32A9-424F-AA02-18116644C4DA}">
      <formula1>"Sirocco, Eletrônico,"</formula1>
    </dataValidation>
    <dataValidation type="list" allowBlank="1" showInputMessage="1" showErrorMessage="1" sqref="H2:H33" xr:uid="{25A95CBA-983C-40A4-A9E5-7C7B8A7642FE}">
      <formula1>"ON/OFF, Proporcional,"</formula1>
    </dataValidation>
    <dataValidation type="list" allowBlank="1" showInputMessage="1" showErrorMessage="1" sqref="J2:L33" xr:uid="{8D8FF5E9-B1D5-4199-9FF9-3EBC80AD4CF9}">
      <formula1>"SIM,NÃO,"</formula1>
    </dataValidation>
    <dataValidation type="list" allowBlank="1" showInputMessage="1" showErrorMessage="1" sqref="C4:C33" xr:uid="{2413D349-C89D-4B19-B853-032C781F3C82}">
      <formula1>"1TR,2TR,3TR,4TR,5TR,7,5TR,10TR,12,5TR,15TR,20TR,25TR,30TR,35TR,40TR,45TR,50TR,55TR,60TR,"</formula1>
    </dataValidation>
    <dataValidation type="list" allowBlank="1" showInputMessage="1" showErrorMessage="1" sqref="C2:C3" xr:uid="{FFEC691F-154A-40FE-AF6C-F56AE6D5F373}">
      <mc:AlternateContent xmlns:x12ac="http://schemas.microsoft.com/office/spreadsheetml/2011/1/ac" xmlns:mc="http://schemas.openxmlformats.org/markup-compatibility/2006">
        <mc:Choice Requires="x12ac">
          <x12ac:list>1TR,2TR,3TR,4TR,5TR,"7,5TR",10TR,"12,5TR",15TR,20TR,25TR,30TR,35TR,40TR,45TR,50TR,55TR,60TR,</x12ac:list>
        </mc:Choice>
        <mc:Fallback>
          <formula1>"1TR,2TR,3TR,4TR,5TR,7,5TR,10TR,12,5TR,15TR,20TR,25TR,30TR,35TR,40TR,45TR,50TR,55TR,60TR,"</formula1>
        </mc:Fallback>
      </mc:AlternateContent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5C95F-5BE1-4C83-AFF6-75E9309C128B}">
  <dimension ref="A1:J23"/>
  <sheetViews>
    <sheetView topLeftCell="A6" zoomScale="120" zoomScaleNormal="120" workbookViewId="0">
      <selection activeCell="M12" sqref="M12"/>
    </sheetView>
  </sheetViews>
  <sheetFormatPr defaultRowHeight="14.4" x14ac:dyDescent="0.3"/>
  <cols>
    <col min="5" max="5" width="12.88671875" customWidth="1"/>
    <col min="7" max="7" width="14.88671875" customWidth="1"/>
  </cols>
  <sheetData>
    <row r="1" spans="1:10" ht="21" customHeight="1" x14ac:dyDescent="0.3">
      <c r="A1" s="778" t="s">
        <v>1380</v>
      </c>
      <c r="B1" s="779"/>
      <c r="C1" s="779"/>
      <c r="D1" s="779"/>
      <c r="E1" s="779"/>
      <c r="F1" s="779"/>
      <c r="G1" s="779"/>
      <c r="H1" s="779"/>
      <c r="I1" s="779"/>
      <c r="J1" s="780"/>
    </row>
    <row r="2" spans="1:10" ht="15.75" customHeight="1" x14ac:dyDescent="0.3">
      <c r="A2" s="708" t="e" vm="1">
        <v>#VALUE!</v>
      </c>
      <c r="B2" s="709"/>
      <c r="C2" s="782"/>
      <c r="D2" s="1079"/>
      <c r="E2" s="1080"/>
      <c r="F2" s="1080"/>
      <c r="G2" s="1080"/>
      <c r="H2" s="1080"/>
      <c r="I2" s="1080"/>
      <c r="J2" s="1081"/>
    </row>
    <row r="3" spans="1:10" ht="15" customHeight="1" x14ac:dyDescent="0.3">
      <c r="A3" s="708"/>
      <c r="B3" s="709"/>
      <c r="C3" s="782"/>
      <c r="D3" s="1082"/>
      <c r="E3" s="1083"/>
      <c r="F3" s="1083"/>
      <c r="G3" s="1083"/>
      <c r="H3" s="1083"/>
      <c r="I3" s="1083"/>
      <c r="J3" s="1084"/>
    </row>
    <row r="4" spans="1:10" ht="15.75" customHeight="1" x14ac:dyDescent="0.3">
      <c r="A4" s="708"/>
      <c r="B4" s="709"/>
      <c r="C4" s="782"/>
      <c r="D4" s="1082"/>
      <c r="E4" s="1083"/>
      <c r="F4" s="1083"/>
      <c r="G4" s="1083"/>
      <c r="H4" s="1083"/>
      <c r="I4" s="1083"/>
      <c r="J4" s="1084"/>
    </row>
    <row r="5" spans="1:10" ht="15.75" customHeight="1" x14ac:dyDescent="0.3">
      <c r="A5" s="708"/>
      <c r="B5" s="709"/>
      <c r="C5" s="782"/>
      <c r="D5" s="1082"/>
      <c r="E5" s="1083"/>
      <c r="F5" s="1083"/>
      <c r="G5" s="1083"/>
      <c r="H5" s="1083"/>
      <c r="I5" s="1083"/>
      <c r="J5" s="1084"/>
    </row>
    <row r="6" spans="1:10" ht="15.75" customHeight="1" x14ac:dyDescent="0.3">
      <c r="A6" s="783"/>
      <c r="B6" s="1078"/>
      <c r="C6" s="784"/>
      <c r="D6" s="1085"/>
      <c r="E6" s="1086"/>
      <c r="F6" s="1086"/>
      <c r="G6" s="1086"/>
      <c r="H6" s="1086"/>
      <c r="I6" s="1086"/>
      <c r="J6" s="1087"/>
    </row>
    <row r="7" spans="1:10" x14ac:dyDescent="0.3">
      <c r="A7" s="632" t="s">
        <v>1328</v>
      </c>
      <c r="B7" s="667" t="s">
        <v>1381</v>
      </c>
      <c r="C7" s="768" t="s">
        <v>1382</v>
      </c>
      <c r="D7" s="768"/>
      <c r="E7" s="768"/>
      <c r="F7" s="631" t="s">
        <v>1383</v>
      </c>
      <c r="G7" s="637" t="s">
        <v>1384</v>
      </c>
      <c r="H7" s="768" t="s">
        <v>779</v>
      </c>
      <c r="I7" s="768"/>
      <c r="J7" s="785"/>
    </row>
    <row r="8" spans="1:10" x14ac:dyDescent="0.3">
      <c r="A8" s="629" t="s">
        <v>1325</v>
      </c>
      <c r="B8" s="668"/>
      <c r="C8" s="781" t="s">
        <v>1385</v>
      </c>
      <c r="D8" s="781"/>
      <c r="E8" s="781"/>
      <c r="F8" s="628"/>
      <c r="G8" s="627"/>
      <c r="H8" s="766"/>
      <c r="I8" s="766"/>
      <c r="J8" s="767"/>
    </row>
    <row r="9" spans="1:10" x14ac:dyDescent="0.3">
      <c r="A9" s="626" t="s">
        <v>89</v>
      </c>
      <c r="B9" s="669" t="s">
        <v>836</v>
      </c>
      <c r="C9" s="769" t="s">
        <v>177</v>
      </c>
      <c r="D9" s="770"/>
      <c r="E9" s="771"/>
      <c r="F9" s="630" t="s">
        <v>1386</v>
      </c>
      <c r="G9" s="633" t="s">
        <v>1387</v>
      </c>
      <c r="H9" s="753"/>
      <c r="I9" s="754"/>
      <c r="J9" s="755"/>
    </row>
    <row r="10" spans="1:10" x14ac:dyDescent="0.3">
      <c r="A10" s="626" t="s">
        <v>93</v>
      </c>
      <c r="B10" s="669" t="s">
        <v>856</v>
      </c>
      <c r="C10" s="769" t="s">
        <v>177</v>
      </c>
      <c r="D10" s="770"/>
      <c r="E10" s="771"/>
      <c r="F10" s="630" t="s">
        <v>1386</v>
      </c>
      <c r="G10" s="633" t="s">
        <v>1387</v>
      </c>
      <c r="H10" s="753"/>
      <c r="I10" s="754"/>
      <c r="J10" s="755"/>
    </row>
    <row r="11" spans="1:10" x14ac:dyDescent="0.3">
      <c r="A11" s="626" t="s">
        <v>94</v>
      </c>
      <c r="B11" s="669" t="s">
        <v>1388</v>
      </c>
      <c r="C11" s="769" t="s">
        <v>1389</v>
      </c>
      <c r="D11" s="770"/>
      <c r="E11" s="771"/>
      <c r="F11" s="630" t="s">
        <v>1390</v>
      </c>
      <c r="G11" s="633" t="s">
        <v>904</v>
      </c>
      <c r="H11" s="753"/>
      <c r="I11" s="754"/>
      <c r="J11" s="755"/>
    </row>
    <row r="12" spans="1:10" x14ac:dyDescent="0.3">
      <c r="A12" s="626" t="s">
        <v>95</v>
      </c>
      <c r="B12" s="669" t="s">
        <v>1391</v>
      </c>
      <c r="C12" s="772" t="s">
        <v>1392</v>
      </c>
      <c r="D12" s="756"/>
      <c r="E12" s="757"/>
      <c r="F12" s="630" t="s">
        <v>1390</v>
      </c>
      <c r="G12" s="633" t="s">
        <v>904</v>
      </c>
      <c r="H12" s="753"/>
      <c r="I12" s="754"/>
      <c r="J12" s="755"/>
    </row>
    <row r="13" spans="1:10" ht="15" customHeight="1" x14ac:dyDescent="0.3">
      <c r="A13" s="626" t="s">
        <v>163</v>
      </c>
      <c r="B13" s="669" t="s">
        <v>1393</v>
      </c>
      <c r="C13" s="772" t="s">
        <v>1394</v>
      </c>
      <c r="D13" s="756"/>
      <c r="E13" s="757"/>
      <c r="F13" s="630" t="s">
        <v>1390</v>
      </c>
      <c r="G13" s="633" t="s">
        <v>904</v>
      </c>
      <c r="H13" s="753"/>
      <c r="I13" s="754"/>
      <c r="J13" s="755"/>
    </row>
    <row r="14" spans="1:10" x14ac:dyDescent="0.3">
      <c r="A14" s="629" t="s">
        <v>1318</v>
      </c>
      <c r="B14" s="670"/>
      <c r="C14" s="775" t="s">
        <v>1395</v>
      </c>
      <c r="D14" s="776"/>
      <c r="E14" s="777"/>
      <c r="F14" s="628"/>
      <c r="G14" s="627"/>
      <c r="H14" s="758"/>
      <c r="I14" s="759"/>
      <c r="J14" s="760"/>
    </row>
    <row r="15" spans="1:10" ht="15" customHeight="1" x14ac:dyDescent="0.3">
      <c r="A15" s="626" t="s">
        <v>97</v>
      </c>
      <c r="B15" s="669" t="s">
        <v>836</v>
      </c>
      <c r="C15" s="769" t="s">
        <v>177</v>
      </c>
      <c r="D15" s="770"/>
      <c r="E15" s="771"/>
      <c r="F15" s="630" t="s">
        <v>1386</v>
      </c>
      <c r="G15" s="633" t="s">
        <v>1387</v>
      </c>
      <c r="H15" s="753"/>
      <c r="I15" s="754"/>
      <c r="J15" s="755"/>
    </row>
    <row r="16" spans="1:10" ht="15" customHeight="1" x14ac:dyDescent="0.3">
      <c r="A16" s="626" t="s">
        <v>98</v>
      </c>
      <c r="B16" s="669" t="s">
        <v>856</v>
      </c>
      <c r="C16" s="769" t="s">
        <v>177</v>
      </c>
      <c r="D16" s="770"/>
      <c r="E16" s="771"/>
      <c r="F16" s="630" t="s">
        <v>1386</v>
      </c>
      <c r="G16" s="633" t="s">
        <v>1387</v>
      </c>
      <c r="H16" s="753"/>
      <c r="I16" s="754"/>
      <c r="J16" s="755"/>
    </row>
    <row r="17" spans="1:10" ht="15" customHeight="1" x14ac:dyDescent="0.3">
      <c r="A17" s="626" t="s">
        <v>99</v>
      </c>
      <c r="B17" s="669" t="s">
        <v>1388</v>
      </c>
      <c r="C17" s="769" t="s">
        <v>1389</v>
      </c>
      <c r="D17" s="770"/>
      <c r="E17" s="771"/>
      <c r="F17" s="630" t="s">
        <v>1390</v>
      </c>
      <c r="G17" s="633" t="s">
        <v>904</v>
      </c>
      <c r="H17" s="753"/>
      <c r="I17" s="754"/>
      <c r="J17" s="755"/>
    </row>
    <row r="18" spans="1:10" ht="15" customHeight="1" x14ac:dyDescent="0.3">
      <c r="A18" s="626" t="s">
        <v>100</v>
      </c>
      <c r="B18" s="669" t="s">
        <v>1391</v>
      </c>
      <c r="C18" s="772" t="s">
        <v>1392</v>
      </c>
      <c r="D18" s="756"/>
      <c r="E18" s="757"/>
      <c r="F18" s="630" t="s">
        <v>1390</v>
      </c>
      <c r="G18" s="633" t="s">
        <v>904</v>
      </c>
      <c r="H18" s="753"/>
      <c r="I18" s="754"/>
      <c r="J18" s="755"/>
    </row>
    <row r="19" spans="1:10" ht="15" customHeight="1" x14ac:dyDescent="0.3">
      <c r="A19" s="626" t="s">
        <v>101</v>
      </c>
      <c r="B19" s="669" t="s">
        <v>1393</v>
      </c>
      <c r="C19" s="772" t="s">
        <v>1394</v>
      </c>
      <c r="D19" s="756"/>
      <c r="E19" s="757"/>
      <c r="F19" s="630" t="s">
        <v>1390</v>
      </c>
      <c r="G19" s="633" t="s">
        <v>904</v>
      </c>
      <c r="H19" s="753"/>
      <c r="I19" s="754"/>
      <c r="J19" s="755"/>
    </row>
    <row r="20" spans="1:10" ht="15" customHeight="1" x14ac:dyDescent="0.3">
      <c r="A20" s="629" t="s">
        <v>1310</v>
      </c>
      <c r="B20" s="670"/>
      <c r="C20" s="775" t="s">
        <v>1396</v>
      </c>
      <c r="D20" s="776"/>
      <c r="E20" s="777"/>
      <c r="F20" s="628"/>
      <c r="G20" s="627"/>
      <c r="H20" s="758"/>
      <c r="I20" s="759"/>
      <c r="J20" s="760"/>
    </row>
    <row r="21" spans="1:10" x14ac:dyDescent="0.3">
      <c r="A21" s="626" t="s">
        <v>102</v>
      </c>
      <c r="B21" s="669" t="s">
        <v>1397</v>
      </c>
      <c r="C21" s="769" t="s">
        <v>1398</v>
      </c>
      <c r="D21" s="770"/>
      <c r="E21" s="771"/>
      <c r="F21" s="671" t="s">
        <v>1386</v>
      </c>
      <c r="G21" s="633" t="s">
        <v>1387</v>
      </c>
      <c r="H21" s="753"/>
      <c r="I21" s="754"/>
      <c r="J21" s="755"/>
    </row>
    <row r="22" spans="1:10" x14ac:dyDescent="0.3">
      <c r="A22" s="626" t="s">
        <v>103</v>
      </c>
      <c r="B22" s="669" t="s">
        <v>1397</v>
      </c>
      <c r="C22" s="769" t="s">
        <v>1398</v>
      </c>
      <c r="D22" s="770"/>
      <c r="E22" s="771"/>
      <c r="F22" s="671" t="s">
        <v>1386</v>
      </c>
      <c r="G22" s="633" t="s">
        <v>1387</v>
      </c>
      <c r="H22" s="753"/>
      <c r="I22" s="754"/>
      <c r="J22" s="755"/>
    </row>
    <row r="23" spans="1:10" x14ac:dyDescent="0.3">
      <c r="A23" s="626" t="s">
        <v>104</v>
      </c>
      <c r="B23" s="669" t="s">
        <v>1388</v>
      </c>
      <c r="C23" s="769" t="s">
        <v>1399</v>
      </c>
      <c r="D23" s="770"/>
      <c r="E23" s="771"/>
      <c r="F23" s="630" t="s">
        <v>1390</v>
      </c>
      <c r="G23" s="633" t="s">
        <v>904</v>
      </c>
      <c r="H23" s="753"/>
      <c r="I23" s="754"/>
      <c r="J23" s="755"/>
    </row>
  </sheetData>
  <mergeCells count="37">
    <mergeCell ref="C8:E8"/>
    <mergeCell ref="H8:J8"/>
    <mergeCell ref="A1:J1"/>
    <mergeCell ref="A2:C6"/>
    <mergeCell ref="D2:J6"/>
    <mergeCell ref="C7:E7"/>
    <mergeCell ref="H7:J7"/>
    <mergeCell ref="C9:E9"/>
    <mergeCell ref="H9:J9"/>
    <mergeCell ref="C10:E10"/>
    <mergeCell ref="H10:J10"/>
    <mergeCell ref="C11:E11"/>
    <mergeCell ref="H11:J11"/>
    <mergeCell ref="C12:E12"/>
    <mergeCell ref="H12:J12"/>
    <mergeCell ref="C13:E13"/>
    <mergeCell ref="H13:J13"/>
    <mergeCell ref="C14:E14"/>
    <mergeCell ref="H14:J14"/>
    <mergeCell ref="C15:E15"/>
    <mergeCell ref="H15:J15"/>
    <mergeCell ref="C16:E16"/>
    <mergeCell ref="H16:J16"/>
    <mergeCell ref="C17:E17"/>
    <mergeCell ref="H17:J17"/>
    <mergeCell ref="C18:E18"/>
    <mergeCell ref="H18:J18"/>
    <mergeCell ref="C19:E19"/>
    <mergeCell ref="H19:J19"/>
    <mergeCell ref="C20:E20"/>
    <mergeCell ref="H20:J20"/>
    <mergeCell ref="C21:E21"/>
    <mergeCell ref="H21:J21"/>
    <mergeCell ref="C22:E22"/>
    <mergeCell ref="H22:J22"/>
    <mergeCell ref="C23:E23"/>
    <mergeCell ref="H23:J23"/>
  </mergeCells>
  <printOptions horizontalCentered="1"/>
  <pageMargins left="0.19685039370078741" right="0.19685039370078741" top="0.19685039370078741" bottom="0.19685039370078741" header="0.19685039370078741" footer="0.19685039370078741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D5D39-449C-4A22-829B-1BD0C62FC657}">
  <sheetPr codeName="Planilha24"/>
  <dimension ref="A1:AH146"/>
  <sheetViews>
    <sheetView tabSelected="1" zoomScale="90" zoomScaleNormal="90" workbookViewId="0">
      <selection activeCell="E5" sqref="E5"/>
    </sheetView>
  </sheetViews>
  <sheetFormatPr defaultRowHeight="14.4" x14ac:dyDescent="0.3"/>
  <cols>
    <col min="1" max="1" width="23.6640625" customWidth="1"/>
    <col min="2" max="2" width="15.88671875" style="49" customWidth="1"/>
    <col min="3" max="3" width="13.6640625" style="521" customWidth="1"/>
    <col min="4" max="4" width="15.88671875" style="521" customWidth="1"/>
    <col min="5" max="5" width="19.5546875" style="521" customWidth="1"/>
    <col min="6" max="6" width="24.109375" style="521" customWidth="1"/>
    <col min="7" max="7" width="28.88671875" style="49" customWidth="1"/>
    <col min="8" max="8" width="31.44140625" style="49" customWidth="1"/>
    <col min="9" max="9" width="23.109375" style="49" customWidth="1"/>
    <col min="10" max="10" width="40.44140625" style="49" customWidth="1"/>
    <col min="11" max="11" width="27.33203125" style="49" customWidth="1"/>
    <col min="12" max="12" width="25.109375" style="49" customWidth="1"/>
    <col min="13" max="13" width="32.6640625" style="49" customWidth="1"/>
    <col min="14" max="14" width="20" style="49" customWidth="1"/>
    <col min="15" max="15" width="18" style="3" customWidth="1"/>
    <col min="16" max="16" width="14.5546875" style="49" customWidth="1"/>
    <col min="17" max="18" width="9.109375" style="49"/>
    <col min="19" max="19" width="12.33203125" style="49" customWidth="1"/>
    <col min="20" max="20" width="18.77734375" customWidth="1"/>
    <col min="22" max="22" width="13.5546875" customWidth="1"/>
    <col min="23" max="23" width="19.33203125" bestFit="1" customWidth="1"/>
    <col min="24" max="24" width="16.6640625" bestFit="1" customWidth="1"/>
    <col min="25" max="25" width="18.5546875" bestFit="1" customWidth="1"/>
    <col min="26" max="26" width="27.6640625" bestFit="1" customWidth="1"/>
    <col min="27" max="27" width="28.5546875" bestFit="1" customWidth="1"/>
    <col min="28" max="28" width="20.33203125" bestFit="1" customWidth="1"/>
    <col min="29" max="29" width="36.33203125" bestFit="1" customWidth="1"/>
    <col min="30" max="30" width="11.44140625" bestFit="1" customWidth="1"/>
    <col min="31" max="31" width="19.5546875" bestFit="1" customWidth="1"/>
    <col min="32" max="32" width="26.88671875" bestFit="1" customWidth="1"/>
    <col min="33" max="33" width="15.33203125" bestFit="1" customWidth="1"/>
    <col min="34" max="34" width="16.5546875" bestFit="1" customWidth="1"/>
  </cols>
  <sheetData>
    <row r="1" spans="1:34" x14ac:dyDescent="0.3">
      <c r="B1" s="1088" t="s">
        <v>157</v>
      </c>
      <c r="C1" s="1088"/>
      <c r="D1" s="1088"/>
      <c r="E1" s="1088"/>
      <c r="F1" s="1088"/>
      <c r="G1" s="1088"/>
      <c r="H1" s="1088"/>
      <c r="I1" s="1088"/>
      <c r="J1" s="1088"/>
      <c r="K1" s="1088"/>
      <c r="L1" s="1088"/>
      <c r="M1" s="1088"/>
      <c r="N1" s="1088"/>
      <c r="O1" s="1088"/>
    </row>
    <row r="2" spans="1:34" x14ac:dyDescent="0.3">
      <c r="A2" t="s">
        <v>1377</v>
      </c>
      <c r="B2" s="49">
        <v>1.06</v>
      </c>
      <c r="C2" s="528" t="s">
        <v>935</v>
      </c>
      <c r="D2" s="528" t="s">
        <v>885</v>
      </c>
      <c r="E2" s="528" t="s">
        <v>936</v>
      </c>
      <c r="F2" s="528" t="s">
        <v>1285</v>
      </c>
      <c r="G2" s="291" t="s">
        <v>938</v>
      </c>
      <c r="H2" s="291" t="s">
        <v>939</v>
      </c>
      <c r="I2" s="291" t="s">
        <v>940</v>
      </c>
      <c r="J2" s="291" t="s">
        <v>941</v>
      </c>
      <c r="K2" s="291" t="s">
        <v>889</v>
      </c>
      <c r="L2" s="291" t="s">
        <v>890</v>
      </c>
      <c r="M2" s="291" t="s">
        <v>942</v>
      </c>
      <c r="N2" s="291" t="s">
        <v>891</v>
      </c>
      <c r="O2" s="291" t="s">
        <v>943</v>
      </c>
      <c r="P2" s="533" t="s">
        <v>956</v>
      </c>
      <c r="Q2" s="533" t="s">
        <v>697</v>
      </c>
      <c r="R2" s="533" t="s">
        <v>696</v>
      </c>
      <c r="S2" s="533" t="s">
        <v>701</v>
      </c>
      <c r="T2" s="533" t="s">
        <v>987</v>
      </c>
      <c r="V2" s="533" t="s">
        <v>1341</v>
      </c>
      <c r="W2" s="528" t="s">
        <v>885</v>
      </c>
      <c r="X2" s="528" t="s">
        <v>936</v>
      </c>
      <c r="Y2" s="528" t="s">
        <v>1285</v>
      </c>
      <c r="Z2" s="291" t="s">
        <v>938</v>
      </c>
      <c r="AA2" s="291" t="s">
        <v>939</v>
      </c>
      <c r="AB2" s="291" t="s">
        <v>940</v>
      </c>
      <c r="AC2" s="291" t="s">
        <v>941</v>
      </c>
      <c r="AD2" s="291" t="s">
        <v>889</v>
      </c>
      <c r="AE2" s="291" t="s">
        <v>890</v>
      </c>
      <c r="AF2" s="291" t="s">
        <v>942</v>
      </c>
      <c r="AG2" s="291" t="s">
        <v>891</v>
      </c>
      <c r="AH2" s="291" t="s">
        <v>943</v>
      </c>
    </row>
    <row r="3" spans="1:34" x14ac:dyDescent="0.3">
      <c r="A3" t="s">
        <v>157</v>
      </c>
      <c r="B3" s="6" t="s">
        <v>907</v>
      </c>
      <c r="C3" s="532">
        <v>26890</v>
      </c>
      <c r="D3" s="522">
        <f>5300</f>
        <v>5300</v>
      </c>
      <c r="E3" s="521">
        <v>200</v>
      </c>
      <c r="F3" s="521">
        <v>9200</v>
      </c>
      <c r="G3" s="521">
        <v>2070</v>
      </c>
      <c r="H3" s="532">
        <f>F3+2400</f>
        <v>11600</v>
      </c>
      <c r="I3" s="532">
        <v>4000</v>
      </c>
      <c r="J3" s="532">
        <f>I3+D3</f>
        <v>9300</v>
      </c>
      <c r="K3" s="521">
        <v>1400</v>
      </c>
      <c r="L3" s="521">
        <v>1100</v>
      </c>
      <c r="M3" s="521">
        <f>1200+900</f>
        <v>2100</v>
      </c>
      <c r="N3" s="532">
        <f>5500</f>
        <v>5500</v>
      </c>
      <c r="O3" s="530">
        <f>(C3*1.5)-C3</f>
        <v>13445</v>
      </c>
      <c r="P3" s="534" t="s">
        <v>704</v>
      </c>
      <c r="Q3" s="534" t="s">
        <v>986</v>
      </c>
      <c r="R3" s="534" t="s">
        <v>985</v>
      </c>
      <c r="S3" s="49" t="s">
        <v>957</v>
      </c>
      <c r="T3" s="534" t="s">
        <v>977</v>
      </c>
      <c r="V3" s="521">
        <f>SUM(C3,W3:AH3)</f>
        <v>44660</v>
      </c>
      <c r="W3" s="521">
        <f>IF('FD EQUIP 1'!$F$17="Embarcada",'AUX5-CUSTOS'!D3,IF('FD EQUIP 1'!$F$17="Não",0))</f>
        <v>5300</v>
      </c>
      <c r="X3" s="521"/>
      <c r="Y3" s="532"/>
      <c r="Z3" s="521">
        <f>IF('FD EQUIP 1'!$F$32="Com Atuador",'AUX5-CUSTOS'!G3,0)</f>
        <v>2070</v>
      </c>
      <c r="AA3" s="521"/>
      <c r="AB3" s="521" cm="1">
        <f t="array" ref="AB3">IF('FD EQUIP 1'!$F$30:$F$30="Eletrônico",'AUX5-CUSTOS'!I3,0)</f>
        <v>0</v>
      </c>
      <c r="AC3" s="521">
        <f>IF('FD EQUIP 1'!$F$31="Proporcional",'AUX5-CUSTOS'!J3,0)</f>
        <v>9300</v>
      </c>
      <c r="AD3" s="521">
        <f>IF('FD EQUIP 1'!$F$38="Sim",'AUX5-CUSTOS'!K3,0)</f>
        <v>0</v>
      </c>
      <c r="AE3" s="521">
        <f>IF('FD EQUIP 1'!$F$35="Sim",'AUX5-CUSTOS'!L3,0)</f>
        <v>1100</v>
      </c>
      <c r="AF3" s="521">
        <f>IF('FD EQUIP 1'!$F$33="Sim",'AUX5-CUSTOS'!M3,0)</f>
        <v>0</v>
      </c>
      <c r="AG3" s="521">
        <f>IF('FD EQUIP 1'!$F$39="Sim",'AUX5-CUSTOS'!N3,0)</f>
        <v>0</v>
      </c>
      <c r="AH3" s="521">
        <f>IF('FD EQUIP 1'!$F$41="Sim",'AUX5-CUSTOS'!O3,0)</f>
        <v>0</v>
      </c>
    </row>
    <row r="4" spans="1:34" x14ac:dyDescent="0.3">
      <c r="A4" t="s">
        <v>157</v>
      </c>
      <c r="B4" s="6" t="s">
        <v>911</v>
      </c>
      <c r="C4" s="521">
        <f>26890*B2</f>
        <v>28503.4</v>
      </c>
      <c r="D4" s="522">
        <f>5300</f>
        <v>5300</v>
      </c>
      <c r="E4" s="521">
        <v>200</v>
      </c>
      <c r="F4" s="521">
        <v>9200</v>
      </c>
      <c r="G4" s="521">
        <v>2070</v>
      </c>
      <c r="H4" s="532">
        <f t="shared" ref="H4:H14" si="0">F4+2400</f>
        <v>11600</v>
      </c>
      <c r="I4" s="532">
        <v>4000</v>
      </c>
      <c r="J4" s="532">
        <f t="shared" ref="J4:J14" si="1">I4+D4</f>
        <v>9300</v>
      </c>
      <c r="K4" s="521">
        <v>1400</v>
      </c>
      <c r="L4" s="521">
        <v>1100</v>
      </c>
      <c r="M4" s="521">
        <f t="shared" ref="M4:M8" si="2">1200+900</f>
        <v>2100</v>
      </c>
      <c r="N4" s="532">
        <f>5500</f>
        <v>5500</v>
      </c>
      <c r="O4" s="530">
        <f t="shared" ref="O4:O14" si="3">(C4*1.5)-C4</f>
        <v>14251.700000000004</v>
      </c>
      <c r="P4" s="534" t="s">
        <v>704</v>
      </c>
      <c r="Q4" s="534" t="s">
        <v>986</v>
      </c>
      <c r="R4" s="534" t="s">
        <v>985</v>
      </c>
      <c r="S4" s="49" t="s">
        <v>957</v>
      </c>
      <c r="T4" s="534" t="s">
        <v>977</v>
      </c>
      <c r="V4" s="521">
        <f t="shared" ref="V4:V14" si="4">SUM(C4,W4:AH4)</f>
        <v>46273.4</v>
      </c>
      <c r="W4" s="521">
        <f>IF('FD EQUIP 1'!$F$17="Embarcada",'AUX5-CUSTOS'!D4,IF('FD EQUIP 1'!$F$17="Não",0))</f>
        <v>5300</v>
      </c>
      <c r="X4" s="521"/>
      <c r="Y4" s="532"/>
      <c r="Z4" s="521">
        <f>IF('FD EQUIP 1'!$F$32="Com Atuador",'AUX5-CUSTOS'!G4,0)</f>
        <v>2070</v>
      </c>
      <c r="AA4" s="521"/>
      <c r="AB4" s="521" cm="1">
        <f t="array" ref="AB4">IF('FD EQUIP 1'!$F$30:$F$30="Eletrônico",'AUX5-CUSTOS'!I4,0)</f>
        <v>0</v>
      </c>
      <c r="AC4" s="521">
        <f>IF('FD EQUIP 1'!$F$31="Proporcional",'AUX5-CUSTOS'!J4,0)</f>
        <v>9300</v>
      </c>
      <c r="AD4" s="521">
        <f>IF('FD EQUIP 1'!$F$38="Sim",'AUX5-CUSTOS'!K4,0)</f>
        <v>0</v>
      </c>
      <c r="AE4" s="521">
        <f>IF('FD EQUIP 1'!$F$35="Sim",'AUX5-CUSTOS'!L4,0)</f>
        <v>1100</v>
      </c>
      <c r="AF4" s="521">
        <f>IF('FD EQUIP 1'!$F$33="Sim",'AUX5-CUSTOS'!M4,0)</f>
        <v>0</v>
      </c>
      <c r="AG4" s="521">
        <f>IF('FD EQUIP 1'!$F$39="Sim",'AUX5-CUSTOS'!N4,0)</f>
        <v>0</v>
      </c>
      <c r="AH4" s="521">
        <f>IF('FD EQUIP 1'!$F$41="Sim",'AUX5-CUSTOS'!O4,0)</f>
        <v>0</v>
      </c>
    </row>
    <row r="5" spans="1:34" x14ac:dyDescent="0.3">
      <c r="A5" t="s">
        <v>157</v>
      </c>
      <c r="B5" s="6" t="s">
        <v>913</v>
      </c>
      <c r="C5" s="521">
        <f>32880*B2</f>
        <v>34852.800000000003</v>
      </c>
      <c r="D5" s="522">
        <f>5300</f>
        <v>5300</v>
      </c>
      <c r="E5" s="521">
        <v>200</v>
      </c>
      <c r="F5" s="521">
        <v>9200</v>
      </c>
      <c r="G5" s="521">
        <v>2070</v>
      </c>
      <c r="H5" s="532">
        <f t="shared" si="0"/>
        <v>11600</v>
      </c>
      <c r="I5" s="532">
        <v>4000</v>
      </c>
      <c r="J5" s="532">
        <f t="shared" si="1"/>
        <v>9300</v>
      </c>
      <c r="K5" s="521">
        <v>1400</v>
      </c>
      <c r="L5" s="521">
        <v>1100</v>
      </c>
      <c r="M5" s="521">
        <f t="shared" si="2"/>
        <v>2100</v>
      </c>
      <c r="N5" s="532">
        <f>5500</f>
        <v>5500</v>
      </c>
      <c r="O5" s="530">
        <f t="shared" si="3"/>
        <v>17426.400000000001</v>
      </c>
      <c r="P5" s="534" t="s">
        <v>704</v>
      </c>
      <c r="Q5" s="534" t="s">
        <v>986</v>
      </c>
      <c r="R5" s="534" t="s">
        <v>985</v>
      </c>
      <c r="S5" s="49" t="s">
        <v>957</v>
      </c>
      <c r="T5" s="534" t="s">
        <v>977</v>
      </c>
      <c r="V5" s="521">
        <f t="shared" si="4"/>
        <v>52622.8</v>
      </c>
      <c r="W5" s="521">
        <f>IF('FD EQUIP 1'!$F$17="Embarcada",'AUX5-CUSTOS'!D5,IF('FD EQUIP 1'!$F$17="Não",0))</f>
        <v>5300</v>
      </c>
      <c r="X5" s="521"/>
      <c r="Y5" s="532"/>
      <c r="Z5" s="521">
        <f>IF('FD EQUIP 1'!$F$32="Com Atuador",'AUX5-CUSTOS'!G5,0)</f>
        <v>2070</v>
      </c>
      <c r="AA5" s="521"/>
      <c r="AB5" s="521" cm="1">
        <f t="array" ref="AB5">IF('FD EQUIP 1'!$F$30:$F$30="Eletrônico",'AUX5-CUSTOS'!I5,0)</f>
        <v>0</v>
      </c>
      <c r="AC5" s="521">
        <f>IF('FD EQUIP 1'!$F$31="Proporcional",'AUX5-CUSTOS'!J5,0)</f>
        <v>9300</v>
      </c>
      <c r="AD5" s="521">
        <f>IF('FD EQUIP 1'!$F$38="Sim",'AUX5-CUSTOS'!K5,0)</f>
        <v>0</v>
      </c>
      <c r="AE5" s="521">
        <f>IF('FD EQUIP 1'!$F$35="Sim",'AUX5-CUSTOS'!L5,0)</f>
        <v>1100</v>
      </c>
      <c r="AF5" s="521">
        <f>IF('FD EQUIP 1'!$F$33="Sim",'AUX5-CUSTOS'!M5,0)</f>
        <v>0</v>
      </c>
      <c r="AG5" s="521">
        <f>IF('FD EQUIP 1'!$F$39="Sim",'AUX5-CUSTOS'!N5,0)</f>
        <v>0</v>
      </c>
      <c r="AH5" s="521">
        <f>IF('FD EQUIP 1'!$F$41="Sim",'AUX5-CUSTOS'!O5,0)</f>
        <v>0</v>
      </c>
    </row>
    <row r="6" spans="1:34" x14ac:dyDescent="0.3">
      <c r="A6" t="s">
        <v>157</v>
      </c>
      <c r="B6" s="6" t="s">
        <v>914</v>
      </c>
      <c r="C6" s="521">
        <f>40520*B2</f>
        <v>42951.200000000004</v>
      </c>
      <c r="D6" s="522">
        <f>5300</f>
        <v>5300</v>
      </c>
      <c r="E6" s="521">
        <v>200</v>
      </c>
      <c r="F6" s="521">
        <v>9200</v>
      </c>
      <c r="G6" s="521">
        <v>2070</v>
      </c>
      <c r="H6" s="532">
        <f t="shared" si="0"/>
        <v>11600</v>
      </c>
      <c r="I6" s="532">
        <v>4000</v>
      </c>
      <c r="J6" s="532">
        <f t="shared" si="1"/>
        <v>9300</v>
      </c>
      <c r="K6" s="521">
        <v>1400</v>
      </c>
      <c r="L6" s="521">
        <v>1100</v>
      </c>
      <c r="M6" s="521">
        <f t="shared" si="2"/>
        <v>2100</v>
      </c>
      <c r="N6" s="532">
        <f>5500</f>
        <v>5500</v>
      </c>
      <c r="O6" s="530">
        <f t="shared" si="3"/>
        <v>21475.599999999999</v>
      </c>
      <c r="P6" s="534" t="s">
        <v>704</v>
      </c>
      <c r="Q6" s="534" t="s">
        <v>986</v>
      </c>
      <c r="R6" s="534" t="s">
        <v>985</v>
      </c>
      <c r="S6" s="49" t="s">
        <v>957</v>
      </c>
      <c r="T6" s="534" t="s">
        <v>977</v>
      </c>
      <c r="V6" s="521">
        <f t="shared" si="4"/>
        <v>60721.200000000004</v>
      </c>
      <c r="W6" s="521">
        <f>IF('FD EQUIP 1'!$F$17="Embarcada",'AUX5-CUSTOS'!D6,IF('FD EQUIP 1'!$F$17="Não",0))</f>
        <v>5300</v>
      </c>
      <c r="X6" s="521"/>
      <c r="Y6" s="532"/>
      <c r="Z6" s="521">
        <f>IF('FD EQUIP 1'!$F$32="Com Atuador",'AUX5-CUSTOS'!G6,0)</f>
        <v>2070</v>
      </c>
      <c r="AA6" s="521"/>
      <c r="AB6" s="521" cm="1">
        <f t="array" ref="AB6">IF('FD EQUIP 1'!$F$30:$F$30="Eletrônico",'AUX5-CUSTOS'!I6,0)</f>
        <v>0</v>
      </c>
      <c r="AC6" s="521">
        <f>IF('FD EQUIP 1'!$F$31="Proporcional",'AUX5-CUSTOS'!J6,0)</f>
        <v>9300</v>
      </c>
      <c r="AD6" s="521">
        <f>IF('FD EQUIP 1'!$F$38="Sim",'AUX5-CUSTOS'!K6,0)</f>
        <v>0</v>
      </c>
      <c r="AE6" s="521">
        <f>IF('FD EQUIP 1'!$F$35="Sim",'AUX5-CUSTOS'!L6,0)</f>
        <v>1100</v>
      </c>
      <c r="AF6" s="521">
        <f>IF('FD EQUIP 1'!$F$33="Sim",'AUX5-CUSTOS'!M6,0)</f>
        <v>0</v>
      </c>
      <c r="AG6" s="521">
        <f>IF('FD EQUIP 1'!$F$39="Sim",'AUX5-CUSTOS'!N6,0)</f>
        <v>0</v>
      </c>
      <c r="AH6" s="521">
        <f>IF('FD EQUIP 1'!$F$41="Sim",'AUX5-CUSTOS'!O6,0)</f>
        <v>0</v>
      </c>
    </row>
    <row r="7" spans="1:34" x14ac:dyDescent="0.3">
      <c r="A7" t="s">
        <v>157</v>
      </c>
      <c r="B7" s="6" t="s">
        <v>915</v>
      </c>
      <c r="C7" s="521">
        <f>41550*B2</f>
        <v>44043</v>
      </c>
      <c r="D7" s="522">
        <f>5300</f>
        <v>5300</v>
      </c>
      <c r="E7" s="521">
        <v>200</v>
      </c>
      <c r="F7" s="521">
        <v>9200</v>
      </c>
      <c r="G7" s="521">
        <v>2070</v>
      </c>
      <c r="H7" s="532">
        <f t="shared" si="0"/>
        <v>11600</v>
      </c>
      <c r="I7" s="532">
        <v>4000</v>
      </c>
      <c r="J7" s="532">
        <f t="shared" si="1"/>
        <v>9300</v>
      </c>
      <c r="K7" s="521">
        <v>1400</v>
      </c>
      <c r="L7" s="521">
        <v>1100</v>
      </c>
      <c r="M7" s="521">
        <f>1200+900</f>
        <v>2100</v>
      </c>
      <c r="N7" s="532">
        <f>5500</f>
        <v>5500</v>
      </c>
      <c r="O7" s="530">
        <f t="shared" si="3"/>
        <v>22021.5</v>
      </c>
      <c r="P7" s="534" t="s">
        <v>704</v>
      </c>
      <c r="Q7" s="534" t="s">
        <v>986</v>
      </c>
      <c r="R7" s="534" t="s">
        <v>985</v>
      </c>
      <c r="S7" s="49" t="s">
        <v>957</v>
      </c>
      <c r="T7" s="534" t="s">
        <v>977</v>
      </c>
      <c r="V7" s="521">
        <f t="shared" si="4"/>
        <v>61813</v>
      </c>
      <c r="W7" s="521">
        <f>IF('FD EQUIP 1'!$F$17="Embarcada",'AUX5-CUSTOS'!D7,IF('FD EQUIP 1'!$F$17="Não",0))</f>
        <v>5300</v>
      </c>
      <c r="X7" s="521"/>
      <c r="Y7" s="532"/>
      <c r="Z7" s="521">
        <f>IF('FD EQUIP 1'!$F$32="Com Atuador",'AUX5-CUSTOS'!G7,0)</f>
        <v>2070</v>
      </c>
      <c r="AA7" s="521"/>
      <c r="AB7" s="521" cm="1">
        <f t="array" ref="AB7">IF('FD EQUIP 1'!$F$30:$F$30="Eletrônico",'AUX5-CUSTOS'!I7,0)</f>
        <v>0</v>
      </c>
      <c r="AC7" s="521">
        <f>IF('FD EQUIP 1'!$F$31="Proporcional",'AUX5-CUSTOS'!J7,0)</f>
        <v>9300</v>
      </c>
      <c r="AD7" s="521">
        <f>IF('FD EQUIP 1'!$F$38="Sim",'AUX5-CUSTOS'!K7,0)</f>
        <v>0</v>
      </c>
      <c r="AE7" s="521">
        <f>IF('FD EQUIP 1'!$F$35="Sim",'AUX5-CUSTOS'!L7,0)</f>
        <v>1100</v>
      </c>
      <c r="AF7" s="521">
        <f>IF('FD EQUIP 1'!$F$33="Sim",'AUX5-CUSTOS'!M7,0)</f>
        <v>0</v>
      </c>
      <c r="AG7" s="521">
        <f>IF('FD EQUIP 1'!$F$39="Sim",'AUX5-CUSTOS'!N7,0)</f>
        <v>0</v>
      </c>
      <c r="AH7" s="521">
        <f>IF('FD EQUIP 1'!$F$41="Sim",'AUX5-CUSTOS'!O7,0)</f>
        <v>0</v>
      </c>
    </row>
    <row r="8" spans="1:34" x14ac:dyDescent="0.3">
      <c r="A8" t="s">
        <v>157</v>
      </c>
      <c r="B8" s="3" t="s">
        <v>916</v>
      </c>
      <c r="C8" s="521">
        <f>45550*B2</f>
        <v>48283</v>
      </c>
      <c r="D8" s="522">
        <f>5300</f>
        <v>5300</v>
      </c>
      <c r="E8" s="521">
        <v>200</v>
      </c>
      <c r="F8" s="521">
        <v>9200</v>
      </c>
      <c r="G8" s="521">
        <v>2070</v>
      </c>
      <c r="H8" s="532">
        <f t="shared" si="0"/>
        <v>11600</v>
      </c>
      <c r="I8" s="532">
        <v>4000</v>
      </c>
      <c r="J8" s="532">
        <f t="shared" si="1"/>
        <v>9300</v>
      </c>
      <c r="K8" s="521">
        <v>1400</v>
      </c>
      <c r="L8" s="521">
        <v>1100</v>
      </c>
      <c r="M8" s="521">
        <f t="shared" si="2"/>
        <v>2100</v>
      </c>
      <c r="N8" s="532">
        <f>5500</f>
        <v>5500</v>
      </c>
      <c r="O8" s="530">
        <f t="shared" si="3"/>
        <v>24141.5</v>
      </c>
      <c r="P8" s="534" t="s">
        <v>704</v>
      </c>
      <c r="Q8" s="534" t="s">
        <v>986</v>
      </c>
      <c r="R8" s="534" t="s">
        <v>985</v>
      </c>
      <c r="S8" s="49" t="s">
        <v>957</v>
      </c>
      <c r="T8" s="534" t="s">
        <v>977</v>
      </c>
      <c r="V8" s="521">
        <f t="shared" si="4"/>
        <v>66053</v>
      </c>
      <c r="W8" s="521">
        <f>IF('FD EQUIP 1'!$F$17="Embarcada",'AUX5-CUSTOS'!D8,IF('FD EQUIP 1'!$F$17="Não",0))</f>
        <v>5300</v>
      </c>
      <c r="X8" s="521"/>
      <c r="Y8" s="532"/>
      <c r="Z8" s="521">
        <f>IF('FD EQUIP 1'!$F$32="Com Atuador",'AUX5-CUSTOS'!G8,0)</f>
        <v>2070</v>
      </c>
      <c r="AA8" s="521"/>
      <c r="AB8" s="521" cm="1">
        <f t="array" ref="AB8">IF('FD EQUIP 1'!$F$30:$F$30="Eletrônico",'AUX5-CUSTOS'!I8,0)</f>
        <v>0</v>
      </c>
      <c r="AC8" s="521">
        <f>IF('FD EQUIP 1'!$F$31="Proporcional",'AUX5-CUSTOS'!J8,0)</f>
        <v>9300</v>
      </c>
      <c r="AD8" s="521">
        <f>IF('FD EQUIP 1'!$F$38="Sim",'AUX5-CUSTOS'!K8,0)</f>
        <v>0</v>
      </c>
      <c r="AE8" s="521">
        <f>IF('FD EQUIP 1'!$F$35="Sim",'AUX5-CUSTOS'!L8,0)</f>
        <v>1100</v>
      </c>
      <c r="AF8" s="521">
        <f>IF('FD EQUIP 1'!$F$33="Sim",'AUX5-CUSTOS'!M8,0)</f>
        <v>0</v>
      </c>
      <c r="AG8" s="521">
        <f>IF('FD EQUIP 1'!$F$39="Sim",'AUX5-CUSTOS'!N8,0)</f>
        <v>0</v>
      </c>
      <c r="AH8" s="521">
        <f>IF('FD EQUIP 1'!$F$41="Sim",'AUX5-CUSTOS'!O8,0)</f>
        <v>0</v>
      </c>
    </row>
    <row r="9" spans="1:34" x14ac:dyDescent="0.3">
      <c r="A9" t="s">
        <v>157</v>
      </c>
      <c r="B9" s="3" t="s">
        <v>917</v>
      </c>
      <c r="C9" s="521">
        <f>60178*B2</f>
        <v>63788.68</v>
      </c>
      <c r="D9" s="522">
        <f>5300</f>
        <v>5300</v>
      </c>
      <c r="E9" s="521">
        <v>200</v>
      </c>
      <c r="F9" s="521">
        <v>9200</v>
      </c>
      <c r="G9" s="521">
        <v>2070</v>
      </c>
      <c r="H9" s="532">
        <f t="shared" si="0"/>
        <v>11600</v>
      </c>
      <c r="I9" s="532">
        <v>4000</v>
      </c>
      <c r="J9" s="532">
        <f t="shared" si="1"/>
        <v>9300</v>
      </c>
      <c r="K9" s="521">
        <v>1400</v>
      </c>
      <c r="L9" s="521">
        <v>1100</v>
      </c>
      <c r="M9" s="521">
        <f>2400+900</f>
        <v>3300</v>
      </c>
      <c r="N9" s="532">
        <f>6500</f>
        <v>6500</v>
      </c>
      <c r="O9" s="530">
        <f t="shared" si="3"/>
        <v>31894.340000000004</v>
      </c>
      <c r="P9" s="534" t="s">
        <v>704</v>
      </c>
      <c r="Q9" s="534" t="s">
        <v>986</v>
      </c>
      <c r="R9" s="534" t="s">
        <v>985</v>
      </c>
      <c r="S9" s="49" t="s">
        <v>957</v>
      </c>
      <c r="T9" s="534" t="s">
        <v>977</v>
      </c>
      <c r="V9" s="521">
        <f t="shared" si="4"/>
        <v>81558.679999999993</v>
      </c>
      <c r="W9" s="521">
        <f>IF('FD EQUIP 1'!$F$17="Embarcada",'AUX5-CUSTOS'!D9,IF('FD EQUIP 1'!$F$17="Não",0))</f>
        <v>5300</v>
      </c>
      <c r="X9" s="521"/>
      <c r="Y9" s="532"/>
      <c r="Z9" s="521">
        <f>IF('FD EQUIP 1'!$F$32="Com Atuador",'AUX5-CUSTOS'!G9,0)</f>
        <v>2070</v>
      </c>
      <c r="AA9" s="521"/>
      <c r="AB9" s="521" cm="1">
        <f t="array" ref="AB9">IF('FD EQUIP 1'!$F$30:$F$30="Eletrônico",'AUX5-CUSTOS'!I9,0)</f>
        <v>0</v>
      </c>
      <c r="AC9" s="521">
        <f>IF('FD EQUIP 1'!$F$31="Proporcional",'AUX5-CUSTOS'!J9,0)</f>
        <v>9300</v>
      </c>
      <c r="AD9" s="521">
        <f>IF('FD EQUIP 1'!$F$38="Sim",'AUX5-CUSTOS'!K9,0)</f>
        <v>0</v>
      </c>
      <c r="AE9" s="521">
        <f>IF('FD EQUIP 1'!$F$35="Sim",'AUX5-CUSTOS'!L9,0)</f>
        <v>1100</v>
      </c>
      <c r="AF9" s="521">
        <f>IF('FD EQUIP 1'!$F$33="Sim",'AUX5-CUSTOS'!M9,0)</f>
        <v>0</v>
      </c>
      <c r="AG9" s="521">
        <f>IF('FD EQUIP 1'!$F$39="Sim",'AUX5-CUSTOS'!N9,0)</f>
        <v>0</v>
      </c>
      <c r="AH9" s="521">
        <f>IF('FD EQUIP 1'!$F$41="Sim",'AUX5-CUSTOS'!O9,0)</f>
        <v>0</v>
      </c>
    </row>
    <row r="10" spans="1:34" x14ac:dyDescent="0.3">
      <c r="A10" t="s">
        <v>157</v>
      </c>
      <c r="B10" s="3" t="s">
        <v>918</v>
      </c>
      <c r="C10" s="521">
        <f>73520*B2</f>
        <v>77931.199999999997</v>
      </c>
      <c r="D10" s="522">
        <f>5300</f>
        <v>5300</v>
      </c>
      <c r="E10" s="521">
        <v>200</v>
      </c>
      <c r="F10" s="521">
        <v>9200</v>
      </c>
      <c r="G10" s="521">
        <v>2070</v>
      </c>
      <c r="H10" s="532">
        <f t="shared" si="0"/>
        <v>11600</v>
      </c>
      <c r="I10" s="532">
        <v>4000</v>
      </c>
      <c r="J10" s="532">
        <f t="shared" si="1"/>
        <v>9300</v>
      </c>
      <c r="K10" s="521">
        <v>1400</v>
      </c>
      <c r="L10" s="521">
        <v>1100</v>
      </c>
      <c r="M10" s="521">
        <f t="shared" ref="M10:M11" si="5">2400+900</f>
        <v>3300</v>
      </c>
      <c r="N10" s="532">
        <f>6500</f>
        <v>6500</v>
      </c>
      <c r="O10" s="530">
        <f t="shared" si="3"/>
        <v>38965.599999999991</v>
      </c>
      <c r="P10" s="534" t="s">
        <v>704</v>
      </c>
      <c r="Q10" s="534" t="s">
        <v>986</v>
      </c>
      <c r="R10" s="534" t="s">
        <v>985</v>
      </c>
      <c r="S10" s="49" t="s">
        <v>957</v>
      </c>
      <c r="T10" s="534" t="s">
        <v>977</v>
      </c>
      <c r="V10" s="521">
        <f t="shared" si="4"/>
        <v>95701.2</v>
      </c>
      <c r="W10" s="521">
        <f>IF('FD EQUIP 1'!$F$17="Embarcada",'AUX5-CUSTOS'!D10,IF('FD EQUIP 1'!$F$17="Não",0))</f>
        <v>5300</v>
      </c>
      <c r="X10" s="521"/>
      <c r="Y10" s="532"/>
      <c r="Z10" s="521">
        <f>IF('FD EQUIP 1'!$F$32="Com Atuador",'AUX5-CUSTOS'!G10,0)</f>
        <v>2070</v>
      </c>
      <c r="AA10" s="521"/>
      <c r="AB10" s="521" cm="1">
        <f t="array" ref="AB10">IF('FD EQUIP 1'!$F$30:$F$30="Eletrônico",'AUX5-CUSTOS'!I10,0)</f>
        <v>0</v>
      </c>
      <c r="AC10" s="521">
        <f>IF('FD EQUIP 1'!$F$31="Proporcional",'AUX5-CUSTOS'!J10,0)</f>
        <v>9300</v>
      </c>
      <c r="AD10" s="521">
        <f>IF('FD EQUIP 1'!$F$38="Sim",'AUX5-CUSTOS'!K10,0)</f>
        <v>0</v>
      </c>
      <c r="AE10" s="521">
        <f>IF('FD EQUIP 1'!$F$35="Sim",'AUX5-CUSTOS'!L10,0)</f>
        <v>1100</v>
      </c>
      <c r="AF10" s="521">
        <f>IF('FD EQUIP 1'!$F$33="Sim",'AUX5-CUSTOS'!M10,0)</f>
        <v>0</v>
      </c>
      <c r="AG10" s="521">
        <f>IF('FD EQUIP 1'!$F$39="Sim",'AUX5-CUSTOS'!N10,0)</f>
        <v>0</v>
      </c>
      <c r="AH10" s="521">
        <f>IF('FD EQUIP 1'!$F$41="Sim",'AUX5-CUSTOS'!O10,0)</f>
        <v>0</v>
      </c>
    </row>
    <row r="11" spans="1:34" x14ac:dyDescent="0.3">
      <c r="A11" t="s">
        <v>157</v>
      </c>
      <c r="B11" s="3" t="s">
        <v>919</v>
      </c>
      <c r="C11" s="521">
        <f>80877*B2</f>
        <v>85729.62000000001</v>
      </c>
      <c r="D11" s="522">
        <v>0</v>
      </c>
      <c r="E11" s="521">
        <v>200</v>
      </c>
      <c r="F11" s="521">
        <v>9200</v>
      </c>
      <c r="G11" s="521">
        <v>2070</v>
      </c>
      <c r="H11" s="532">
        <f t="shared" si="0"/>
        <v>11600</v>
      </c>
      <c r="I11" s="532">
        <v>4000</v>
      </c>
      <c r="J11" s="532">
        <f t="shared" si="1"/>
        <v>4000</v>
      </c>
      <c r="K11" s="521">
        <v>1400</v>
      </c>
      <c r="L11" s="521">
        <v>1100</v>
      </c>
      <c r="M11" s="521">
        <f t="shared" si="5"/>
        <v>3300</v>
      </c>
      <c r="N11" s="532">
        <f>6500</f>
        <v>6500</v>
      </c>
      <c r="O11" s="530">
        <f t="shared" si="3"/>
        <v>42864.810000000012</v>
      </c>
      <c r="P11" s="534" t="s">
        <v>704</v>
      </c>
      <c r="Q11" s="534" t="s">
        <v>986</v>
      </c>
      <c r="R11" s="534" t="s">
        <v>985</v>
      </c>
      <c r="S11" s="49" t="s">
        <v>957</v>
      </c>
      <c r="T11" s="534" t="s">
        <v>977</v>
      </c>
      <c r="V11" s="521">
        <f t="shared" si="4"/>
        <v>92899.62000000001</v>
      </c>
      <c r="W11" s="521">
        <f>IF('FD EQUIP 1'!$F$17="Embarcada",'AUX5-CUSTOS'!D11,IF('FD EQUIP 1'!$F$17="Não",0))</f>
        <v>0</v>
      </c>
      <c r="X11" s="521"/>
      <c r="Y11" s="532"/>
      <c r="Z11" s="521">
        <f>IF('FD EQUIP 1'!$F$32="Com Atuador",'AUX5-CUSTOS'!G11,0)</f>
        <v>2070</v>
      </c>
      <c r="AA11" s="521"/>
      <c r="AB11" s="521" cm="1">
        <f t="array" ref="AB11">IF('FD EQUIP 1'!$F$30:$F$30="Eletrônico",'AUX5-CUSTOS'!I11,0)</f>
        <v>0</v>
      </c>
      <c r="AC11" s="521">
        <f>IF('FD EQUIP 1'!$F$31="Proporcional",'AUX5-CUSTOS'!J11,0)</f>
        <v>4000</v>
      </c>
      <c r="AD11" s="521">
        <f>IF('FD EQUIP 1'!$F$38="Sim",'AUX5-CUSTOS'!K11,0)</f>
        <v>0</v>
      </c>
      <c r="AE11" s="521">
        <f>IF('FD EQUIP 1'!$F$35="Sim",'AUX5-CUSTOS'!L11,0)</f>
        <v>1100</v>
      </c>
      <c r="AF11" s="521">
        <f>IF('FD EQUIP 1'!$F$33="Sim",'AUX5-CUSTOS'!M11,0)</f>
        <v>0</v>
      </c>
      <c r="AG11" s="521">
        <f>IF('FD EQUIP 1'!$F$39="Sim",'AUX5-CUSTOS'!N11,0)</f>
        <v>0</v>
      </c>
      <c r="AH11" s="521">
        <f>IF('FD EQUIP 1'!$F$41="Sim",'AUX5-CUSTOS'!O11,0)</f>
        <v>0</v>
      </c>
    </row>
    <row r="12" spans="1:34" x14ac:dyDescent="0.3">
      <c r="A12" t="s">
        <v>157</v>
      </c>
      <c r="B12" s="3" t="s">
        <v>920</v>
      </c>
      <c r="C12" s="521">
        <f>102630*B2</f>
        <v>108787.8</v>
      </c>
      <c r="D12" s="522">
        <v>0</v>
      </c>
      <c r="E12" s="521">
        <v>200</v>
      </c>
      <c r="F12" s="521">
        <v>9200</v>
      </c>
      <c r="G12" s="521">
        <v>2070</v>
      </c>
      <c r="H12" s="532">
        <f t="shared" si="0"/>
        <v>11600</v>
      </c>
      <c r="I12" s="532">
        <f>8000</f>
        <v>8000</v>
      </c>
      <c r="J12" s="532">
        <f t="shared" si="1"/>
        <v>8000</v>
      </c>
      <c r="K12" s="521">
        <v>1400</v>
      </c>
      <c r="L12" s="521">
        <v>1100</v>
      </c>
      <c r="M12" s="521">
        <f>3600+900</f>
        <v>4500</v>
      </c>
      <c r="N12" s="532">
        <f>7500</f>
        <v>7500</v>
      </c>
      <c r="O12" s="530">
        <f t="shared" si="3"/>
        <v>54393.900000000009</v>
      </c>
      <c r="P12" s="534" t="s">
        <v>704</v>
      </c>
      <c r="Q12" s="534" t="s">
        <v>986</v>
      </c>
      <c r="R12" s="534" t="s">
        <v>985</v>
      </c>
      <c r="S12" s="49" t="s">
        <v>957</v>
      </c>
      <c r="T12" s="534" t="s">
        <v>977</v>
      </c>
      <c r="V12" s="521">
        <f t="shared" si="4"/>
        <v>119957.8</v>
      </c>
      <c r="W12" s="521">
        <f>IF('FD EQUIP 1'!$F$17="Embarcada",'AUX5-CUSTOS'!D12,IF('FD EQUIP 1'!$F$17="Não",0))</f>
        <v>0</v>
      </c>
      <c r="X12" s="521"/>
      <c r="Y12" s="532"/>
      <c r="Z12" s="521">
        <f>IF('FD EQUIP 1'!$F$32="Com Atuador",'AUX5-CUSTOS'!G12,0)</f>
        <v>2070</v>
      </c>
      <c r="AA12" s="521"/>
      <c r="AB12" s="521" cm="1">
        <f t="array" ref="AB12">IF('FD EQUIP 1'!$F$30:$F$30="Eletrônico",'AUX5-CUSTOS'!I12,0)</f>
        <v>0</v>
      </c>
      <c r="AC12" s="521">
        <f>IF('FD EQUIP 1'!$F$31="Proporcional",'AUX5-CUSTOS'!J12,0)</f>
        <v>8000</v>
      </c>
      <c r="AD12" s="521">
        <f>IF('FD EQUIP 1'!$F$38="Sim",'AUX5-CUSTOS'!K12,0)</f>
        <v>0</v>
      </c>
      <c r="AE12" s="521">
        <f>IF('FD EQUIP 1'!$F$35="Sim",'AUX5-CUSTOS'!L12,0)</f>
        <v>1100</v>
      </c>
      <c r="AF12" s="521">
        <f>IF('FD EQUIP 1'!$F$33="Sim",'AUX5-CUSTOS'!M12,0)</f>
        <v>0</v>
      </c>
      <c r="AG12" s="521">
        <f>IF('FD EQUIP 1'!$F$39="Sim",'AUX5-CUSTOS'!N12,0)</f>
        <v>0</v>
      </c>
      <c r="AH12" s="521">
        <f>IF('FD EQUIP 1'!$F$41="Sim",'AUX5-CUSTOS'!O12,0)</f>
        <v>0</v>
      </c>
    </row>
    <row r="13" spans="1:34" x14ac:dyDescent="0.3">
      <c r="A13" t="s">
        <v>157</v>
      </c>
      <c r="B13" s="3" t="s">
        <v>921</v>
      </c>
      <c r="C13" s="521">
        <f>118350*B2</f>
        <v>125451</v>
      </c>
      <c r="D13" s="522">
        <v>0</v>
      </c>
      <c r="E13" s="521">
        <v>200</v>
      </c>
      <c r="F13" s="521">
        <v>9200</v>
      </c>
      <c r="G13" s="521">
        <v>2070</v>
      </c>
      <c r="H13" s="532">
        <f t="shared" si="0"/>
        <v>11600</v>
      </c>
      <c r="I13" s="532">
        <f>8000</f>
        <v>8000</v>
      </c>
      <c r="J13" s="532">
        <f t="shared" si="1"/>
        <v>8000</v>
      </c>
      <c r="K13" s="521">
        <v>1400</v>
      </c>
      <c r="L13" s="521">
        <v>1100</v>
      </c>
      <c r="M13" s="521">
        <f t="shared" ref="M13:M14" si="6">3600+900</f>
        <v>4500</v>
      </c>
      <c r="N13" s="532">
        <f>7500</f>
        <v>7500</v>
      </c>
      <c r="O13" s="530">
        <f t="shared" si="3"/>
        <v>62725.5</v>
      </c>
      <c r="P13" s="534" t="s">
        <v>704</v>
      </c>
      <c r="Q13" s="534" t="s">
        <v>986</v>
      </c>
      <c r="R13" s="534" t="s">
        <v>985</v>
      </c>
      <c r="S13" s="49" t="s">
        <v>957</v>
      </c>
      <c r="T13" s="534" t="s">
        <v>977</v>
      </c>
      <c r="V13" s="521">
        <f t="shared" si="4"/>
        <v>136621</v>
      </c>
      <c r="W13" s="521">
        <f>IF('FD EQUIP 1'!$F$17="Embarcada",'AUX5-CUSTOS'!D13,IF('FD EQUIP 1'!$F$17="Não",0))</f>
        <v>0</v>
      </c>
      <c r="X13" s="521"/>
      <c r="Y13" s="532"/>
      <c r="Z13" s="521">
        <f>IF('FD EQUIP 1'!$F$32="Com Atuador",'AUX5-CUSTOS'!G13,0)</f>
        <v>2070</v>
      </c>
      <c r="AA13" s="521"/>
      <c r="AB13" s="521" cm="1">
        <f t="array" ref="AB13">IF('FD EQUIP 1'!$F$30:$F$30="Eletrônico",'AUX5-CUSTOS'!I13,0)</f>
        <v>0</v>
      </c>
      <c r="AC13" s="521">
        <f>IF('FD EQUIP 1'!$F$31="Proporcional",'AUX5-CUSTOS'!J13,0)</f>
        <v>8000</v>
      </c>
      <c r="AD13" s="521">
        <f>IF('FD EQUIP 1'!$F$38="Sim",'AUX5-CUSTOS'!K13,0)</f>
        <v>0</v>
      </c>
      <c r="AE13" s="521">
        <f>IF('FD EQUIP 1'!$F$35="Sim",'AUX5-CUSTOS'!L13,0)</f>
        <v>1100</v>
      </c>
      <c r="AF13" s="521">
        <f>IF('FD EQUIP 1'!$F$33="Sim",'AUX5-CUSTOS'!M13,0)</f>
        <v>0</v>
      </c>
      <c r="AG13" s="521">
        <f>IF('FD EQUIP 1'!$F$39="Sim",'AUX5-CUSTOS'!N13,0)</f>
        <v>0</v>
      </c>
      <c r="AH13" s="521">
        <f>IF('FD EQUIP 1'!$F$41="Sim",'AUX5-CUSTOS'!O13,0)</f>
        <v>0</v>
      </c>
    </row>
    <row r="14" spans="1:34" x14ac:dyDescent="0.3">
      <c r="A14" t="s">
        <v>157</v>
      </c>
      <c r="B14" s="3" t="s">
        <v>922</v>
      </c>
      <c r="C14" s="532">
        <f>141800</f>
        <v>141800</v>
      </c>
      <c r="D14" s="522">
        <v>0</v>
      </c>
      <c r="E14" s="521">
        <v>200</v>
      </c>
      <c r="F14" s="521">
        <v>9200</v>
      </c>
      <c r="G14" s="521">
        <v>2070</v>
      </c>
      <c r="H14" s="532">
        <f t="shared" si="0"/>
        <v>11600</v>
      </c>
      <c r="I14" s="532">
        <f>8000</f>
        <v>8000</v>
      </c>
      <c r="J14" s="532">
        <f t="shared" si="1"/>
        <v>8000</v>
      </c>
      <c r="K14" s="521">
        <v>1400</v>
      </c>
      <c r="L14" s="521">
        <v>1100</v>
      </c>
      <c r="M14" s="521">
        <f t="shared" si="6"/>
        <v>4500</v>
      </c>
      <c r="N14" s="532">
        <f>7500</f>
        <v>7500</v>
      </c>
      <c r="O14" s="530">
        <f t="shared" si="3"/>
        <v>70900</v>
      </c>
      <c r="P14" s="534" t="s">
        <v>704</v>
      </c>
      <c r="Q14" s="534" t="s">
        <v>986</v>
      </c>
      <c r="R14" s="534" t="s">
        <v>985</v>
      </c>
      <c r="S14" s="49" t="s">
        <v>957</v>
      </c>
      <c r="T14" s="534" t="s">
        <v>977</v>
      </c>
      <c r="V14" s="521">
        <f t="shared" si="4"/>
        <v>152970</v>
      </c>
      <c r="W14" s="521">
        <f>IF('FD EQUIP 1'!$F$17="Embarcada",'AUX5-CUSTOS'!D14,IF('FD EQUIP 1'!$F$17="Não",0))</f>
        <v>0</v>
      </c>
      <c r="X14" s="521"/>
      <c r="Y14" s="532"/>
      <c r="Z14" s="521">
        <f>IF('FD EQUIP 1'!$F$32="Com Atuador",'AUX5-CUSTOS'!G14,0)</f>
        <v>2070</v>
      </c>
      <c r="AA14" s="521"/>
      <c r="AB14" s="521" cm="1">
        <f t="array" ref="AB14">IF('FD EQUIP 1'!$F$30:$F$30="Eletrônico",'AUX5-CUSTOS'!I14,0)</f>
        <v>0</v>
      </c>
      <c r="AC14" s="521">
        <f>IF('FD EQUIP 1'!$F$31="Proporcional",'AUX5-CUSTOS'!J14,0)</f>
        <v>8000</v>
      </c>
      <c r="AD14" s="521">
        <f>IF('FD EQUIP 1'!$F$38="Sim",'AUX5-CUSTOS'!K14,0)</f>
        <v>0</v>
      </c>
      <c r="AE14" s="521">
        <f>IF('FD EQUIP 1'!$F$35="Sim",'AUX5-CUSTOS'!L14,0)</f>
        <v>1100</v>
      </c>
      <c r="AF14" s="521">
        <f>IF('FD EQUIP 1'!$F$33="Sim",'AUX5-CUSTOS'!M14,0)</f>
        <v>0</v>
      </c>
      <c r="AG14" s="521">
        <f>IF('FD EQUIP 1'!$F$39="Sim",'AUX5-CUSTOS'!N14,0)</f>
        <v>0</v>
      </c>
      <c r="AH14" s="521">
        <f>IF('FD EQUIP 1'!$F$41="Sim",'AUX5-CUSTOS'!O14,0)</f>
        <v>0</v>
      </c>
    </row>
    <row r="15" spans="1:34" x14ac:dyDescent="0.3">
      <c r="P15" s="534"/>
      <c r="Q15" s="534"/>
      <c r="R15" s="534"/>
      <c r="V15" s="529"/>
    </row>
    <row r="16" spans="1:34" x14ac:dyDescent="0.3">
      <c r="C16" s="528" t="s">
        <v>935</v>
      </c>
      <c r="D16" s="528" t="s">
        <v>885</v>
      </c>
      <c r="E16" s="528" t="s">
        <v>936</v>
      </c>
      <c r="F16" s="528" t="s">
        <v>937</v>
      </c>
      <c r="G16" s="291" t="s">
        <v>938</v>
      </c>
      <c r="H16" s="291" t="s">
        <v>939</v>
      </c>
      <c r="I16" s="291" t="s">
        <v>940</v>
      </c>
      <c r="J16" s="291" t="s">
        <v>941</v>
      </c>
      <c r="K16" s="291" t="s">
        <v>889</v>
      </c>
      <c r="L16" s="291" t="s">
        <v>890</v>
      </c>
      <c r="M16" s="291" t="s">
        <v>942</v>
      </c>
      <c r="N16" s="291" t="s">
        <v>891</v>
      </c>
      <c r="O16" s="291" t="s">
        <v>943</v>
      </c>
      <c r="P16" s="533" t="s">
        <v>956</v>
      </c>
      <c r="Q16" s="533" t="s">
        <v>697</v>
      </c>
      <c r="R16" s="533" t="s">
        <v>696</v>
      </c>
      <c r="S16" s="533" t="s">
        <v>701</v>
      </c>
      <c r="T16" s="533" t="s">
        <v>987</v>
      </c>
    </row>
    <row r="17" spans="1:18" x14ac:dyDescent="0.3">
      <c r="A17" t="s">
        <v>177</v>
      </c>
      <c r="B17" s="6" t="s">
        <v>907</v>
      </c>
      <c r="C17" s="137"/>
      <c r="P17" s="534"/>
      <c r="Q17" s="534"/>
      <c r="R17" s="534"/>
    </row>
    <row r="18" spans="1:18" x14ac:dyDescent="0.3">
      <c r="A18" t="s">
        <v>177</v>
      </c>
      <c r="B18" s="6" t="s">
        <v>911</v>
      </c>
      <c r="C18" s="530">
        <v>7900</v>
      </c>
      <c r="P18" s="534"/>
      <c r="Q18" s="534"/>
      <c r="R18" s="534"/>
    </row>
    <row r="19" spans="1:18" x14ac:dyDescent="0.3">
      <c r="A19" t="s">
        <v>177</v>
      </c>
      <c r="B19" s="6" t="s">
        <v>913</v>
      </c>
      <c r="C19" s="530">
        <v>8945</v>
      </c>
      <c r="P19" s="534"/>
      <c r="Q19" s="534"/>
      <c r="R19" s="534"/>
    </row>
    <row r="20" spans="1:18" x14ac:dyDescent="0.3">
      <c r="A20" t="s">
        <v>177</v>
      </c>
      <c r="B20" s="6" t="s">
        <v>914</v>
      </c>
      <c r="C20" s="137" t="s">
        <v>7</v>
      </c>
      <c r="P20" s="534"/>
      <c r="Q20" s="534"/>
      <c r="R20" s="534"/>
    </row>
    <row r="21" spans="1:18" x14ac:dyDescent="0.3">
      <c r="A21" t="s">
        <v>177</v>
      </c>
      <c r="B21" s="6" t="s">
        <v>915</v>
      </c>
      <c r="C21" s="530">
        <v>11480</v>
      </c>
      <c r="P21" s="534"/>
      <c r="Q21" s="534"/>
      <c r="R21" s="534"/>
    </row>
    <row r="22" spans="1:18" x14ac:dyDescent="0.3">
      <c r="A22" t="s">
        <v>177</v>
      </c>
      <c r="B22" s="3" t="s">
        <v>916</v>
      </c>
      <c r="C22" s="530">
        <v>14200</v>
      </c>
      <c r="P22" s="534"/>
      <c r="Q22" s="534"/>
      <c r="R22" s="534"/>
    </row>
    <row r="23" spans="1:18" x14ac:dyDescent="0.3">
      <c r="A23" t="s">
        <v>177</v>
      </c>
      <c r="B23" s="3" t="s">
        <v>917</v>
      </c>
      <c r="C23" s="530">
        <v>20100</v>
      </c>
      <c r="P23" s="534"/>
      <c r="Q23" s="534"/>
      <c r="R23" s="534"/>
    </row>
    <row r="24" spans="1:18" x14ac:dyDescent="0.3">
      <c r="A24" t="s">
        <v>177</v>
      </c>
      <c r="B24" s="3" t="s">
        <v>918</v>
      </c>
      <c r="C24" s="530">
        <v>22700</v>
      </c>
      <c r="P24" s="534"/>
      <c r="Q24" s="534"/>
      <c r="R24" s="534"/>
    </row>
    <row r="25" spans="1:18" x14ac:dyDescent="0.3">
      <c r="A25" t="s">
        <v>177</v>
      </c>
      <c r="B25" s="3" t="s">
        <v>919</v>
      </c>
      <c r="C25" s="530">
        <v>25200</v>
      </c>
      <c r="P25" s="534"/>
      <c r="Q25" s="534"/>
      <c r="R25" s="534"/>
    </row>
    <row r="26" spans="1:18" x14ac:dyDescent="0.3">
      <c r="A26" t="s">
        <v>177</v>
      </c>
      <c r="B26" s="3" t="s">
        <v>920</v>
      </c>
      <c r="C26" s="530">
        <v>38900</v>
      </c>
      <c r="P26" s="534"/>
      <c r="Q26" s="534"/>
      <c r="R26" s="534"/>
    </row>
    <row r="27" spans="1:18" x14ac:dyDescent="0.3">
      <c r="A27" t="s">
        <v>177</v>
      </c>
      <c r="B27" s="3" t="s">
        <v>921</v>
      </c>
      <c r="C27" s="530">
        <v>45900</v>
      </c>
      <c r="P27" s="534"/>
      <c r="Q27" s="534"/>
      <c r="R27" s="534"/>
    </row>
    <row r="28" spans="1:18" x14ac:dyDescent="0.3">
      <c r="A28" t="s">
        <v>177</v>
      </c>
      <c r="B28" s="3" t="s">
        <v>922</v>
      </c>
      <c r="C28" s="530">
        <v>52990</v>
      </c>
      <c r="P28" s="534"/>
      <c r="Q28" s="534"/>
      <c r="R28" s="534"/>
    </row>
    <row r="29" spans="1:18" x14ac:dyDescent="0.3">
      <c r="A29" t="s">
        <v>177</v>
      </c>
      <c r="B29" s="49" t="s">
        <v>923</v>
      </c>
      <c r="C29" s="530">
        <v>62500</v>
      </c>
    </row>
    <row r="30" spans="1:18" x14ac:dyDescent="0.3">
      <c r="A30" t="s">
        <v>177</v>
      </c>
      <c r="B30" s="3" t="s">
        <v>924</v>
      </c>
      <c r="C30" s="530">
        <v>73200</v>
      </c>
    </row>
    <row r="31" spans="1:18" x14ac:dyDescent="0.3">
      <c r="A31" t="s">
        <v>177</v>
      </c>
      <c r="B31" s="49" t="s">
        <v>925</v>
      </c>
    </row>
    <row r="32" spans="1:18" x14ac:dyDescent="0.3">
      <c r="A32" t="s">
        <v>177</v>
      </c>
      <c r="B32" s="3" t="s">
        <v>926</v>
      </c>
    </row>
    <row r="33" spans="1:20" x14ac:dyDescent="0.3">
      <c r="A33" t="s">
        <v>177</v>
      </c>
      <c r="B33" s="49" t="s">
        <v>927</v>
      </c>
    </row>
    <row r="34" spans="1:20" x14ac:dyDescent="0.3">
      <c r="A34" t="s">
        <v>177</v>
      </c>
      <c r="B34" s="3" t="s">
        <v>928</v>
      </c>
    </row>
    <row r="35" spans="1:20" x14ac:dyDescent="0.3">
      <c r="C35" s="528" t="s">
        <v>935</v>
      </c>
      <c r="D35" s="528" t="s">
        <v>885</v>
      </c>
      <c r="E35" s="528" t="s">
        <v>936</v>
      </c>
      <c r="F35" s="528" t="s">
        <v>937</v>
      </c>
      <c r="G35" s="291" t="s">
        <v>938</v>
      </c>
      <c r="H35" s="291" t="s">
        <v>939</v>
      </c>
      <c r="I35" s="291" t="s">
        <v>940</v>
      </c>
      <c r="J35" s="291" t="s">
        <v>941</v>
      </c>
      <c r="K35" s="291" t="s">
        <v>889</v>
      </c>
      <c r="L35" s="291" t="s">
        <v>890</v>
      </c>
      <c r="M35" s="291" t="s">
        <v>942</v>
      </c>
      <c r="N35" s="291" t="s">
        <v>891</v>
      </c>
      <c r="O35" s="291" t="s">
        <v>943</v>
      </c>
      <c r="P35" s="533" t="s">
        <v>956</v>
      </c>
      <c r="Q35" s="533" t="s">
        <v>697</v>
      </c>
      <c r="R35" s="533" t="s">
        <v>696</v>
      </c>
      <c r="S35" s="533" t="s">
        <v>701</v>
      </c>
      <c r="T35" s="533" t="s">
        <v>987</v>
      </c>
    </row>
    <row r="36" spans="1:20" x14ac:dyDescent="0.3">
      <c r="A36" t="s">
        <v>954</v>
      </c>
      <c r="B36" s="6" t="s">
        <v>907</v>
      </c>
      <c r="C36" s="137"/>
    </row>
    <row r="37" spans="1:20" x14ac:dyDescent="0.3">
      <c r="A37" t="s">
        <v>954</v>
      </c>
      <c r="B37" s="6" t="s">
        <v>911</v>
      </c>
      <c r="C37" s="530">
        <f>7900*1.5</f>
        <v>11850</v>
      </c>
    </row>
    <row r="38" spans="1:20" x14ac:dyDescent="0.3">
      <c r="A38" t="s">
        <v>954</v>
      </c>
      <c r="B38" s="6" t="s">
        <v>913</v>
      </c>
      <c r="C38" s="530">
        <f>8945*1.5</f>
        <v>13417.5</v>
      </c>
    </row>
    <row r="39" spans="1:20" x14ac:dyDescent="0.3">
      <c r="A39" t="s">
        <v>954</v>
      </c>
      <c r="B39" s="6" t="s">
        <v>914</v>
      </c>
      <c r="C39" s="137" t="s">
        <v>7</v>
      </c>
    </row>
    <row r="40" spans="1:20" x14ac:dyDescent="0.3">
      <c r="A40" t="s">
        <v>954</v>
      </c>
      <c r="B40" s="6" t="s">
        <v>915</v>
      </c>
      <c r="C40" s="530">
        <f>11480*1.5</f>
        <v>17220</v>
      </c>
    </row>
    <row r="41" spans="1:20" x14ac:dyDescent="0.3">
      <c r="A41" t="s">
        <v>954</v>
      </c>
      <c r="B41" s="3" t="s">
        <v>916</v>
      </c>
      <c r="C41" s="530">
        <f>14200*1.5</f>
        <v>21300</v>
      </c>
    </row>
    <row r="42" spans="1:20" x14ac:dyDescent="0.3">
      <c r="A42" t="s">
        <v>954</v>
      </c>
      <c r="B42" s="3" t="s">
        <v>917</v>
      </c>
      <c r="C42" s="530">
        <f>20100*1.5</f>
        <v>30150</v>
      </c>
    </row>
    <row r="43" spans="1:20" x14ac:dyDescent="0.3">
      <c r="A43" t="s">
        <v>954</v>
      </c>
      <c r="B43" s="3" t="s">
        <v>918</v>
      </c>
      <c r="C43" s="530">
        <f>22700*1.5</f>
        <v>34050</v>
      </c>
    </row>
    <row r="44" spans="1:20" x14ac:dyDescent="0.3">
      <c r="A44" t="s">
        <v>954</v>
      </c>
      <c r="B44" s="3" t="s">
        <v>919</v>
      </c>
      <c r="C44" s="530">
        <f>25200*1.5</f>
        <v>37800</v>
      </c>
    </row>
    <row r="45" spans="1:20" x14ac:dyDescent="0.3">
      <c r="A45" t="s">
        <v>954</v>
      </c>
      <c r="B45" s="3" t="s">
        <v>920</v>
      </c>
      <c r="C45" s="530">
        <f>38900*1.5</f>
        <v>58350</v>
      </c>
    </row>
    <row r="46" spans="1:20" x14ac:dyDescent="0.3">
      <c r="A46" t="s">
        <v>954</v>
      </c>
      <c r="B46" s="3" t="s">
        <v>921</v>
      </c>
      <c r="C46" s="530">
        <f>45900*1.5</f>
        <v>68850</v>
      </c>
    </row>
    <row r="47" spans="1:20" x14ac:dyDescent="0.3">
      <c r="A47" t="s">
        <v>954</v>
      </c>
      <c r="B47" s="3" t="s">
        <v>922</v>
      </c>
      <c r="C47" s="530">
        <f>52990*1.5</f>
        <v>79485</v>
      </c>
    </row>
    <row r="48" spans="1:20" x14ac:dyDescent="0.3">
      <c r="A48" t="s">
        <v>954</v>
      </c>
      <c r="B48" s="49" t="s">
        <v>923</v>
      </c>
      <c r="C48" s="530">
        <f>62500*1.5</f>
        <v>93750</v>
      </c>
    </row>
    <row r="49" spans="1:20" x14ac:dyDescent="0.3">
      <c r="A49" t="s">
        <v>954</v>
      </c>
      <c r="B49" s="3" t="s">
        <v>924</v>
      </c>
      <c r="C49" s="530">
        <f>73200*1.5</f>
        <v>109800</v>
      </c>
    </row>
    <row r="50" spans="1:20" x14ac:dyDescent="0.3">
      <c r="A50" t="s">
        <v>954</v>
      </c>
      <c r="B50" s="49" t="s">
        <v>925</v>
      </c>
    </row>
    <row r="51" spans="1:20" x14ac:dyDescent="0.3">
      <c r="A51" t="s">
        <v>954</v>
      </c>
      <c r="B51" s="3" t="s">
        <v>926</v>
      </c>
    </row>
    <row r="52" spans="1:20" x14ac:dyDescent="0.3">
      <c r="A52" t="s">
        <v>954</v>
      </c>
      <c r="B52" s="49" t="s">
        <v>927</v>
      </c>
    </row>
    <row r="53" spans="1:20" x14ac:dyDescent="0.3">
      <c r="A53" t="s">
        <v>954</v>
      </c>
      <c r="B53" s="3" t="s">
        <v>928</v>
      </c>
    </row>
    <row r="54" spans="1:20" x14ac:dyDescent="0.3">
      <c r="C54" s="528" t="s">
        <v>935</v>
      </c>
      <c r="D54" s="528" t="s">
        <v>901</v>
      </c>
      <c r="E54" s="528" t="s">
        <v>981</v>
      </c>
      <c r="F54" s="528" t="s">
        <v>982</v>
      </c>
      <c r="G54" s="291" t="s">
        <v>990</v>
      </c>
      <c r="H54" s="291"/>
      <c r="I54" s="291"/>
      <c r="J54" s="291"/>
      <c r="K54" s="291"/>
      <c r="L54" s="291"/>
      <c r="M54" s="291"/>
      <c r="N54" s="291"/>
      <c r="O54" s="291"/>
      <c r="P54" s="533" t="s">
        <v>956</v>
      </c>
      <c r="Q54" s="533" t="s">
        <v>697</v>
      </c>
      <c r="R54" s="533" t="s">
        <v>696</v>
      </c>
      <c r="S54" s="533" t="s">
        <v>701</v>
      </c>
      <c r="T54" s="533" t="s">
        <v>987</v>
      </c>
    </row>
    <row r="55" spans="1:20" x14ac:dyDescent="0.3">
      <c r="A55" t="s">
        <v>979</v>
      </c>
      <c r="B55" s="6" t="s">
        <v>870</v>
      </c>
      <c r="G55" s="521">
        <v>1200</v>
      </c>
    </row>
    <row r="56" spans="1:20" x14ac:dyDescent="0.3">
      <c r="A56" t="s">
        <v>979</v>
      </c>
      <c r="B56" s="3" t="s">
        <v>988</v>
      </c>
      <c r="G56" s="521">
        <v>1200</v>
      </c>
    </row>
    <row r="57" spans="1:20" x14ac:dyDescent="0.3">
      <c r="A57" t="s">
        <v>979</v>
      </c>
      <c r="B57" s="3" t="s">
        <v>871</v>
      </c>
      <c r="C57" s="521">
        <f>4600</f>
        <v>4600</v>
      </c>
      <c r="D57" s="521">
        <f>C57*1.42</f>
        <v>6532</v>
      </c>
      <c r="G57" s="521">
        <v>1300</v>
      </c>
    </row>
    <row r="58" spans="1:20" x14ac:dyDescent="0.3">
      <c r="A58" t="s">
        <v>979</v>
      </c>
      <c r="B58" s="3" t="s">
        <v>980</v>
      </c>
      <c r="C58" s="521">
        <f>5850</f>
        <v>5850</v>
      </c>
      <c r="D58" s="521">
        <f>C58*1.42</f>
        <v>8307</v>
      </c>
      <c r="G58" s="521">
        <v>1400</v>
      </c>
    </row>
    <row r="59" spans="1:20" x14ac:dyDescent="0.3">
      <c r="A59" t="s">
        <v>979</v>
      </c>
      <c r="B59" s="3" t="s">
        <v>872</v>
      </c>
      <c r="C59" s="521">
        <f>6700</f>
        <v>6700</v>
      </c>
      <c r="D59" s="521">
        <v>8950</v>
      </c>
      <c r="E59" s="521">
        <v>8200</v>
      </c>
      <c r="G59" s="521">
        <v>1500</v>
      </c>
    </row>
    <row r="60" spans="1:20" x14ac:dyDescent="0.3">
      <c r="A60" t="s">
        <v>979</v>
      </c>
      <c r="B60" s="3" t="s">
        <v>983</v>
      </c>
      <c r="C60" s="521">
        <f>7900</f>
        <v>7900</v>
      </c>
      <c r="D60" s="521">
        <v>11350</v>
      </c>
      <c r="E60" s="521">
        <v>9470</v>
      </c>
      <c r="G60" s="521">
        <v>1600</v>
      </c>
    </row>
    <row r="61" spans="1:20" x14ac:dyDescent="0.3">
      <c r="A61" t="s">
        <v>979</v>
      </c>
      <c r="B61" s="3" t="s">
        <v>874</v>
      </c>
      <c r="C61" s="521">
        <f>8600</f>
        <v>8600</v>
      </c>
      <c r="D61" s="521">
        <f>C61*1.35</f>
        <v>11610</v>
      </c>
      <c r="E61" s="521">
        <v>10250</v>
      </c>
      <c r="G61" s="521">
        <v>1700</v>
      </c>
    </row>
    <row r="62" spans="1:20" x14ac:dyDescent="0.3">
      <c r="A62" t="s">
        <v>979</v>
      </c>
      <c r="B62" s="3" t="s">
        <v>1087</v>
      </c>
      <c r="C62" s="521">
        <f>10550</f>
        <v>10550</v>
      </c>
      <c r="G62" s="521"/>
    </row>
    <row r="63" spans="1:20" x14ac:dyDescent="0.3">
      <c r="A63" t="s">
        <v>979</v>
      </c>
      <c r="B63" s="6" t="s">
        <v>905</v>
      </c>
      <c r="C63" s="532">
        <f>10200</f>
        <v>10200</v>
      </c>
      <c r="D63" s="521">
        <f>C63*1.35</f>
        <v>13770</v>
      </c>
      <c r="G63" s="521">
        <v>1800</v>
      </c>
    </row>
    <row r="64" spans="1:20" x14ac:dyDescent="0.3">
      <c r="C64" s="528" t="s">
        <v>935</v>
      </c>
      <c r="D64" s="528" t="s">
        <v>901</v>
      </c>
      <c r="E64" s="528" t="s">
        <v>981</v>
      </c>
      <c r="F64" s="528" t="s">
        <v>982</v>
      </c>
      <c r="G64" s="291" t="s">
        <v>990</v>
      </c>
      <c r="H64" s="291"/>
      <c r="I64" s="291"/>
      <c r="J64" s="291"/>
      <c r="K64" s="291"/>
      <c r="L64" s="291"/>
      <c r="M64" s="291"/>
      <c r="N64" s="291"/>
      <c r="O64" s="291"/>
      <c r="P64" s="533" t="s">
        <v>956</v>
      </c>
      <c r="Q64" s="533" t="s">
        <v>697</v>
      </c>
      <c r="R64" s="533" t="s">
        <v>696</v>
      </c>
      <c r="S64" s="533" t="s">
        <v>701</v>
      </c>
      <c r="T64" s="533" t="s">
        <v>987</v>
      </c>
    </row>
    <row r="65" spans="1:20" x14ac:dyDescent="0.3">
      <c r="A65" t="s">
        <v>949</v>
      </c>
      <c r="B65" s="6" t="s">
        <v>881</v>
      </c>
      <c r="G65" s="521">
        <v>800</v>
      </c>
    </row>
    <row r="66" spans="1:20" x14ac:dyDescent="0.3">
      <c r="A66" t="s">
        <v>949</v>
      </c>
      <c r="B66" s="6" t="s">
        <v>868</v>
      </c>
      <c r="C66" s="521">
        <v>1550</v>
      </c>
      <c r="D66" s="521">
        <v>1900</v>
      </c>
      <c r="E66" s="521">
        <v>1750</v>
      </c>
      <c r="F66" s="521">
        <v>2100</v>
      </c>
      <c r="G66" s="521">
        <v>850</v>
      </c>
    </row>
    <row r="67" spans="1:20" x14ac:dyDescent="0.3">
      <c r="A67" t="s">
        <v>949</v>
      </c>
      <c r="B67" s="6" t="s">
        <v>869</v>
      </c>
      <c r="C67" s="521">
        <v>1950</v>
      </c>
      <c r="D67" s="521">
        <v>2100</v>
      </c>
      <c r="E67" s="521">
        <v>2100</v>
      </c>
      <c r="F67" s="521">
        <v>2300</v>
      </c>
      <c r="G67" s="521">
        <v>900</v>
      </c>
    </row>
    <row r="68" spans="1:20" x14ac:dyDescent="0.3">
      <c r="A68" t="s">
        <v>949</v>
      </c>
      <c r="B68" s="6" t="s">
        <v>870</v>
      </c>
      <c r="C68" s="521">
        <v>2700</v>
      </c>
      <c r="D68" s="521">
        <v>3200</v>
      </c>
      <c r="E68" s="521">
        <v>2880</v>
      </c>
      <c r="F68" s="521">
        <v>3500</v>
      </c>
      <c r="G68" s="521">
        <v>950</v>
      </c>
    </row>
    <row r="69" spans="1:20" x14ac:dyDescent="0.3">
      <c r="A69" t="s">
        <v>949</v>
      </c>
      <c r="B69" s="3" t="s">
        <v>988</v>
      </c>
      <c r="C69" s="521">
        <v>2700</v>
      </c>
      <c r="D69" s="521">
        <v>3400</v>
      </c>
      <c r="E69" s="521">
        <v>3100</v>
      </c>
      <c r="F69" s="521">
        <v>3650</v>
      </c>
      <c r="G69" s="521">
        <v>1000</v>
      </c>
    </row>
    <row r="70" spans="1:20" x14ac:dyDescent="0.3">
      <c r="A70" t="s">
        <v>949</v>
      </c>
      <c r="B70" s="3" t="s">
        <v>871</v>
      </c>
      <c r="C70" s="521">
        <v>3450</v>
      </c>
      <c r="D70" s="521">
        <v>3400</v>
      </c>
      <c r="E70" s="521">
        <v>3550</v>
      </c>
      <c r="F70" s="521">
        <f>(3650+4285)/2</f>
        <v>3967.5</v>
      </c>
      <c r="G70" s="521">
        <v>1200</v>
      </c>
    </row>
    <row r="71" spans="1:20" x14ac:dyDescent="0.3">
      <c r="A71" t="s">
        <v>949</v>
      </c>
      <c r="B71" s="3" t="s">
        <v>980</v>
      </c>
      <c r="C71" s="521">
        <v>6000</v>
      </c>
      <c r="D71" s="521">
        <v>6350</v>
      </c>
      <c r="E71" s="521">
        <v>5500</v>
      </c>
      <c r="F71" s="521">
        <f>(7650+6700)/2</f>
        <v>7175</v>
      </c>
      <c r="G71" s="521">
        <v>1300</v>
      </c>
    </row>
    <row r="72" spans="1:20" x14ac:dyDescent="0.3">
      <c r="C72" s="528" t="s">
        <v>935</v>
      </c>
      <c r="D72" s="528" t="s">
        <v>901</v>
      </c>
      <c r="E72" s="528" t="s">
        <v>981</v>
      </c>
      <c r="F72" s="528" t="s">
        <v>982</v>
      </c>
      <c r="G72" s="291"/>
      <c r="H72" s="291"/>
      <c r="I72" s="291"/>
      <c r="J72" s="291"/>
      <c r="K72" s="291"/>
      <c r="L72" s="291"/>
      <c r="M72" s="291"/>
      <c r="N72" s="291"/>
      <c r="O72" s="291"/>
      <c r="P72" s="533" t="s">
        <v>956</v>
      </c>
      <c r="Q72" s="533" t="s">
        <v>697</v>
      </c>
      <c r="R72" s="533" t="s">
        <v>696</v>
      </c>
      <c r="S72" s="533" t="s">
        <v>701</v>
      </c>
      <c r="T72" s="533" t="s">
        <v>987</v>
      </c>
    </row>
    <row r="73" spans="1:20" x14ac:dyDescent="0.3">
      <c r="A73" t="s">
        <v>955</v>
      </c>
      <c r="B73" s="6" t="s">
        <v>881</v>
      </c>
      <c r="C73" s="521">
        <v>1800</v>
      </c>
      <c r="E73" s="521">
        <v>1550</v>
      </c>
      <c r="G73" s="521"/>
    </row>
    <row r="74" spans="1:20" x14ac:dyDescent="0.3">
      <c r="A74" t="s">
        <v>955</v>
      </c>
      <c r="B74" s="6" t="s">
        <v>868</v>
      </c>
      <c r="C74" s="521">
        <v>1800</v>
      </c>
      <c r="E74" s="521">
        <v>2000</v>
      </c>
      <c r="G74" s="521"/>
    </row>
    <row r="75" spans="1:20" x14ac:dyDescent="0.3">
      <c r="A75" t="s">
        <v>955</v>
      </c>
      <c r="B75" s="6" t="s">
        <v>869</v>
      </c>
      <c r="C75" s="521">
        <v>2100</v>
      </c>
      <c r="E75" s="521">
        <v>2250</v>
      </c>
      <c r="G75" s="521"/>
    </row>
    <row r="76" spans="1:20" x14ac:dyDescent="0.3">
      <c r="A76" t="s">
        <v>955</v>
      </c>
      <c r="B76" s="6" t="s">
        <v>870</v>
      </c>
      <c r="C76" s="521">
        <f>C77</f>
        <v>3850</v>
      </c>
      <c r="E76" s="521">
        <f>E77</f>
        <v>4150</v>
      </c>
      <c r="G76" s="521"/>
    </row>
    <row r="77" spans="1:20" x14ac:dyDescent="0.3">
      <c r="A77" t="s">
        <v>955</v>
      </c>
      <c r="B77" s="3" t="s">
        <v>988</v>
      </c>
      <c r="C77" s="521">
        <v>3850</v>
      </c>
      <c r="E77" s="521">
        <v>4150</v>
      </c>
      <c r="G77" s="521"/>
    </row>
    <row r="78" spans="1:20" x14ac:dyDescent="0.3">
      <c r="A78" t="s">
        <v>955</v>
      </c>
      <c r="B78" s="3" t="s">
        <v>989</v>
      </c>
      <c r="C78" s="521">
        <v>4700</v>
      </c>
      <c r="E78" s="521">
        <v>5100</v>
      </c>
      <c r="G78" s="521"/>
    </row>
    <row r="79" spans="1:20" x14ac:dyDescent="0.3">
      <c r="C79" s="528" t="s">
        <v>935</v>
      </c>
      <c r="D79" s="528" t="s">
        <v>1006</v>
      </c>
      <c r="E79" s="528" t="s">
        <v>1007</v>
      </c>
      <c r="F79" s="528" t="s">
        <v>1008</v>
      </c>
      <c r="G79" s="528" t="s">
        <v>1009</v>
      </c>
      <c r="H79" s="528" t="s">
        <v>1010</v>
      </c>
      <c r="I79" s="528" t="s">
        <v>1011</v>
      </c>
      <c r="J79" s="528" t="s">
        <v>1012</v>
      </c>
      <c r="K79" s="528" t="s">
        <v>1015</v>
      </c>
      <c r="P79" s="533" t="s">
        <v>956</v>
      </c>
      <c r="Q79" s="533" t="s">
        <v>697</v>
      </c>
      <c r="R79" s="533" t="s">
        <v>696</v>
      </c>
      <c r="S79" s="533" t="s">
        <v>701</v>
      </c>
      <c r="T79" s="533" t="s">
        <v>987</v>
      </c>
    </row>
    <row r="80" spans="1:20" x14ac:dyDescent="0.3">
      <c r="A80" t="s">
        <v>991</v>
      </c>
      <c r="B80" s="49" t="s">
        <v>1084</v>
      </c>
      <c r="C80" s="522">
        <v>2400</v>
      </c>
      <c r="D80" s="522">
        <v>0</v>
      </c>
      <c r="E80" s="522">
        <v>0</v>
      </c>
      <c r="F80" s="522"/>
      <c r="G80" s="522">
        <v>130</v>
      </c>
      <c r="H80" s="522">
        <v>250</v>
      </c>
      <c r="I80" s="522"/>
      <c r="J80" s="522" t="s">
        <v>1014</v>
      </c>
      <c r="K80" s="522" t="s">
        <v>1017</v>
      </c>
    </row>
    <row r="81" spans="1:11" x14ac:dyDescent="0.3">
      <c r="A81" t="s">
        <v>991</v>
      </c>
      <c r="B81" s="49" t="s">
        <v>1041</v>
      </c>
      <c r="C81" s="521">
        <v>2300</v>
      </c>
      <c r="D81" s="521">
        <v>0</v>
      </c>
      <c r="E81" s="521">
        <v>0</v>
      </c>
      <c r="G81" s="521">
        <v>130</v>
      </c>
      <c r="H81" s="521">
        <v>250</v>
      </c>
      <c r="J81" s="49" t="s">
        <v>1013</v>
      </c>
      <c r="K81" s="49" t="s">
        <v>1016</v>
      </c>
    </row>
    <row r="82" spans="1:11" x14ac:dyDescent="0.3">
      <c r="A82" t="s">
        <v>991</v>
      </c>
      <c r="B82" s="49" t="s">
        <v>1042</v>
      </c>
      <c r="G82" s="521"/>
      <c r="J82" s="49" t="s">
        <v>1014</v>
      </c>
      <c r="K82" s="49" t="s">
        <v>1016</v>
      </c>
    </row>
    <row r="83" spans="1:11" x14ac:dyDescent="0.3">
      <c r="A83" t="s">
        <v>991</v>
      </c>
      <c r="B83" s="49" t="s">
        <v>1043</v>
      </c>
      <c r="G83" s="521"/>
      <c r="J83" s="49" t="s">
        <v>1013</v>
      </c>
      <c r="K83" s="49" t="s">
        <v>1017</v>
      </c>
    </row>
    <row r="84" spans="1:11" x14ac:dyDescent="0.3">
      <c r="A84" t="s">
        <v>991</v>
      </c>
      <c r="B84" s="49" t="s">
        <v>1044</v>
      </c>
      <c r="G84" s="521"/>
      <c r="J84" s="49" t="s">
        <v>1018</v>
      </c>
      <c r="K84" s="49" t="s">
        <v>1019</v>
      </c>
    </row>
    <row r="85" spans="1:11" x14ac:dyDescent="0.3">
      <c r="A85" t="s">
        <v>991</v>
      </c>
      <c r="B85" s="49" t="s">
        <v>1045</v>
      </c>
      <c r="G85" s="521"/>
      <c r="J85" s="49" t="s">
        <v>1020</v>
      </c>
      <c r="K85" s="49" t="s">
        <v>1019</v>
      </c>
    </row>
    <row r="86" spans="1:11" x14ac:dyDescent="0.3">
      <c r="A86" t="s">
        <v>991</v>
      </c>
      <c r="B86" s="49" t="s">
        <v>1046</v>
      </c>
      <c r="G86" s="521"/>
      <c r="J86" s="49" t="s">
        <v>1014</v>
      </c>
      <c r="K86" s="49" t="s">
        <v>1017</v>
      </c>
    </row>
    <row r="87" spans="1:11" x14ac:dyDescent="0.3">
      <c r="A87" t="s">
        <v>991</v>
      </c>
      <c r="B87" s="49" t="s">
        <v>1047</v>
      </c>
      <c r="G87" s="521"/>
      <c r="J87" s="49" t="s">
        <v>1018</v>
      </c>
      <c r="K87" s="49" t="s">
        <v>1021</v>
      </c>
    </row>
    <row r="88" spans="1:11" x14ac:dyDescent="0.3">
      <c r="A88" t="s">
        <v>991</v>
      </c>
      <c r="B88" s="49" t="s">
        <v>1048</v>
      </c>
      <c r="C88" s="521">
        <v>5100</v>
      </c>
      <c r="G88" s="521"/>
      <c r="J88" s="49" t="s">
        <v>1020</v>
      </c>
      <c r="K88" s="49" t="s">
        <v>1022</v>
      </c>
    </row>
    <row r="89" spans="1:11" x14ac:dyDescent="0.3">
      <c r="A89" t="s">
        <v>991</v>
      </c>
      <c r="B89" s="49" t="s">
        <v>1049</v>
      </c>
      <c r="G89" s="521"/>
      <c r="J89" s="49" t="s">
        <v>1014</v>
      </c>
      <c r="K89" s="49" t="s">
        <v>1023</v>
      </c>
    </row>
    <row r="90" spans="1:11" x14ac:dyDescent="0.3">
      <c r="A90" t="s">
        <v>991</v>
      </c>
      <c r="B90" s="49" t="s">
        <v>1050</v>
      </c>
      <c r="C90" s="521">
        <v>5750</v>
      </c>
      <c r="G90" s="521"/>
      <c r="J90" s="49" t="s">
        <v>1024</v>
      </c>
      <c r="K90" s="49" t="s">
        <v>1022</v>
      </c>
    </row>
    <row r="91" spans="1:11" x14ac:dyDescent="0.3">
      <c r="A91" t="s">
        <v>991</v>
      </c>
      <c r="B91" s="49" t="s">
        <v>1051</v>
      </c>
      <c r="G91" s="521"/>
      <c r="J91" s="49" t="s">
        <v>1025</v>
      </c>
      <c r="K91" s="49" t="s">
        <v>1021</v>
      </c>
    </row>
    <row r="92" spans="1:11" x14ac:dyDescent="0.3">
      <c r="A92" t="s">
        <v>991</v>
      </c>
      <c r="B92" s="49" t="s">
        <v>1052</v>
      </c>
      <c r="G92" s="521"/>
      <c r="J92" s="49" t="s">
        <v>1029</v>
      </c>
      <c r="K92" s="49" t="s">
        <v>1021</v>
      </c>
    </row>
    <row r="93" spans="1:11" x14ac:dyDescent="0.3">
      <c r="A93" t="s">
        <v>991</v>
      </c>
      <c r="B93" s="49" t="s">
        <v>1053</v>
      </c>
      <c r="C93" s="521">
        <v>7100</v>
      </c>
      <c r="G93" s="521"/>
      <c r="J93" s="49" t="s">
        <v>1030</v>
      </c>
      <c r="K93" s="49" t="s">
        <v>1021</v>
      </c>
    </row>
    <row r="94" spans="1:11" x14ac:dyDescent="0.3">
      <c r="A94" t="s">
        <v>991</v>
      </c>
      <c r="B94" s="49" t="s">
        <v>1054</v>
      </c>
      <c r="G94" s="521"/>
      <c r="J94" s="49" t="s">
        <v>1024</v>
      </c>
      <c r="K94" s="49" t="s">
        <v>1023</v>
      </c>
    </row>
    <row r="95" spans="1:11" x14ac:dyDescent="0.3">
      <c r="A95" t="s">
        <v>991</v>
      </c>
      <c r="B95" s="49" t="s">
        <v>1055</v>
      </c>
      <c r="G95" s="521"/>
      <c r="J95" s="49" t="s">
        <v>1020</v>
      </c>
      <c r="K95" s="49" t="s">
        <v>1028</v>
      </c>
    </row>
    <row r="96" spans="1:11" x14ac:dyDescent="0.3">
      <c r="A96" t="s">
        <v>991</v>
      </c>
      <c r="B96" s="49" t="s">
        <v>1056</v>
      </c>
      <c r="G96" s="521"/>
      <c r="J96" s="49" t="s">
        <v>1031</v>
      </c>
      <c r="K96" s="49" t="s">
        <v>1032</v>
      </c>
    </row>
    <row r="97" spans="1:20" x14ac:dyDescent="0.3">
      <c r="A97" t="s">
        <v>991</v>
      </c>
      <c r="B97" s="49" t="s">
        <v>1057</v>
      </c>
      <c r="G97" s="521"/>
      <c r="J97" s="49" t="s">
        <v>1029</v>
      </c>
      <c r="K97" s="49" t="s">
        <v>1026</v>
      </c>
    </row>
    <row r="98" spans="1:20" x14ac:dyDescent="0.3">
      <c r="A98" t="s">
        <v>991</v>
      </c>
      <c r="B98" s="49" t="s">
        <v>1058</v>
      </c>
      <c r="G98" s="521"/>
      <c r="J98" s="49" t="s">
        <v>1030</v>
      </c>
      <c r="K98" s="49" t="s">
        <v>1027</v>
      </c>
    </row>
    <row r="99" spans="1:20" x14ac:dyDescent="0.3">
      <c r="A99" t="s">
        <v>991</v>
      </c>
      <c r="B99" s="49" t="s">
        <v>1059</v>
      </c>
      <c r="C99" s="521">
        <v>9800</v>
      </c>
      <c r="G99" s="521"/>
      <c r="J99" s="49" t="s">
        <v>1033</v>
      </c>
      <c r="K99" s="49" t="s">
        <v>1023</v>
      </c>
    </row>
    <row r="100" spans="1:20" x14ac:dyDescent="0.3">
      <c r="A100" t="s">
        <v>991</v>
      </c>
      <c r="B100" s="49" t="s">
        <v>1060</v>
      </c>
      <c r="G100" s="521"/>
      <c r="J100" s="49" t="s">
        <v>1031</v>
      </c>
      <c r="K100" s="49" t="s">
        <v>1028</v>
      </c>
    </row>
    <row r="101" spans="1:20" x14ac:dyDescent="0.3">
      <c r="A101" t="s">
        <v>991</v>
      </c>
      <c r="B101" s="49" t="s">
        <v>1061</v>
      </c>
      <c r="C101" s="521">
        <v>11200</v>
      </c>
      <c r="G101" s="521"/>
      <c r="J101" s="49" t="s">
        <v>1034</v>
      </c>
      <c r="K101" s="49" t="s">
        <v>1026</v>
      </c>
    </row>
    <row r="102" spans="1:20" x14ac:dyDescent="0.3">
      <c r="A102" t="s">
        <v>991</v>
      </c>
      <c r="B102" s="49" t="s">
        <v>1062</v>
      </c>
      <c r="C102" s="521">
        <v>13900</v>
      </c>
      <c r="G102" s="521"/>
      <c r="J102" s="49" t="s">
        <v>1035</v>
      </c>
      <c r="K102" s="49" t="s">
        <v>1027</v>
      </c>
    </row>
    <row r="103" spans="1:20" x14ac:dyDescent="0.3">
      <c r="A103" t="s">
        <v>991</v>
      </c>
      <c r="B103" s="49" t="s">
        <v>1063</v>
      </c>
      <c r="G103" s="521"/>
      <c r="J103" s="49" t="s">
        <v>1033</v>
      </c>
      <c r="K103" s="49" t="s">
        <v>1036</v>
      </c>
    </row>
    <row r="104" spans="1:20" x14ac:dyDescent="0.3">
      <c r="A104" t="s">
        <v>991</v>
      </c>
      <c r="B104" s="49" t="s">
        <v>1064</v>
      </c>
      <c r="G104" s="521"/>
      <c r="J104" s="49" t="s">
        <v>1037</v>
      </c>
      <c r="K104" s="49" t="s">
        <v>1028</v>
      </c>
    </row>
    <row r="105" spans="1:20" x14ac:dyDescent="0.3">
      <c r="A105" t="s">
        <v>991</v>
      </c>
      <c r="B105" s="49" t="s">
        <v>1065</v>
      </c>
      <c r="G105" s="521"/>
      <c r="J105" s="49" t="s">
        <v>1034</v>
      </c>
      <c r="K105" s="49" t="s">
        <v>1038</v>
      </c>
    </row>
    <row r="106" spans="1:20" x14ac:dyDescent="0.3">
      <c r="A106" t="s">
        <v>991</v>
      </c>
      <c r="B106" s="49" t="s">
        <v>1066</v>
      </c>
      <c r="G106" s="521"/>
      <c r="J106" s="49" t="s">
        <v>1039</v>
      </c>
      <c r="K106" s="49" t="s">
        <v>1036</v>
      </c>
    </row>
    <row r="107" spans="1:20" x14ac:dyDescent="0.3">
      <c r="A107" t="s">
        <v>991</v>
      </c>
      <c r="B107" s="49" t="s">
        <v>1067</v>
      </c>
      <c r="G107" s="521"/>
      <c r="J107" s="49" t="s">
        <v>1035</v>
      </c>
      <c r="K107" s="49" t="s">
        <v>1040</v>
      </c>
    </row>
    <row r="108" spans="1:20" x14ac:dyDescent="0.3">
      <c r="C108" s="528" t="s">
        <v>935</v>
      </c>
      <c r="D108" s="528" t="s">
        <v>1006</v>
      </c>
      <c r="E108" s="528" t="s">
        <v>1007</v>
      </c>
      <c r="F108" s="528" t="s">
        <v>1008</v>
      </c>
      <c r="P108" s="533" t="s">
        <v>956</v>
      </c>
      <c r="Q108" s="533" t="s">
        <v>697</v>
      </c>
      <c r="R108" s="533" t="s">
        <v>696</v>
      </c>
      <c r="S108" s="533" t="s">
        <v>701</v>
      </c>
      <c r="T108" s="533" t="s">
        <v>987</v>
      </c>
    </row>
    <row r="109" spans="1:20" x14ac:dyDescent="0.3">
      <c r="A109" t="s">
        <v>953</v>
      </c>
      <c r="B109" s="49" t="s">
        <v>992</v>
      </c>
      <c r="C109" s="521">
        <v>2500</v>
      </c>
    </row>
    <row r="110" spans="1:20" x14ac:dyDescent="0.3">
      <c r="A110" t="s">
        <v>953</v>
      </c>
      <c r="B110" s="49" t="s">
        <v>993</v>
      </c>
      <c r="C110" s="521">
        <v>2800</v>
      </c>
    </row>
    <row r="111" spans="1:20" x14ac:dyDescent="0.3">
      <c r="A111" t="s">
        <v>953</v>
      </c>
      <c r="B111" s="49" t="s">
        <v>994</v>
      </c>
      <c r="C111" s="521">
        <v>2900</v>
      </c>
    </row>
    <row r="112" spans="1:20" x14ac:dyDescent="0.3">
      <c r="A112" t="s">
        <v>953</v>
      </c>
      <c r="B112" s="49" t="s">
        <v>995</v>
      </c>
      <c r="C112" s="521">
        <v>2900</v>
      </c>
    </row>
    <row r="113" spans="1:20" x14ac:dyDescent="0.3">
      <c r="A113" t="s">
        <v>953</v>
      </c>
      <c r="B113" s="49" t="s">
        <v>996</v>
      </c>
      <c r="C113" s="521">
        <v>3000</v>
      </c>
    </row>
    <row r="114" spans="1:20" x14ac:dyDescent="0.3">
      <c r="A114" t="s">
        <v>953</v>
      </c>
      <c r="B114" s="49" t="s">
        <v>997</v>
      </c>
      <c r="C114" s="521">
        <v>3100</v>
      </c>
    </row>
    <row r="115" spans="1:20" x14ac:dyDescent="0.3">
      <c r="A115" t="s">
        <v>953</v>
      </c>
      <c r="B115" s="49" t="s">
        <v>998</v>
      </c>
      <c r="C115" s="521">
        <v>3200</v>
      </c>
    </row>
    <row r="116" spans="1:20" x14ac:dyDescent="0.3">
      <c r="A116" t="s">
        <v>953</v>
      </c>
      <c r="B116" s="49" t="s">
        <v>999</v>
      </c>
    </row>
    <row r="117" spans="1:20" x14ac:dyDescent="0.3">
      <c r="A117" t="s">
        <v>953</v>
      </c>
      <c r="B117" s="49" t="s">
        <v>1000</v>
      </c>
    </row>
    <row r="118" spans="1:20" x14ac:dyDescent="0.3">
      <c r="A118" t="s">
        <v>953</v>
      </c>
      <c r="B118" s="49" t="s">
        <v>1001</v>
      </c>
    </row>
    <row r="119" spans="1:20" x14ac:dyDescent="0.3">
      <c r="A119" t="s">
        <v>953</v>
      </c>
      <c r="B119" s="49" t="s">
        <v>1002</v>
      </c>
    </row>
    <row r="120" spans="1:20" x14ac:dyDescent="0.3">
      <c r="A120" t="s">
        <v>953</v>
      </c>
      <c r="B120" s="49" t="s">
        <v>1003</v>
      </c>
    </row>
    <row r="121" spans="1:20" x14ac:dyDescent="0.3">
      <c r="A121" t="s">
        <v>953</v>
      </c>
      <c r="B121" s="49" t="s">
        <v>1004</v>
      </c>
    </row>
    <row r="122" spans="1:20" x14ac:dyDescent="0.3">
      <c r="A122" t="s">
        <v>953</v>
      </c>
      <c r="B122" s="49" t="s">
        <v>1005</v>
      </c>
    </row>
    <row r="123" spans="1:20" x14ac:dyDescent="0.3">
      <c r="C123" s="528" t="s">
        <v>935</v>
      </c>
      <c r="D123" s="528" t="s">
        <v>1006</v>
      </c>
      <c r="E123" s="528" t="s">
        <v>1007</v>
      </c>
      <c r="F123" s="528" t="s">
        <v>1008</v>
      </c>
      <c r="P123" s="533" t="s">
        <v>956</v>
      </c>
      <c r="Q123" s="533" t="s">
        <v>697</v>
      </c>
      <c r="R123" s="533" t="s">
        <v>696</v>
      </c>
      <c r="S123" s="533" t="s">
        <v>701</v>
      </c>
      <c r="T123" s="533" t="s">
        <v>987</v>
      </c>
    </row>
    <row r="124" spans="1:20" x14ac:dyDescent="0.3">
      <c r="A124" t="s">
        <v>1082</v>
      </c>
      <c r="B124" s="49" t="s">
        <v>997</v>
      </c>
      <c r="C124" s="521">
        <v>17200</v>
      </c>
    </row>
    <row r="125" spans="1:20" x14ac:dyDescent="0.3">
      <c r="A125" t="s">
        <v>1082</v>
      </c>
      <c r="B125" s="49" t="s">
        <v>1083</v>
      </c>
      <c r="C125" s="521">
        <v>28400</v>
      </c>
    </row>
    <row r="126" spans="1:20" x14ac:dyDescent="0.3">
      <c r="C126" s="528" t="s">
        <v>935</v>
      </c>
      <c r="D126" s="528" t="s">
        <v>1006</v>
      </c>
      <c r="E126" s="528" t="s">
        <v>1007</v>
      </c>
      <c r="F126" s="528" t="s">
        <v>1008</v>
      </c>
      <c r="P126" s="533" t="s">
        <v>956</v>
      </c>
      <c r="Q126" s="533" t="s">
        <v>697</v>
      </c>
      <c r="R126" s="533" t="s">
        <v>696</v>
      </c>
      <c r="S126" s="533" t="s">
        <v>701</v>
      </c>
      <c r="T126" s="533" t="s">
        <v>987</v>
      </c>
    </row>
    <row r="127" spans="1:20" x14ac:dyDescent="0.3">
      <c r="A127" t="s">
        <v>289</v>
      </c>
      <c r="B127" s="49" t="s">
        <v>996</v>
      </c>
      <c r="C127" s="521">
        <v>3900</v>
      </c>
      <c r="D127" s="521">
        <v>0</v>
      </c>
      <c r="E127" s="521">
        <v>0</v>
      </c>
      <c r="F127" s="521">
        <v>0</v>
      </c>
    </row>
    <row r="128" spans="1:20" x14ac:dyDescent="0.3">
      <c r="A128" t="s">
        <v>289</v>
      </c>
      <c r="B128" s="49" t="s">
        <v>1085</v>
      </c>
      <c r="C128" s="521">
        <v>28700</v>
      </c>
      <c r="D128" s="521">
        <v>0</v>
      </c>
      <c r="E128" s="521">
        <v>0</v>
      </c>
      <c r="F128" s="521">
        <v>0</v>
      </c>
    </row>
    <row r="129" spans="1:20" x14ac:dyDescent="0.3">
      <c r="C129" s="528" t="s">
        <v>935</v>
      </c>
      <c r="D129" s="528" t="s">
        <v>1006</v>
      </c>
      <c r="E129" s="528" t="s">
        <v>1007</v>
      </c>
      <c r="F129" s="528" t="s">
        <v>1008</v>
      </c>
      <c r="P129" s="533" t="s">
        <v>956</v>
      </c>
      <c r="Q129" s="533" t="s">
        <v>697</v>
      </c>
      <c r="R129" s="533" t="s">
        <v>696</v>
      </c>
      <c r="S129" s="533" t="s">
        <v>701</v>
      </c>
      <c r="T129" s="533" t="s">
        <v>987</v>
      </c>
    </row>
    <row r="130" spans="1:20" x14ac:dyDescent="0.3">
      <c r="A130" t="s">
        <v>1086</v>
      </c>
      <c r="B130" s="49" t="s">
        <v>994</v>
      </c>
      <c r="C130" s="521">
        <v>2300</v>
      </c>
      <c r="D130" s="521">
        <v>0</v>
      </c>
      <c r="E130" s="521">
        <v>0</v>
      </c>
      <c r="F130" s="521">
        <v>0</v>
      </c>
    </row>
    <row r="132" spans="1:20" x14ac:dyDescent="0.3">
      <c r="A132" t="s">
        <v>1096</v>
      </c>
      <c r="B132" s="49" t="s">
        <v>1097</v>
      </c>
      <c r="C132" s="521">
        <v>1500</v>
      </c>
    </row>
    <row r="133" spans="1:20" x14ac:dyDescent="0.3">
      <c r="A133" t="s">
        <v>1088</v>
      </c>
      <c r="B133" s="49" t="s">
        <v>1095</v>
      </c>
    </row>
    <row r="134" spans="1:20" x14ac:dyDescent="0.3">
      <c r="A134" t="s">
        <v>1089</v>
      </c>
      <c r="B134" s="49" t="s">
        <v>1094</v>
      </c>
      <c r="C134" s="521">
        <v>2350</v>
      </c>
    </row>
    <row r="135" spans="1:20" x14ac:dyDescent="0.3">
      <c r="A135" t="s">
        <v>1090</v>
      </c>
      <c r="B135" s="49" t="s">
        <v>995</v>
      </c>
      <c r="C135" s="521">
        <v>2500</v>
      </c>
    </row>
    <row r="136" spans="1:20" x14ac:dyDescent="0.3">
      <c r="A136" t="s">
        <v>1091</v>
      </c>
      <c r="B136" s="49" t="s">
        <v>995</v>
      </c>
      <c r="C136" s="521">
        <v>3000</v>
      </c>
    </row>
    <row r="137" spans="1:20" x14ac:dyDescent="0.3">
      <c r="A137" t="s">
        <v>1092</v>
      </c>
      <c r="B137" s="49" t="s">
        <v>1093</v>
      </c>
      <c r="C137" s="521">
        <v>3900</v>
      </c>
    </row>
    <row r="139" spans="1:20" x14ac:dyDescent="0.3">
      <c r="A139" t="s">
        <v>1102</v>
      </c>
      <c r="C139" s="521">
        <v>99</v>
      </c>
    </row>
    <row r="140" spans="1:20" x14ac:dyDescent="0.3">
      <c r="A140" t="s">
        <v>1101</v>
      </c>
      <c r="C140" s="521">
        <v>41.73</v>
      </c>
    </row>
    <row r="141" spans="1:20" x14ac:dyDescent="0.3">
      <c r="A141" t="s">
        <v>1103</v>
      </c>
      <c r="C141" s="521">
        <v>29.1</v>
      </c>
    </row>
    <row r="142" spans="1:20" x14ac:dyDescent="0.3">
      <c r="A142" t="s">
        <v>1104</v>
      </c>
      <c r="C142" s="521">
        <v>43.877400000000002</v>
      </c>
    </row>
    <row r="143" spans="1:20" x14ac:dyDescent="0.3">
      <c r="A143" t="s">
        <v>1105</v>
      </c>
      <c r="C143" s="521">
        <v>15.16</v>
      </c>
    </row>
    <row r="144" spans="1:20" x14ac:dyDescent="0.3">
      <c r="A144" t="s">
        <v>1106</v>
      </c>
      <c r="C144" s="521">
        <f>16*1.2</f>
        <v>19.2</v>
      </c>
    </row>
    <row r="145" spans="1:3" x14ac:dyDescent="0.3">
      <c r="A145" t="s">
        <v>1108</v>
      </c>
      <c r="C145" s="521">
        <f>21.5*1.1</f>
        <v>23.650000000000002</v>
      </c>
    </row>
    <row r="146" spans="1:3" x14ac:dyDescent="0.3">
      <c r="A146" t="s">
        <v>1109</v>
      </c>
      <c r="C146" s="521">
        <v>2.88</v>
      </c>
    </row>
  </sheetData>
  <mergeCells count="1">
    <mergeCell ref="B1:O1"/>
  </mergeCells>
  <phoneticPr fontId="36" type="noConversion"/>
  <pageMargins left="0.511811024" right="0.511811024" top="0.78740157499999996" bottom="0.78740157499999996" header="0.31496062000000002" footer="0.31496062000000002"/>
  <drawing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B29A7-DBF7-41B9-8F94-BAA9626C1934}">
  <sheetPr codeName="Planilha15">
    <tabColor rgb="FF002060"/>
  </sheetPr>
  <dimension ref="A1:Q53"/>
  <sheetViews>
    <sheetView topLeftCell="D1" zoomScale="80" zoomScaleNormal="80" zoomScaleSheetLayoutView="100" workbookViewId="0">
      <selection activeCell="C19" sqref="C19:F19"/>
    </sheetView>
  </sheetViews>
  <sheetFormatPr defaultRowHeight="14.4" x14ac:dyDescent="0.3"/>
  <cols>
    <col min="3" max="3" width="22.88671875" customWidth="1"/>
    <col min="5" max="5" width="30.109375" customWidth="1"/>
    <col min="13" max="13" width="39.21875" customWidth="1"/>
    <col min="14" max="16" width="10.77734375" customWidth="1"/>
    <col min="17" max="17" width="15.5546875" customWidth="1"/>
  </cols>
  <sheetData>
    <row r="1" spans="1:17" ht="15" customHeight="1" x14ac:dyDescent="0.3">
      <c r="A1" s="801"/>
      <c r="B1" s="1034"/>
      <c r="C1" s="1034"/>
      <c r="D1" s="803" t="s">
        <v>317</v>
      </c>
      <c r="E1" s="803"/>
      <c r="F1" s="803"/>
      <c r="G1" s="803"/>
      <c r="H1" s="803"/>
      <c r="I1" s="803"/>
      <c r="J1" s="803"/>
      <c r="K1" s="803"/>
      <c r="L1" s="803"/>
      <c r="M1" s="803"/>
      <c r="N1" s="1132"/>
      <c r="O1" s="1132"/>
      <c r="P1" s="1132"/>
      <c r="Q1" s="1039"/>
    </row>
    <row r="2" spans="1:17" ht="15" customHeight="1" x14ac:dyDescent="0.3">
      <c r="A2" s="802"/>
      <c r="B2" s="713"/>
      <c r="C2" s="713"/>
      <c r="D2" s="47" t="s">
        <v>46</v>
      </c>
      <c r="E2" s="116" t="e">
        <f>#REF!</f>
        <v>#REF!</v>
      </c>
      <c r="F2" s="1041" t="s">
        <v>318</v>
      </c>
      <c r="G2" s="1041"/>
      <c r="H2" s="1041"/>
      <c r="I2" s="1041"/>
      <c r="J2" s="1041"/>
      <c r="K2" s="1041"/>
      <c r="L2" s="1041"/>
      <c r="M2" s="1041"/>
      <c r="N2" s="804"/>
      <c r="O2" s="804"/>
      <c r="P2" s="804"/>
      <c r="Q2" s="1042"/>
    </row>
    <row r="3" spans="1:17" ht="15" customHeight="1" x14ac:dyDescent="0.3">
      <c r="A3" s="802"/>
      <c r="B3" s="713"/>
      <c r="C3" s="713"/>
      <c r="D3" s="47" t="s">
        <v>47</v>
      </c>
      <c r="E3" s="116" t="e">
        <f>#REF!</f>
        <v>#REF!</v>
      </c>
      <c r="F3" s="1133" t="e">
        <f>#REF!</f>
        <v>#REF!</v>
      </c>
      <c r="G3" s="1134"/>
      <c r="H3" s="1134"/>
      <c r="I3" s="1134"/>
      <c r="J3" s="1134"/>
      <c r="K3" s="1134"/>
      <c r="L3" s="1134"/>
      <c r="M3" s="1134"/>
      <c r="N3" s="1134"/>
      <c r="O3" s="1134"/>
      <c r="P3" s="1134"/>
      <c r="Q3" s="1135"/>
    </row>
    <row r="4" spans="1:17" ht="15" customHeight="1" x14ac:dyDescent="0.3">
      <c r="A4" s="802"/>
      <c r="B4" s="713"/>
      <c r="C4" s="713"/>
      <c r="D4" s="47" t="s">
        <v>48</v>
      </c>
      <c r="E4" s="116" t="e">
        <f>#REF!</f>
        <v>#REF!</v>
      </c>
      <c r="F4" s="1136"/>
      <c r="G4" s="1137"/>
      <c r="H4" s="1137"/>
      <c r="I4" s="1137"/>
      <c r="J4" s="1137"/>
      <c r="K4" s="1137"/>
      <c r="L4" s="1137"/>
      <c r="M4" s="1137"/>
      <c r="N4" s="1137"/>
      <c r="O4" s="1137"/>
      <c r="P4" s="1137"/>
      <c r="Q4" s="1138"/>
    </row>
    <row r="5" spans="1:17" ht="15" customHeight="1" x14ac:dyDescent="0.3">
      <c r="A5" s="802"/>
      <c r="B5" s="713"/>
      <c r="C5" s="713"/>
      <c r="D5" s="47" t="s">
        <v>110</v>
      </c>
      <c r="E5" s="152">
        <f ca="1">NOW()</f>
        <v>45953.89526203704</v>
      </c>
      <c r="F5" s="1136"/>
      <c r="G5" s="1137"/>
      <c r="H5" s="1137"/>
      <c r="I5" s="1137"/>
      <c r="J5" s="1137"/>
      <c r="K5" s="1137"/>
      <c r="L5" s="1137"/>
      <c r="M5" s="1137"/>
      <c r="N5" s="1137"/>
      <c r="O5" s="1137"/>
      <c r="P5" s="1137"/>
      <c r="Q5" s="1138"/>
    </row>
    <row r="6" spans="1:17" ht="15" customHeight="1" x14ac:dyDescent="0.3">
      <c r="A6" s="802"/>
      <c r="B6" s="713"/>
      <c r="C6" s="713"/>
      <c r="D6" s="81" t="s">
        <v>364</v>
      </c>
      <c r="E6" s="46" t="e">
        <f>#REF!</f>
        <v>#REF!</v>
      </c>
      <c r="F6" s="814"/>
      <c r="G6" s="815"/>
      <c r="H6" s="815"/>
      <c r="I6" s="815"/>
      <c r="J6" s="815"/>
      <c r="K6" s="815"/>
      <c r="L6" s="815"/>
      <c r="M6" s="815"/>
      <c r="N6" s="815"/>
      <c r="O6" s="815"/>
      <c r="P6" s="815"/>
      <c r="Q6" s="1139"/>
    </row>
    <row r="7" spans="1:17" ht="15" customHeight="1" x14ac:dyDescent="0.3">
      <c r="A7" s="802"/>
      <c r="B7" s="713"/>
      <c r="C7" s="713"/>
      <c r="D7" s="81" t="s">
        <v>579</v>
      </c>
      <c r="E7" s="46"/>
      <c r="F7" s="1140" t="e">
        <f>#REF!</f>
        <v>#REF!</v>
      </c>
      <c r="G7" s="1141"/>
      <c r="H7" s="1141"/>
      <c r="I7" s="1141"/>
      <c r="J7" s="1141"/>
      <c r="K7" s="1141"/>
      <c r="L7" s="1141"/>
      <c r="M7" s="1141"/>
      <c r="N7" s="1141"/>
      <c r="O7" s="1141"/>
      <c r="P7" s="1141"/>
      <c r="Q7" s="1142"/>
    </row>
    <row r="8" spans="1:17" ht="15" customHeight="1" x14ac:dyDescent="0.3">
      <c r="A8" s="1128"/>
      <c r="B8" s="1129"/>
      <c r="C8" s="1129"/>
      <c r="D8" s="1129"/>
      <c r="E8" s="1129"/>
      <c r="F8" s="1129"/>
      <c r="G8" s="1129"/>
      <c r="H8" s="1129"/>
      <c r="I8" s="1129"/>
      <c r="J8" s="1129"/>
      <c r="K8" s="1129"/>
      <c r="L8" s="1129"/>
      <c r="M8" s="1129"/>
      <c r="N8" s="1130"/>
      <c r="O8" s="1130"/>
      <c r="P8" s="1130"/>
      <c r="Q8" s="1131"/>
    </row>
    <row r="9" spans="1:17" ht="15" customHeight="1" x14ac:dyDescent="0.3">
      <c r="A9" s="1046" t="s">
        <v>130</v>
      </c>
      <c r="B9" s="1047"/>
      <c r="C9" s="1047"/>
      <c r="D9" s="1047"/>
      <c r="E9" s="1047"/>
      <c r="F9" s="1047"/>
      <c r="G9" s="1047"/>
      <c r="H9" s="1047"/>
      <c r="I9" s="1047"/>
      <c r="J9" s="1047"/>
      <c r="K9" s="1047"/>
      <c r="L9" s="1047"/>
      <c r="M9" s="1047"/>
      <c r="N9" s="1048"/>
      <c r="O9" s="1048"/>
      <c r="P9" s="1048"/>
      <c r="Q9" s="1143"/>
    </row>
    <row r="10" spans="1:17" ht="15" customHeight="1" x14ac:dyDescent="0.3">
      <c r="A10" s="1144" t="s">
        <v>131</v>
      </c>
      <c r="B10" s="1145"/>
      <c r="C10" s="1146" t="s">
        <v>132</v>
      </c>
      <c r="D10" s="1146"/>
      <c r="E10" s="1146"/>
      <c r="F10" s="1146"/>
      <c r="G10" s="1048" t="s">
        <v>133</v>
      </c>
      <c r="H10" s="1147"/>
      <c r="I10" s="1055" t="s">
        <v>134</v>
      </c>
      <c r="J10" s="1148"/>
      <c r="K10" s="1055" t="s">
        <v>134</v>
      </c>
      <c r="L10" s="1148"/>
      <c r="M10" s="153" t="s">
        <v>135</v>
      </c>
      <c r="N10" s="660"/>
      <c r="O10" s="660"/>
      <c r="P10" s="660"/>
      <c r="Q10" s="1149"/>
    </row>
    <row r="11" spans="1:17" ht="15" customHeight="1" x14ac:dyDescent="0.3">
      <c r="A11" s="1144" t="s">
        <v>136</v>
      </c>
      <c r="B11" s="1145"/>
      <c r="C11" s="1152" t="s">
        <v>319</v>
      </c>
      <c r="D11" s="1152"/>
      <c r="E11" s="1152"/>
      <c r="F11" s="1152"/>
      <c r="G11" s="1122">
        <f ca="1">TODAY()</f>
        <v>45953</v>
      </c>
      <c r="H11" s="1123"/>
      <c r="I11" s="1018" t="s">
        <v>320</v>
      </c>
      <c r="J11" s="1153"/>
      <c r="K11" s="1018" t="s">
        <v>7</v>
      </c>
      <c r="L11" s="1153"/>
      <c r="M11" s="158" t="s">
        <v>7</v>
      </c>
      <c r="N11" s="661"/>
      <c r="O11" s="661"/>
      <c r="P11" s="661"/>
      <c r="Q11" s="1150"/>
    </row>
    <row r="12" spans="1:17" ht="15" customHeight="1" x14ac:dyDescent="0.3">
      <c r="A12" s="1119" t="s">
        <v>138</v>
      </c>
      <c r="B12" s="1120"/>
      <c r="C12" s="1121"/>
      <c r="D12" s="1121"/>
      <c r="E12" s="1121"/>
      <c r="F12" s="1121"/>
      <c r="G12" s="1122"/>
      <c r="H12" s="1123"/>
      <c r="I12" s="1122"/>
      <c r="J12" s="1123"/>
      <c r="K12" s="1075"/>
      <c r="L12" s="1124"/>
      <c r="M12" s="159"/>
      <c r="N12" s="662"/>
      <c r="O12" s="662"/>
      <c r="P12" s="662"/>
      <c r="Q12" s="1151"/>
    </row>
    <row r="13" spans="1:17" ht="15" customHeight="1" x14ac:dyDescent="0.3">
      <c r="A13" s="1125"/>
      <c r="B13" s="924"/>
      <c r="C13" s="924"/>
      <c r="D13" s="924"/>
      <c r="E13" s="924"/>
      <c r="F13" s="924"/>
      <c r="G13" s="924"/>
      <c r="H13" s="924"/>
      <c r="I13" s="924"/>
      <c r="J13" s="924"/>
      <c r="K13" s="924"/>
      <c r="L13" s="924"/>
      <c r="M13" s="924"/>
      <c r="N13" s="1126"/>
      <c r="O13" s="1126"/>
      <c r="P13" s="1126"/>
      <c r="Q13" s="1127"/>
    </row>
    <row r="14" spans="1:17" ht="15" customHeight="1" x14ac:dyDescent="0.3">
      <c r="A14" s="652" t="s">
        <v>321</v>
      </c>
      <c r="B14" s="655" t="s">
        <v>140</v>
      </c>
      <c r="C14" s="1032" t="s">
        <v>141</v>
      </c>
      <c r="D14" s="1032"/>
      <c r="E14" s="1032"/>
      <c r="F14" s="1032"/>
      <c r="G14" s="654" t="s">
        <v>142</v>
      </c>
      <c r="H14" s="365" t="s">
        <v>143</v>
      </c>
      <c r="I14" s="1033" t="s">
        <v>322</v>
      </c>
      <c r="J14" s="1033"/>
      <c r="K14" s="1033" t="s">
        <v>221</v>
      </c>
      <c r="L14" s="1033"/>
      <c r="M14" s="656" t="s">
        <v>222</v>
      </c>
      <c r="N14" s="663" t="s">
        <v>1378</v>
      </c>
      <c r="O14" s="663" t="s">
        <v>1379</v>
      </c>
      <c r="P14" s="663" t="s">
        <v>1111</v>
      </c>
      <c r="Q14" s="657" t="s">
        <v>321</v>
      </c>
    </row>
    <row r="15" spans="1:17" ht="15" customHeight="1" x14ac:dyDescent="0.3">
      <c r="A15" s="177">
        <f>IF(Q15="ok",1.3,IF(Q15="EM PROCESSO",1.2,-1))</f>
        <v>-1</v>
      </c>
      <c r="B15" s="178">
        <v>1</v>
      </c>
      <c r="C15" s="1113" t="s">
        <v>149</v>
      </c>
      <c r="D15" s="1114"/>
      <c r="E15" s="1114"/>
      <c r="F15" s="1114"/>
      <c r="G15" s="1114"/>
      <c r="H15" s="1114"/>
      <c r="I15" s="1114"/>
      <c r="J15" s="1114"/>
      <c r="K15" s="1114"/>
      <c r="L15" s="1114"/>
      <c r="M15" s="1115"/>
      <c r="N15" s="658"/>
      <c r="O15" s="658"/>
      <c r="P15" s="658"/>
      <c r="Q15" s="89" t="s">
        <v>204</v>
      </c>
    </row>
    <row r="16" spans="1:17" ht="15" customHeight="1" x14ac:dyDescent="0.3">
      <c r="A16" s="179">
        <f>IF(Q16="ok",1.3,IF(Q16="EM PROCESSO",1.2,-1))</f>
        <v>-1</v>
      </c>
      <c r="B16" s="160" t="str">
        <f ca="1">CONCATENATE($B$16,".",T16)</f>
        <v>1.1</v>
      </c>
      <c r="C16" s="1109" t="s">
        <v>150</v>
      </c>
      <c r="D16" s="1028"/>
      <c r="E16" s="1028"/>
      <c r="F16" s="1110"/>
      <c r="G16" s="1116"/>
      <c r="H16" s="1117"/>
      <c r="I16" s="1117"/>
      <c r="J16" s="1117"/>
      <c r="K16" s="1117"/>
      <c r="L16" s="1117"/>
      <c r="M16" s="1118"/>
      <c r="N16" s="367"/>
      <c r="O16" s="367"/>
      <c r="P16" s="367"/>
      <c r="Q16" s="89" t="s">
        <v>204</v>
      </c>
    </row>
    <row r="17" spans="1:17" ht="54.9" customHeight="1" x14ac:dyDescent="0.3">
      <c r="A17" s="39">
        <f>IF(Q17="ok",1.3,IF(Q17="EM PROCESSO",1.2,-1))</f>
        <v>1.2</v>
      </c>
      <c r="B17" s="154" t="s">
        <v>151</v>
      </c>
      <c r="C17" s="954" t="s">
        <v>323</v>
      </c>
      <c r="D17" s="954"/>
      <c r="E17" s="954"/>
      <c r="F17" s="954"/>
      <c r="G17" s="154" t="s">
        <v>152</v>
      </c>
      <c r="H17" s="155">
        <v>4</v>
      </c>
      <c r="I17" s="1111" t="s">
        <v>223</v>
      </c>
      <c r="J17" s="1111"/>
      <c r="K17" s="1112" t="s">
        <v>875</v>
      </c>
      <c r="L17" s="1112"/>
      <c r="M17" s="180" t="s">
        <v>876</v>
      </c>
      <c r="N17" s="664"/>
      <c r="O17" s="664"/>
      <c r="P17" s="664"/>
      <c r="Q17" s="89" t="s">
        <v>162</v>
      </c>
    </row>
    <row r="18" spans="1:17" ht="54.9" customHeight="1" x14ac:dyDescent="0.3">
      <c r="A18" s="39">
        <f>IF(Q18="ok",1.3,IF(Q18="EM PROCESSO",1.2,-1))</f>
        <v>-1</v>
      </c>
      <c r="B18" s="154" t="s">
        <v>153</v>
      </c>
      <c r="C18" s="1102" t="s">
        <v>324</v>
      </c>
      <c r="D18" s="1103"/>
      <c r="E18" s="1103"/>
      <c r="F18" s="1104"/>
      <c r="G18" s="154" t="s">
        <v>152</v>
      </c>
      <c r="H18" s="155">
        <v>2</v>
      </c>
      <c r="I18" s="1111" t="s">
        <v>325</v>
      </c>
      <c r="J18" s="1111"/>
      <c r="K18" s="1112" t="s">
        <v>326</v>
      </c>
      <c r="L18" s="1112"/>
      <c r="M18" s="180" t="s">
        <v>327</v>
      </c>
      <c r="N18" s="664"/>
      <c r="O18" s="664"/>
      <c r="P18" s="664"/>
      <c r="Q18" s="89" t="s">
        <v>7</v>
      </c>
    </row>
    <row r="19" spans="1:17" ht="54.9" customHeight="1" x14ac:dyDescent="0.3">
      <c r="A19" s="39">
        <f t="shared" ref="A19:A38" si="0">IF(Q19="ok",1.3,IF(Q19="EM PROCESSO",1.2,-1))</f>
        <v>1.2</v>
      </c>
      <c r="B19" s="154" t="s">
        <v>154</v>
      </c>
      <c r="C19" s="954" t="s">
        <v>328</v>
      </c>
      <c r="D19" s="954"/>
      <c r="E19" s="954"/>
      <c r="F19" s="954"/>
      <c r="G19" s="154" t="s">
        <v>152</v>
      </c>
      <c r="H19" s="155">
        <v>1</v>
      </c>
      <c r="I19" s="1111" t="s">
        <v>329</v>
      </c>
      <c r="J19" s="1111"/>
      <c r="K19" s="1112" t="s">
        <v>1346</v>
      </c>
      <c r="L19" s="1112"/>
      <c r="M19" s="180" t="s">
        <v>330</v>
      </c>
      <c r="N19" s="664"/>
      <c r="O19" s="664"/>
      <c r="P19" s="664"/>
      <c r="Q19" s="89" t="s">
        <v>162</v>
      </c>
    </row>
    <row r="20" spans="1:17" ht="54.9" customHeight="1" x14ac:dyDescent="0.3">
      <c r="A20" s="39">
        <f t="shared" si="0"/>
        <v>1.2</v>
      </c>
      <c r="B20" s="154" t="s">
        <v>225</v>
      </c>
      <c r="C20" s="954" t="s">
        <v>331</v>
      </c>
      <c r="D20" s="954"/>
      <c r="E20" s="954"/>
      <c r="F20" s="954"/>
      <c r="G20" s="154" t="s">
        <v>152</v>
      </c>
      <c r="H20" s="155">
        <v>4</v>
      </c>
      <c r="I20" s="1111" t="s">
        <v>332</v>
      </c>
      <c r="J20" s="1111"/>
      <c r="K20" s="1112" t="s">
        <v>333</v>
      </c>
      <c r="L20" s="1112"/>
      <c r="M20" s="180" t="s">
        <v>334</v>
      </c>
      <c r="N20" s="664"/>
      <c r="O20" s="664"/>
      <c r="P20" s="664"/>
      <c r="Q20" s="89" t="s">
        <v>162</v>
      </c>
    </row>
    <row r="21" spans="1:17" ht="54.9" customHeight="1" x14ac:dyDescent="0.3">
      <c r="A21" s="39">
        <f t="shared" si="0"/>
        <v>1.2</v>
      </c>
      <c r="B21" s="154" t="s">
        <v>226</v>
      </c>
      <c r="C21" s="954" t="s">
        <v>335</v>
      </c>
      <c r="D21" s="954"/>
      <c r="E21" s="954"/>
      <c r="F21" s="954"/>
      <c r="G21" s="154" t="s">
        <v>152</v>
      </c>
      <c r="H21" s="155">
        <v>2</v>
      </c>
      <c r="I21" s="1111" t="s">
        <v>332</v>
      </c>
      <c r="J21" s="1111"/>
      <c r="K21" s="1112" t="s">
        <v>333</v>
      </c>
      <c r="L21" s="1112"/>
      <c r="M21" s="180" t="s">
        <v>334</v>
      </c>
      <c r="N21" s="664"/>
      <c r="O21" s="664"/>
      <c r="P21" s="664"/>
      <c r="Q21" s="89" t="s">
        <v>162</v>
      </c>
    </row>
    <row r="22" spans="1:17" ht="54.9" customHeight="1" x14ac:dyDescent="0.3">
      <c r="A22" s="39">
        <f t="shared" si="0"/>
        <v>-1</v>
      </c>
      <c r="B22" s="154" t="s">
        <v>336</v>
      </c>
      <c r="C22" s="954" t="s">
        <v>337</v>
      </c>
      <c r="D22" s="954"/>
      <c r="E22" s="954"/>
      <c r="F22" s="954"/>
      <c r="G22" s="154" t="s">
        <v>152</v>
      </c>
      <c r="H22" s="155">
        <v>2</v>
      </c>
      <c r="I22" s="1098" t="s">
        <v>338</v>
      </c>
      <c r="J22" s="1099"/>
      <c r="K22" s="1112" t="s">
        <v>339</v>
      </c>
      <c r="L22" s="1112"/>
      <c r="M22" s="180" t="s">
        <v>224</v>
      </c>
      <c r="N22" s="664"/>
      <c r="O22" s="664"/>
      <c r="P22" s="664"/>
      <c r="Q22" s="89" t="s">
        <v>7</v>
      </c>
    </row>
    <row r="23" spans="1:17" ht="54.9" customHeight="1" x14ac:dyDescent="0.3">
      <c r="A23" s="39">
        <f t="shared" si="0"/>
        <v>-1</v>
      </c>
      <c r="B23" s="154" t="s">
        <v>340</v>
      </c>
      <c r="C23" s="954" t="s">
        <v>341</v>
      </c>
      <c r="D23" s="954"/>
      <c r="E23" s="954"/>
      <c r="F23" s="954"/>
      <c r="G23" s="154" t="s">
        <v>300</v>
      </c>
      <c r="H23" s="155" t="s">
        <v>7</v>
      </c>
      <c r="I23" s="1111" t="s">
        <v>7</v>
      </c>
      <c r="J23" s="1111"/>
      <c r="K23" s="1112" t="s">
        <v>7</v>
      </c>
      <c r="L23" s="1112"/>
      <c r="M23" s="180"/>
      <c r="N23" s="664"/>
      <c r="O23" s="664"/>
      <c r="P23" s="664"/>
      <c r="Q23" s="89" t="s">
        <v>7</v>
      </c>
    </row>
    <row r="24" spans="1:17" ht="15" customHeight="1" x14ac:dyDescent="0.3">
      <c r="A24" s="179">
        <f t="shared" si="0"/>
        <v>-1</v>
      </c>
      <c r="B24" s="181" t="s">
        <v>93</v>
      </c>
      <c r="C24" s="1014" t="s">
        <v>342</v>
      </c>
      <c r="D24" s="1014"/>
      <c r="E24" s="1014"/>
      <c r="F24" s="1014"/>
      <c r="G24" s="1014"/>
      <c r="H24" s="1014"/>
      <c r="I24" s="1014"/>
      <c r="J24" s="1014"/>
      <c r="K24" s="1014"/>
      <c r="L24" s="1014"/>
      <c r="M24" s="1014"/>
      <c r="N24" s="659"/>
      <c r="O24" s="659"/>
      <c r="P24" s="659"/>
      <c r="Q24" s="89" t="s">
        <v>204</v>
      </c>
    </row>
    <row r="25" spans="1:17" ht="39.9" customHeight="1" x14ac:dyDescent="0.3">
      <c r="A25" s="39">
        <f t="shared" si="0"/>
        <v>-1</v>
      </c>
      <c r="B25" s="154" t="s">
        <v>290</v>
      </c>
      <c r="C25" s="954" t="s">
        <v>343</v>
      </c>
      <c r="D25" s="954"/>
      <c r="E25" s="954"/>
      <c r="F25" s="954"/>
      <c r="G25" s="154" t="s">
        <v>152</v>
      </c>
      <c r="H25" s="155">
        <v>1</v>
      </c>
      <c r="I25" s="1111" t="s">
        <v>223</v>
      </c>
      <c r="J25" s="1111"/>
      <c r="K25" s="1112" t="s">
        <v>1347</v>
      </c>
      <c r="L25" s="1112"/>
      <c r="M25" s="180" t="s">
        <v>1348</v>
      </c>
      <c r="N25" s="664"/>
      <c r="O25" s="664"/>
      <c r="P25" s="664"/>
      <c r="Q25" s="89" t="s">
        <v>7</v>
      </c>
    </row>
    <row r="26" spans="1:17" ht="39.9" customHeight="1" x14ac:dyDescent="0.3">
      <c r="A26" s="39">
        <f t="shared" si="0"/>
        <v>-1</v>
      </c>
      <c r="B26" s="154" t="s">
        <v>292</v>
      </c>
      <c r="C26" s="954" t="s">
        <v>344</v>
      </c>
      <c r="D26" s="954"/>
      <c r="E26" s="954"/>
      <c r="F26" s="954"/>
      <c r="G26" s="154" t="s">
        <v>152</v>
      </c>
      <c r="H26" s="155">
        <v>2</v>
      </c>
      <c r="I26" s="1111" t="s">
        <v>223</v>
      </c>
      <c r="J26" s="1111"/>
      <c r="K26" s="1112" t="s">
        <v>1347</v>
      </c>
      <c r="L26" s="1112"/>
      <c r="M26" s="180" t="s">
        <v>1348</v>
      </c>
      <c r="N26" s="664"/>
      <c r="O26" s="664"/>
      <c r="P26" s="664"/>
      <c r="Q26" s="89" t="s">
        <v>7</v>
      </c>
    </row>
    <row r="27" spans="1:17" ht="39.9" customHeight="1" x14ac:dyDescent="0.3">
      <c r="A27" s="39">
        <f t="shared" si="0"/>
        <v>-1</v>
      </c>
      <c r="B27" s="154" t="s">
        <v>345</v>
      </c>
      <c r="C27" s="954" t="s">
        <v>346</v>
      </c>
      <c r="D27" s="954"/>
      <c r="E27" s="954"/>
      <c r="F27" s="954"/>
      <c r="G27" s="154" t="s">
        <v>152</v>
      </c>
      <c r="H27" s="155">
        <v>1</v>
      </c>
      <c r="I27" s="1111" t="s">
        <v>223</v>
      </c>
      <c r="J27" s="1111"/>
      <c r="K27" s="1112" t="s">
        <v>1347</v>
      </c>
      <c r="L27" s="1112"/>
      <c r="M27" s="180" t="s">
        <v>1348</v>
      </c>
      <c r="N27" s="664"/>
      <c r="O27" s="664"/>
      <c r="P27" s="664"/>
      <c r="Q27" s="89" t="s">
        <v>7</v>
      </c>
    </row>
    <row r="28" spans="1:17" ht="39.9" customHeight="1" x14ac:dyDescent="0.3">
      <c r="A28" s="39">
        <f t="shared" si="0"/>
        <v>-1</v>
      </c>
      <c r="B28" s="154" t="s">
        <v>347</v>
      </c>
      <c r="C28" s="954" t="s">
        <v>348</v>
      </c>
      <c r="D28" s="954"/>
      <c r="E28" s="954"/>
      <c r="F28" s="954"/>
      <c r="G28" s="154" t="s">
        <v>152</v>
      </c>
      <c r="H28" s="155">
        <v>1</v>
      </c>
      <c r="I28" s="1111" t="s">
        <v>223</v>
      </c>
      <c r="J28" s="1111"/>
      <c r="K28" s="1112" t="s">
        <v>1347</v>
      </c>
      <c r="L28" s="1112"/>
      <c r="M28" s="180" t="s">
        <v>1348</v>
      </c>
      <c r="N28" s="664"/>
      <c r="O28" s="664"/>
      <c r="P28" s="664"/>
      <c r="Q28" s="89" t="s">
        <v>7</v>
      </c>
    </row>
    <row r="29" spans="1:17" ht="39.9" customHeight="1" x14ac:dyDescent="0.3">
      <c r="A29" s="39">
        <f t="shared" si="0"/>
        <v>-1</v>
      </c>
      <c r="B29" s="154" t="s">
        <v>349</v>
      </c>
      <c r="C29" s="954" t="s">
        <v>350</v>
      </c>
      <c r="D29" s="954"/>
      <c r="E29" s="954"/>
      <c r="F29" s="954"/>
      <c r="G29" s="154" t="s">
        <v>152</v>
      </c>
      <c r="H29" s="155">
        <v>1</v>
      </c>
      <c r="I29" s="1111" t="s">
        <v>223</v>
      </c>
      <c r="J29" s="1111"/>
      <c r="K29" s="1112" t="s">
        <v>1347</v>
      </c>
      <c r="L29" s="1112"/>
      <c r="M29" s="180" t="s">
        <v>1348</v>
      </c>
      <c r="N29" s="664"/>
      <c r="O29" s="664"/>
      <c r="P29" s="664"/>
      <c r="Q29" s="89" t="s">
        <v>7</v>
      </c>
    </row>
    <row r="30" spans="1:17" ht="35.1" customHeight="1" x14ac:dyDescent="0.3">
      <c r="A30" s="39">
        <f t="shared" si="0"/>
        <v>-1</v>
      </c>
      <c r="B30" s="154" t="s">
        <v>351</v>
      </c>
      <c r="C30" s="954" t="s">
        <v>352</v>
      </c>
      <c r="D30" s="954"/>
      <c r="E30" s="954"/>
      <c r="F30" s="954"/>
      <c r="G30" s="154" t="s">
        <v>152</v>
      </c>
      <c r="H30" s="155">
        <v>2</v>
      </c>
      <c r="I30" s="1111" t="s">
        <v>227</v>
      </c>
      <c r="J30" s="1111"/>
      <c r="K30" s="1112" t="s">
        <v>7</v>
      </c>
      <c r="L30" s="1112"/>
      <c r="M30" s="182" t="s">
        <v>7</v>
      </c>
      <c r="N30" s="665"/>
      <c r="O30" s="665"/>
      <c r="P30" s="665"/>
      <c r="Q30" s="89" t="s">
        <v>7</v>
      </c>
    </row>
    <row r="31" spans="1:17" ht="35.1" customHeight="1" x14ac:dyDescent="0.3">
      <c r="A31" s="39">
        <f t="shared" si="0"/>
        <v>-1</v>
      </c>
      <c r="B31" s="154" t="s">
        <v>353</v>
      </c>
      <c r="C31" s="1095" t="s">
        <v>354</v>
      </c>
      <c r="D31" s="1096"/>
      <c r="E31" s="1096"/>
      <c r="F31" s="1097"/>
      <c r="G31" s="154" t="s">
        <v>152</v>
      </c>
      <c r="H31" s="155">
        <v>6</v>
      </c>
      <c r="I31" s="1098" t="s">
        <v>227</v>
      </c>
      <c r="J31" s="1099"/>
      <c r="K31" s="1100" t="s">
        <v>7</v>
      </c>
      <c r="L31" s="1101"/>
      <c r="M31" s="182" t="s">
        <v>7</v>
      </c>
      <c r="N31" s="665"/>
      <c r="O31" s="665"/>
      <c r="P31" s="665"/>
      <c r="Q31" s="89" t="s">
        <v>7</v>
      </c>
    </row>
    <row r="32" spans="1:17" ht="35.1" customHeight="1" x14ac:dyDescent="0.3">
      <c r="A32" s="39">
        <f t="shared" si="0"/>
        <v>-1</v>
      </c>
      <c r="B32" s="154" t="s">
        <v>355</v>
      </c>
      <c r="C32" s="1095" t="s">
        <v>356</v>
      </c>
      <c r="D32" s="1096"/>
      <c r="E32" s="1096"/>
      <c r="F32" s="1097"/>
      <c r="G32" s="154" t="s">
        <v>152</v>
      </c>
      <c r="H32" s="155">
        <v>2</v>
      </c>
      <c r="I32" s="1098" t="s">
        <v>227</v>
      </c>
      <c r="J32" s="1099"/>
      <c r="K32" s="1100" t="s">
        <v>7</v>
      </c>
      <c r="L32" s="1101"/>
      <c r="M32" s="182" t="s">
        <v>7</v>
      </c>
      <c r="N32" s="665"/>
      <c r="O32" s="665"/>
      <c r="P32" s="665"/>
      <c r="Q32" s="89" t="s">
        <v>7</v>
      </c>
    </row>
    <row r="33" spans="1:17" ht="34.5" customHeight="1" x14ac:dyDescent="0.3">
      <c r="A33" s="39">
        <f t="shared" si="0"/>
        <v>-1</v>
      </c>
      <c r="B33" s="154" t="s">
        <v>355</v>
      </c>
      <c r="C33" s="954" t="s">
        <v>1352</v>
      </c>
      <c r="D33" s="954"/>
      <c r="E33" s="954"/>
      <c r="F33" s="954"/>
      <c r="G33" s="154" t="s">
        <v>152</v>
      </c>
      <c r="H33" s="155">
        <v>1</v>
      </c>
      <c r="I33" s="1111" t="s">
        <v>1349</v>
      </c>
      <c r="J33" s="1111"/>
      <c r="K33" s="1112" t="s">
        <v>1350</v>
      </c>
      <c r="L33" s="1112"/>
      <c r="M33" s="180" t="s">
        <v>1351</v>
      </c>
      <c r="N33" s="664"/>
      <c r="O33" s="664"/>
      <c r="P33" s="664"/>
      <c r="Q33" s="89" t="s">
        <v>7</v>
      </c>
    </row>
    <row r="34" spans="1:17" ht="15" customHeight="1" x14ac:dyDescent="0.3">
      <c r="A34" s="179">
        <f t="shared" si="0"/>
        <v>-1</v>
      </c>
      <c r="B34" s="160" t="s">
        <v>94</v>
      </c>
      <c r="C34" s="1109" t="s">
        <v>357</v>
      </c>
      <c r="D34" s="1028"/>
      <c r="E34" s="1028"/>
      <c r="F34" s="1028"/>
      <c r="G34" s="1028"/>
      <c r="H34" s="1028"/>
      <c r="I34" s="1028"/>
      <c r="J34" s="1028"/>
      <c r="K34" s="1028"/>
      <c r="L34" s="1028"/>
      <c r="M34" s="1110"/>
      <c r="N34" s="653"/>
      <c r="O34" s="653"/>
      <c r="P34" s="653"/>
      <c r="Q34" s="89" t="s">
        <v>204</v>
      </c>
    </row>
    <row r="35" spans="1:17" ht="35.1" customHeight="1" x14ac:dyDescent="0.3">
      <c r="A35" s="39">
        <f t="shared" si="0"/>
        <v>-1</v>
      </c>
      <c r="B35" s="154" t="s">
        <v>295</v>
      </c>
      <c r="C35" s="1095" t="s">
        <v>358</v>
      </c>
      <c r="D35" s="1096"/>
      <c r="E35" s="1096"/>
      <c r="F35" s="1097"/>
      <c r="G35" s="154" t="s">
        <v>152</v>
      </c>
      <c r="H35" s="155">
        <v>2</v>
      </c>
      <c r="I35" s="1098" t="s">
        <v>227</v>
      </c>
      <c r="J35" s="1099"/>
      <c r="K35" s="1100" t="s">
        <v>7</v>
      </c>
      <c r="L35" s="1101"/>
      <c r="M35" s="180"/>
      <c r="N35" s="664"/>
      <c r="O35" s="664"/>
      <c r="P35" s="664"/>
      <c r="Q35" s="89" t="s">
        <v>7</v>
      </c>
    </row>
    <row r="36" spans="1:17" ht="35.1" customHeight="1" x14ac:dyDescent="0.3">
      <c r="A36" s="39">
        <f t="shared" si="0"/>
        <v>-1</v>
      </c>
      <c r="B36" s="154" t="s">
        <v>298</v>
      </c>
      <c r="C36" s="1095" t="s">
        <v>359</v>
      </c>
      <c r="D36" s="1096"/>
      <c r="E36" s="1096"/>
      <c r="F36" s="1097"/>
      <c r="G36" s="154" t="s">
        <v>152</v>
      </c>
      <c r="H36" s="155">
        <v>4</v>
      </c>
      <c r="I36" s="1098" t="s">
        <v>227</v>
      </c>
      <c r="J36" s="1099"/>
      <c r="K36" s="1100" t="s">
        <v>7</v>
      </c>
      <c r="L36" s="1101"/>
      <c r="M36" s="180"/>
      <c r="N36" s="664"/>
      <c r="O36" s="664"/>
      <c r="P36" s="664"/>
      <c r="Q36" s="89" t="s">
        <v>7</v>
      </c>
    </row>
    <row r="37" spans="1:17" ht="35.1" customHeight="1" x14ac:dyDescent="0.3">
      <c r="A37" s="39">
        <f t="shared" si="0"/>
        <v>-1</v>
      </c>
      <c r="B37" s="154" t="s">
        <v>360</v>
      </c>
      <c r="C37" s="1095" t="s">
        <v>361</v>
      </c>
      <c r="D37" s="1096"/>
      <c r="E37" s="1096"/>
      <c r="F37" s="1097"/>
      <c r="G37" s="154" t="s">
        <v>152</v>
      </c>
      <c r="H37" s="155">
        <v>1</v>
      </c>
      <c r="I37" s="1098" t="s">
        <v>227</v>
      </c>
      <c r="J37" s="1099"/>
      <c r="K37" s="1100" t="s">
        <v>7</v>
      </c>
      <c r="L37" s="1101"/>
      <c r="M37" s="180"/>
      <c r="N37" s="664"/>
      <c r="O37" s="664"/>
      <c r="P37" s="664"/>
      <c r="Q37" s="89" t="s">
        <v>7</v>
      </c>
    </row>
    <row r="38" spans="1:17" ht="35.1" customHeight="1" thickBot="1" x14ac:dyDescent="0.35">
      <c r="A38" s="183">
        <f t="shared" si="0"/>
        <v>-1</v>
      </c>
      <c r="B38" s="156" t="s">
        <v>362</v>
      </c>
      <c r="C38" s="1102" t="s">
        <v>363</v>
      </c>
      <c r="D38" s="1103"/>
      <c r="E38" s="1103"/>
      <c r="F38" s="1104"/>
      <c r="G38" s="154" t="s">
        <v>152</v>
      </c>
      <c r="H38" s="157">
        <v>4</v>
      </c>
      <c r="I38" s="1105" t="s">
        <v>227</v>
      </c>
      <c r="J38" s="1106"/>
      <c r="K38" s="1107" t="s">
        <v>7</v>
      </c>
      <c r="L38" s="1108"/>
      <c r="M38" s="184"/>
      <c r="N38" s="666"/>
      <c r="O38" s="666"/>
      <c r="P38" s="666"/>
      <c r="Q38" s="185" t="s">
        <v>7</v>
      </c>
    </row>
    <row r="39" spans="1:17" ht="15" customHeight="1" x14ac:dyDescent="0.3">
      <c r="A39" s="1089"/>
      <c r="B39" s="1090"/>
      <c r="C39" s="1090"/>
      <c r="D39" s="1090"/>
      <c r="E39" s="1090"/>
      <c r="F39" s="1090"/>
      <c r="G39" s="1090"/>
      <c r="H39" s="1090"/>
      <c r="I39" s="1090"/>
      <c r="J39" s="1090"/>
      <c r="K39" s="1090"/>
      <c r="L39" s="1090"/>
      <c r="M39" s="1090"/>
      <c r="N39" s="1090"/>
      <c r="O39" s="1090"/>
      <c r="P39" s="1090"/>
      <c r="Q39" s="1091"/>
    </row>
    <row r="40" spans="1:17" ht="15" customHeight="1" thickBot="1" x14ac:dyDescent="0.35">
      <c r="A40" s="1092"/>
      <c r="B40" s="1093"/>
      <c r="C40" s="1093"/>
      <c r="D40" s="1093"/>
      <c r="E40" s="1093"/>
      <c r="F40" s="1093"/>
      <c r="G40" s="1093"/>
      <c r="H40" s="1093"/>
      <c r="I40" s="1093"/>
      <c r="J40" s="1093"/>
      <c r="K40" s="1093"/>
      <c r="L40" s="1093"/>
      <c r="M40" s="1093"/>
      <c r="N40" s="1093"/>
      <c r="O40" s="1093"/>
      <c r="P40" s="1093"/>
      <c r="Q40" s="1094"/>
    </row>
    <row r="41" spans="1:17" ht="15" customHeight="1" x14ac:dyDescent="0.3">
      <c r="B41" s="62"/>
      <c r="C41" s="186"/>
      <c r="D41" s="186"/>
      <c r="E41" s="186"/>
      <c r="F41" s="186"/>
      <c r="G41" s="186"/>
      <c r="H41" s="186"/>
      <c r="I41" s="186"/>
      <c r="J41" s="186"/>
    </row>
    <row r="43" spans="1:17" x14ac:dyDescent="0.3">
      <c r="A43" s="713" t="s">
        <v>833</v>
      </c>
      <c r="B43" s="713"/>
      <c r="C43" s="713"/>
      <c r="D43" s="713"/>
      <c r="E43" s="713"/>
      <c r="F43" s="713"/>
      <c r="G43" s="713"/>
      <c r="H43" s="713"/>
      <c r="I43" s="713"/>
      <c r="J43" s="713"/>
      <c r="K43" s="713"/>
      <c r="L43" s="713"/>
      <c r="M43" s="713"/>
      <c r="N43" s="713"/>
      <c r="O43" s="713"/>
      <c r="P43" s="713"/>
      <c r="Q43" s="713"/>
    </row>
    <row r="44" spans="1:17" x14ac:dyDescent="0.3">
      <c r="A44" s="930" t="s">
        <v>846</v>
      </c>
      <c r="B44" s="930" t="s">
        <v>847</v>
      </c>
      <c r="C44" s="930" t="s">
        <v>575</v>
      </c>
      <c r="D44" s="930" t="s">
        <v>848</v>
      </c>
      <c r="E44" s="930" t="s">
        <v>834</v>
      </c>
      <c r="F44" s="930" t="s">
        <v>839</v>
      </c>
      <c r="G44" s="930" t="s">
        <v>840</v>
      </c>
      <c r="H44" s="930" t="s">
        <v>841</v>
      </c>
      <c r="I44" s="930" t="s">
        <v>837</v>
      </c>
      <c r="J44" s="930"/>
      <c r="K44" s="930"/>
      <c r="L44" s="930"/>
      <c r="M44" s="930" t="s">
        <v>838</v>
      </c>
      <c r="N44" s="38"/>
      <c r="O44" s="38"/>
      <c r="P44" s="38"/>
      <c r="Q44" s="930" t="s">
        <v>88</v>
      </c>
    </row>
    <row r="45" spans="1:17" x14ac:dyDescent="0.3">
      <c r="A45" s="930"/>
      <c r="B45" s="930"/>
      <c r="C45" s="930"/>
      <c r="D45" s="930"/>
      <c r="E45" s="930"/>
      <c r="F45" s="930"/>
      <c r="G45" s="930"/>
      <c r="H45" s="930"/>
      <c r="I45" s="38" t="s">
        <v>843</v>
      </c>
      <c r="J45" s="38" t="s">
        <v>842</v>
      </c>
      <c r="K45" s="38" t="s">
        <v>844</v>
      </c>
      <c r="L45" s="38" t="s">
        <v>845</v>
      </c>
      <c r="M45" s="930"/>
      <c r="N45" s="38"/>
      <c r="O45" s="38"/>
      <c r="P45" s="38"/>
      <c r="Q45" s="930"/>
    </row>
    <row r="46" spans="1:17" x14ac:dyDescent="0.3">
      <c r="A46" s="38"/>
      <c r="B46" s="38"/>
      <c r="C46" s="38" t="s">
        <v>849</v>
      </c>
      <c r="D46" s="38" t="s">
        <v>836</v>
      </c>
      <c r="E46" s="284">
        <v>20</v>
      </c>
      <c r="F46" s="38">
        <v>3</v>
      </c>
      <c r="G46" s="38">
        <v>20</v>
      </c>
      <c r="H46" s="284">
        <v>0.3</v>
      </c>
      <c r="I46" s="284">
        <f>(E46*F46)+(G46*H46)</f>
        <v>66</v>
      </c>
      <c r="J46" s="284"/>
      <c r="K46" s="284">
        <f>I46</f>
        <v>66</v>
      </c>
      <c r="L46" s="284"/>
      <c r="M46" s="284"/>
      <c r="N46" s="284"/>
      <c r="O46" s="284"/>
      <c r="P46" s="284"/>
      <c r="Q46" s="38"/>
    </row>
    <row r="47" spans="1:17" x14ac:dyDescent="0.3">
      <c r="C47" s="1088"/>
      <c r="D47" s="1088"/>
    </row>
    <row r="48" spans="1:17" x14ac:dyDescent="0.3">
      <c r="C48" s="1088"/>
      <c r="D48" s="1088"/>
    </row>
    <row r="49" spans="3:4" x14ac:dyDescent="0.3">
      <c r="C49" s="1088"/>
      <c r="D49" s="1088"/>
    </row>
    <row r="50" spans="3:4" x14ac:dyDescent="0.3">
      <c r="C50" s="1088"/>
      <c r="D50" s="1088"/>
    </row>
    <row r="51" spans="3:4" x14ac:dyDescent="0.3">
      <c r="C51" s="1088"/>
      <c r="D51" s="1088"/>
    </row>
    <row r="52" spans="3:4" x14ac:dyDescent="0.3">
      <c r="C52" s="1088"/>
      <c r="D52" s="1088"/>
    </row>
    <row r="53" spans="3:4" x14ac:dyDescent="0.3">
      <c r="C53" s="1088"/>
      <c r="D53" s="1088"/>
    </row>
  </sheetData>
  <mergeCells count="113">
    <mergeCell ref="F44:F45"/>
    <mergeCell ref="G44:G45"/>
    <mergeCell ref="H44:H45"/>
    <mergeCell ref="C44:C45"/>
    <mergeCell ref="D44:D45"/>
    <mergeCell ref="C53:D53"/>
    <mergeCell ref="I44:L44"/>
    <mergeCell ref="E44:E45"/>
    <mergeCell ref="C48:D48"/>
    <mergeCell ref="C49:D49"/>
    <mergeCell ref="C50:D50"/>
    <mergeCell ref="C51:D51"/>
    <mergeCell ref="C52:D52"/>
    <mergeCell ref="A43:Q43"/>
    <mergeCell ref="C47:D47"/>
    <mergeCell ref="B44:B45"/>
    <mergeCell ref="A44:A45"/>
    <mergeCell ref="M44:M45"/>
    <mergeCell ref="Q44:Q45"/>
    <mergeCell ref="A8:Q8"/>
    <mergeCell ref="A1:C7"/>
    <mergeCell ref="D1:Q1"/>
    <mergeCell ref="F2:Q2"/>
    <mergeCell ref="F3:Q6"/>
    <mergeCell ref="F7:Q7"/>
    <mergeCell ref="A9:Q9"/>
    <mergeCell ref="A10:B10"/>
    <mergeCell ref="C10:F10"/>
    <mergeCell ref="G10:H10"/>
    <mergeCell ref="I10:J10"/>
    <mergeCell ref="K10:L10"/>
    <mergeCell ref="Q10:Q12"/>
    <mergeCell ref="A11:B11"/>
    <mergeCell ref="C11:F11"/>
    <mergeCell ref="G11:H11"/>
    <mergeCell ref="I11:J11"/>
    <mergeCell ref="K11:L11"/>
    <mergeCell ref="A12:B12"/>
    <mergeCell ref="C12:F12"/>
    <mergeCell ref="G12:H12"/>
    <mergeCell ref="I12:J12"/>
    <mergeCell ref="K12:L12"/>
    <mergeCell ref="A13:Q13"/>
    <mergeCell ref="C14:F14"/>
    <mergeCell ref="I14:J14"/>
    <mergeCell ref="K14:L14"/>
    <mergeCell ref="C15:M15"/>
    <mergeCell ref="C16:F16"/>
    <mergeCell ref="G16:M16"/>
    <mergeCell ref="C17:F17"/>
    <mergeCell ref="I17:J17"/>
    <mergeCell ref="K17:L17"/>
    <mergeCell ref="C18:F18"/>
    <mergeCell ref="I18:J18"/>
    <mergeCell ref="K18:L18"/>
    <mergeCell ref="C19:F19"/>
    <mergeCell ref="I19:J19"/>
    <mergeCell ref="K19:L19"/>
    <mergeCell ref="C20:F20"/>
    <mergeCell ref="I20:J20"/>
    <mergeCell ref="K20:L20"/>
    <mergeCell ref="C21:F21"/>
    <mergeCell ref="I21:J21"/>
    <mergeCell ref="K21:L21"/>
    <mergeCell ref="C22:F22"/>
    <mergeCell ref="I22:J22"/>
    <mergeCell ref="K22:L22"/>
    <mergeCell ref="C23:F23"/>
    <mergeCell ref="I23:J23"/>
    <mergeCell ref="K23:L23"/>
    <mergeCell ref="C24:M24"/>
    <mergeCell ref="C25:F25"/>
    <mergeCell ref="I25:J25"/>
    <mergeCell ref="K25:L25"/>
    <mergeCell ref="C26:F26"/>
    <mergeCell ref="I26:J26"/>
    <mergeCell ref="K26:L26"/>
    <mergeCell ref="C27:F27"/>
    <mergeCell ref="I27:J27"/>
    <mergeCell ref="K27:L27"/>
    <mergeCell ref="C28:F28"/>
    <mergeCell ref="I28:J28"/>
    <mergeCell ref="K28:L28"/>
    <mergeCell ref="C29:F29"/>
    <mergeCell ref="I29:J29"/>
    <mergeCell ref="K29:L29"/>
    <mergeCell ref="C30:F30"/>
    <mergeCell ref="I30:J30"/>
    <mergeCell ref="K30:L30"/>
    <mergeCell ref="C31:F31"/>
    <mergeCell ref="I31:J31"/>
    <mergeCell ref="K31:L31"/>
    <mergeCell ref="A39:Q39"/>
    <mergeCell ref="A40:Q40"/>
    <mergeCell ref="C37:F37"/>
    <mergeCell ref="I37:J37"/>
    <mergeCell ref="K37:L37"/>
    <mergeCell ref="C38:F38"/>
    <mergeCell ref="I38:J38"/>
    <mergeCell ref="K38:L38"/>
    <mergeCell ref="C32:F32"/>
    <mergeCell ref="I32:J32"/>
    <mergeCell ref="K32:L32"/>
    <mergeCell ref="C34:M34"/>
    <mergeCell ref="C35:F35"/>
    <mergeCell ref="I35:J35"/>
    <mergeCell ref="K35:L35"/>
    <mergeCell ref="C36:F36"/>
    <mergeCell ref="I36:J36"/>
    <mergeCell ref="K36:L36"/>
    <mergeCell ref="C33:F33"/>
    <mergeCell ref="I33:J33"/>
    <mergeCell ref="K33:L33"/>
  </mergeCells>
  <conditionalFormatting sqref="Q17:Q23 Q25:Q32 Q34:Q38">
    <cfRule type="containsText" dxfId="20" priority="22" operator="containsText" text="ERRO">
      <formula>NOT(ISERROR(SEARCH("ERRO",Q17)))</formula>
    </cfRule>
    <cfRule type="containsText" dxfId="19" priority="23" operator="containsText" text="EM PROCESSO">
      <formula>NOT(ISERROR(SEARCH("EM PROCESSO",Q17)))</formula>
    </cfRule>
    <cfRule type="containsText" dxfId="18" priority="24" operator="containsText" text="OK">
      <formula>NOT(ISERROR(SEARCH("OK",Q17)))</formula>
    </cfRule>
  </conditionalFormatting>
  <conditionalFormatting sqref="Q15">
    <cfRule type="containsText" dxfId="17" priority="19" operator="containsText" text="ERRO">
      <formula>NOT(ISERROR(SEARCH("ERRO",Q15)))</formula>
    </cfRule>
    <cfRule type="containsText" dxfId="16" priority="20" operator="containsText" text="EM PROCESSO">
      <formula>NOT(ISERROR(SEARCH("EM PROCESSO",Q15)))</formula>
    </cfRule>
    <cfRule type="containsText" dxfId="15" priority="21" operator="containsText" text="OK">
      <formula>NOT(ISERROR(SEARCH("OK",Q15)))</formula>
    </cfRule>
  </conditionalFormatting>
  <conditionalFormatting sqref="A15">
    <cfRule type="iconSet" priority="16">
      <iconSet iconSet="3Symbols" showValue="0">
        <cfvo type="percent" val="0"/>
        <cfvo type="formula" val="1.1" gte="0"/>
        <cfvo type="formula" val="1.2" gte="0"/>
      </iconSet>
    </cfRule>
    <cfRule type="iconSet" priority="17">
      <iconSet iconSet="3Symbols">
        <cfvo type="percent" val="0"/>
        <cfvo type="percent" val="33"/>
        <cfvo type="formula" val="&quot;OK&quot;" gte="0"/>
      </iconSet>
    </cfRule>
    <cfRule type="iconSet" priority="18">
      <iconSet iconSet="3Symbols">
        <cfvo type="percent" val="0"/>
        <cfvo type="percent" val="33"/>
        <cfvo type="percent" val="67"/>
      </iconSet>
    </cfRule>
  </conditionalFormatting>
  <conditionalFormatting sqref="A16">
    <cfRule type="iconSet" priority="13">
      <iconSet iconSet="3Symbols" showValue="0">
        <cfvo type="percent" val="0"/>
        <cfvo type="formula" val="1.1" gte="0"/>
        <cfvo type="formula" val="1.2" gte="0"/>
      </iconSet>
    </cfRule>
    <cfRule type="iconSet" priority="14">
      <iconSet iconSet="3Symbols">
        <cfvo type="percent" val="0"/>
        <cfvo type="percent" val="33"/>
        <cfvo type="formula" val="&quot;OK&quot;" gte="0"/>
      </iconSet>
    </cfRule>
    <cfRule type="iconSet" priority="15">
      <iconSet iconSet="3Symbols">
        <cfvo type="percent" val="0"/>
        <cfvo type="percent" val="33"/>
        <cfvo type="percent" val="67"/>
      </iconSet>
    </cfRule>
  </conditionalFormatting>
  <conditionalFormatting sqref="Q16">
    <cfRule type="containsText" dxfId="14" priority="10" operator="containsText" text="ERRO">
      <formula>NOT(ISERROR(SEARCH("ERRO",Q16)))</formula>
    </cfRule>
    <cfRule type="containsText" dxfId="13" priority="11" operator="containsText" text="EM PROCESSO">
      <formula>NOT(ISERROR(SEARCH("EM PROCESSO",Q16)))</formula>
    </cfRule>
    <cfRule type="containsText" dxfId="12" priority="12" operator="containsText" text="OK">
      <formula>NOT(ISERROR(SEARCH("OK",Q16)))</formula>
    </cfRule>
  </conditionalFormatting>
  <conditionalFormatting sqref="Q24">
    <cfRule type="containsText" dxfId="11" priority="7" operator="containsText" text="ERRO">
      <formula>NOT(ISERROR(SEARCH("ERRO",Q24)))</formula>
    </cfRule>
    <cfRule type="containsText" dxfId="10" priority="8" operator="containsText" text="EM PROCESSO">
      <formula>NOT(ISERROR(SEARCH("EM PROCESSO",Q24)))</formula>
    </cfRule>
    <cfRule type="containsText" dxfId="9" priority="9" operator="containsText" text="OK">
      <formula>NOT(ISERROR(SEARCH("OK",Q24)))</formula>
    </cfRule>
  </conditionalFormatting>
  <conditionalFormatting sqref="A17:A32 A34:A38">
    <cfRule type="iconSet" priority="25">
      <iconSet iconSet="3Symbols" showValue="0">
        <cfvo type="percent" val="0"/>
        <cfvo type="formula" val="1.1" gte="0"/>
        <cfvo type="formula" val="1.2" gte="0"/>
      </iconSet>
    </cfRule>
    <cfRule type="iconSet" priority="26">
      <iconSet iconSet="3Symbols">
        <cfvo type="percent" val="0"/>
        <cfvo type="percent" val="33"/>
        <cfvo type="formula" val="&quot;OK&quot;" gte="0"/>
      </iconSet>
    </cfRule>
    <cfRule type="iconSet" priority="27">
      <iconSet iconSet="3Symbols">
        <cfvo type="percent" val="0"/>
        <cfvo type="percent" val="33"/>
        <cfvo type="percent" val="67"/>
      </iconSet>
    </cfRule>
  </conditionalFormatting>
  <conditionalFormatting sqref="Q33">
    <cfRule type="containsText" dxfId="8" priority="1" operator="containsText" text="ERRO">
      <formula>NOT(ISERROR(SEARCH("ERRO",Q33)))</formula>
    </cfRule>
    <cfRule type="containsText" dxfId="7" priority="2" operator="containsText" text="EM PROCESSO">
      <formula>NOT(ISERROR(SEARCH("EM PROCESSO",Q33)))</formula>
    </cfRule>
    <cfRule type="containsText" dxfId="6" priority="3" operator="containsText" text="OK">
      <formula>NOT(ISERROR(SEARCH("OK",Q33)))</formula>
    </cfRule>
  </conditionalFormatting>
  <conditionalFormatting sqref="A33">
    <cfRule type="iconSet" priority="4">
      <iconSet iconSet="3Symbols" showValue="0">
        <cfvo type="percent" val="0"/>
        <cfvo type="formula" val="1.1" gte="0"/>
        <cfvo type="formula" val="1.2" gte="0"/>
      </iconSet>
    </cfRule>
    <cfRule type="iconSet" priority="5">
      <iconSet iconSet="3Symbols">
        <cfvo type="percent" val="0"/>
        <cfvo type="percent" val="33"/>
        <cfvo type="formula" val="&quot;OK&quot;" gte="0"/>
      </iconSet>
    </cfRule>
    <cfRule type="iconSet" priority="6">
      <iconSet iconSet="3Symbols">
        <cfvo type="percent" val="0"/>
        <cfvo type="percent" val="33"/>
        <cfvo type="percent" val="67"/>
      </iconSet>
    </cfRule>
  </conditionalFormatting>
  <dataValidations count="2">
    <dataValidation type="list" allowBlank="1" showInputMessage="1" showErrorMessage="1" sqref="Q15:Q38" xr:uid="{005E8CC2-4FE7-4DF4-936E-239250763990}">
      <formula1>"OK, EM PROCESSO, ERRO, -,"</formula1>
    </dataValidation>
    <dataValidation type="list" allowBlank="1" showInputMessage="1" showErrorMessage="1" sqref="C46" xr:uid="{CE971310-0BA1-40CB-8DB6-9A1F992063AB}">
      <formula1>"0,80mm, 1,59mm,"</formula1>
    </dataValidation>
  </dataValidations>
  <hyperlinks>
    <hyperlink ref="M19" r:id="rId1" xr:uid="{7CAAE979-5F8F-4767-AB1A-58E2BEA88222}"/>
    <hyperlink ref="M18" r:id="rId2" xr:uid="{4AB2D9E6-1133-46AD-9A0A-576EF9201466}"/>
    <hyperlink ref="M20" r:id="rId3" xr:uid="{481E8665-9E7B-47D0-8A67-D57543697886}"/>
    <hyperlink ref="M21" r:id="rId4" xr:uid="{4DE3397D-261D-4883-9324-B2D11682DEBC}"/>
    <hyperlink ref="M22" r:id="rId5" xr:uid="{DD2DD84E-1ED1-453B-A61F-D1B4D2B7CE56}"/>
    <hyperlink ref="M17" r:id="rId6" xr:uid="{5BE544BA-005E-4725-AD50-5F6D4B51A730}"/>
    <hyperlink ref="M25" r:id="rId7" xr:uid="{C8401786-9D48-49A8-9CAA-66EDFE3B8B72}"/>
    <hyperlink ref="M26" r:id="rId8" xr:uid="{2780D1B0-87D0-4240-B41C-415F6C30B633}"/>
    <hyperlink ref="M27" r:id="rId9" xr:uid="{B2FE3EF3-CC4B-424E-A882-41ABCE012FBB}"/>
    <hyperlink ref="M28" r:id="rId10" xr:uid="{0D99D2E1-E49D-455A-9BC3-A8E5D0860D7A}"/>
    <hyperlink ref="M29" r:id="rId11" xr:uid="{FDC67442-937E-4B9A-B459-E50839ED1A0C}"/>
    <hyperlink ref="M33" r:id="rId12" xr:uid="{3F6F1116-88E6-417D-880B-974608778461}"/>
  </hyperlinks>
  <pageMargins left="0.511811024" right="0.511811024" top="0.78740157499999996" bottom="0.78740157499999996" header="0.31496062000000002" footer="0.31496062000000002"/>
  <pageSetup paperSize="9" scale="46" orientation="portrait" r:id="rId13"/>
  <drawing r:id="rId1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0EF886-90A6-4F60-8D43-379C353A616C}">
  <sheetPr codeName="Planilha25">
    <tabColor theme="0" tint="-0.499984740745262"/>
  </sheetPr>
  <dimension ref="A1:O33"/>
  <sheetViews>
    <sheetView workbookViewId="0">
      <selection activeCell="O13" sqref="O13"/>
    </sheetView>
  </sheetViews>
  <sheetFormatPr defaultRowHeight="14.4" x14ac:dyDescent="0.3"/>
  <cols>
    <col min="1" max="1" width="17.44140625" style="49" customWidth="1"/>
    <col min="2" max="2" width="9.44140625" style="49" bestFit="1" customWidth="1"/>
    <col min="3" max="3" width="8.109375" style="49" bestFit="1" customWidth="1"/>
    <col min="4" max="4" width="14.44140625" style="49" bestFit="1" customWidth="1"/>
    <col min="5" max="5" width="7.88671875" style="49" bestFit="1" customWidth="1"/>
    <col min="6" max="6" width="15.5546875" style="49" bestFit="1" customWidth="1"/>
    <col min="7" max="7" width="16.6640625" style="49" bestFit="1" customWidth="1"/>
    <col min="8" max="8" width="11" style="49" bestFit="1" customWidth="1"/>
    <col min="9" max="9" width="20" style="49" bestFit="1" customWidth="1"/>
    <col min="10" max="10" width="8.5546875" style="591" bestFit="1" customWidth="1"/>
    <col min="11" max="11" width="14.44140625" style="49" bestFit="1" customWidth="1"/>
    <col min="12" max="12" width="14.88671875" style="585" bestFit="1" customWidth="1"/>
  </cols>
  <sheetData>
    <row r="1" spans="1:15" x14ac:dyDescent="0.3">
      <c r="A1" s="176" t="s">
        <v>1153</v>
      </c>
      <c r="B1" s="176" t="s">
        <v>4</v>
      </c>
      <c r="C1" s="176" t="s">
        <v>92</v>
      </c>
      <c r="D1" s="176" t="s">
        <v>1154</v>
      </c>
      <c r="E1" s="176" t="s">
        <v>1073</v>
      </c>
      <c r="F1" s="176" t="s">
        <v>1099</v>
      </c>
      <c r="G1" s="176" t="s">
        <v>1100</v>
      </c>
      <c r="H1" s="176" t="s">
        <v>1155</v>
      </c>
      <c r="I1" s="190" t="s">
        <v>1156</v>
      </c>
      <c r="J1" s="590" t="s">
        <v>1157</v>
      </c>
      <c r="K1" s="190" t="s">
        <v>1169</v>
      </c>
      <c r="L1" s="589" t="s">
        <v>1271</v>
      </c>
      <c r="M1" s="59"/>
      <c r="N1" s="59"/>
      <c r="O1" s="59"/>
    </row>
    <row r="2" spans="1:15" x14ac:dyDescent="0.3">
      <c r="A2" s="674"/>
      <c r="B2" s="601"/>
      <c r="C2" s="602"/>
      <c r="D2" s="603"/>
      <c r="E2" s="609"/>
      <c r="F2" s="515"/>
      <c r="G2" s="515"/>
      <c r="H2" s="515"/>
      <c r="I2" s="604"/>
      <c r="J2" s="605"/>
      <c r="K2" s="515"/>
      <c r="L2" s="651"/>
      <c r="M2" s="62"/>
      <c r="N2" s="62"/>
      <c r="O2" s="62"/>
    </row>
    <row r="3" spans="1:15" x14ac:dyDescent="0.3">
      <c r="A3" s="674"/>
      <c r="B3" s="601"/>
      <c r="C3" s="602"/>
      <c r="D3" s="603"/>
      <c r="E3" s="609"/>
      <c r="F3" s="515"/>
      <c r="G3" s="515"/>
      <c r="H3" s="515"/>
      <c r="I3" s="604"/>
      <c r="J3" s="605"/>
      <c r="K3" s="515"/>
      <c r="L3" s="651"/>
    </row>
    <row r="4" spans="1:15" x14ac:dyDescent="0.3">
      <c r="A4" s="600"/>
      <c r="B4" s="601"/>
      <c r="C4" s="602"/>
      <c r="D4" s="603"/>
      <c r="E4" s="609"/>
      <c r="F4" s="515"/>
      <c r="G4" s="515"/>
      <c r="H4" s="515"/>
      <c r="I4" s="604"/>
      <c r="J4" s="605"/>
      <c r="K4" s="515"/>
      <c r="L4" s="651"/>
    </row>
    <row r="5" spans="1:15" x14ac:dyDescent="0.3">
      <c r="A5" s="600"/>
      <c r="B5" s="601"/>
      <c r="C5" s="602"/>
      <c r="D5" s="603"/>
      <c r="E5" s="609"/>
      <c r="F5" s="515"/>
      <c r="G5" s="515"/>
      <c r="H5" s="515"/>
      <c r="I5" s="604"/>
      <c r="J5" s="605"/>
      <c r="K5" s="515"/>
      <c r="L5" s="651"/>
    </row>
    <row r="6" spans="1:15" x14ac:dyDescent="0.3">
      <c r="A6" s="600"/>
      <c r="B6" s="601"/>
      <c r="C6" s="602"/>
      <c r="D6" s="603"/>
      <c r="E6" s="609"/>
      <c r="F6" s="515"/>
      <c r="G6" s="515"/>
      <c r="H6" s="515"/>
      <c r="I6" s="604"/>
      <c r="J6" s="605"/>
      <c r="K6" s="515"/>
      <c r="L6" s="651"/>
    </row>
    <row r="7" spans="1:15" x14ac:dyDescent="0.3">
      <c r="A7" s="600"/>
      <c r="B7" s="601"/>
      <c r="C7" s="602"/>
      <c r="D7" s="603"/>
      <c r="E7" s="609"/>
      <c r="F7" s="515"/>
      <c r="G7" s="515"/>
      <c r="H7" s="515"/>
      <c r="I7" s="604"/>
      <c r="J7" s="605"/>
      <c r="K7" s="515"/>
      <c r="L7" s="651"/>
    </row>
    <row r="8" spans="1:15" x14ac:dyDescent="0.3">
      <c r="A8" s="600"/>
      <c r="B8" s="601"/>
      <c r="C8" s="602"/>
      <c r="D8" s="603"/>
      <c r="E8" s="609"/>
      <c r="F8" s="515"/>
      <c r="G8" s="515"/>
      <c r="H8" s="515"/>
      <c r="I8" s="604"/>
      <c r="J8" s="605"/>
      <c r="K8" s="515"/>
      <c r="L8" s="651"/>
    </row>
    <row r="9" spans="1:15" x14ac:dyDescent="0.3">
      <c r="A9" s="600"/>
      <c r="B9" s="601"/>
      <c r="C9" s="602"/>
      <c r="D9" s="603"/>
      <c r="E9" s="609"/>
      <c r="F9" s="515"/>
      <c r="G9" s="515"/>
      <c r="H9" s="515"/>
      <c r="I9" s="604"/>
      <c r="J9" s="605"/>
      <c r="K9" s="515"/>
      <c r="L9" s="651"/>
    </row>
    <row r="10" spans="1:15" x14ac:dyDescent="0.3">
      <c r="A10" s="600"/>
      <c r="B10" s="601"/>
      <c r="C10" s="602"/>
      <c r="D10" s="603"/>
      <c r="E10" s="609"/>
      <c r="F10" s="515"/>
      <c r="G10" s="515"/>
      <c r="H10" s="515"/>
      <c r="I10" s="604"/>
      <c r="J10" s="605"/>
      <c r="K10" s="515"/>
      <c r="L10" s="651"/>
    </row>
    <row r="11" spans="1:15" x14ac:dyDescent="0.3">
      <c r="A11" s="600"/>
      <c r="B11" s="601"/>
      <c r="C11" s="602"/>
      <c r="D11" s="603"/>
      <c r="E11" s="609"/>
      <c r="F11" s="515"/>
      <c r="G11" s="515"/>
      <c r="H11" s="515"/>
      <c r="I11" s="604"/>
      <c r="J11" s="605"/>
      <c r="K11" s="515"/>
      <c r="L11" s="651"/>
    </row>
    <row r="12" spans="1:15" x14ac:dyDescent="0.3">
      <c r="A12" s="600"/>
      <c r="B12" s="601"/>
      <c r="C12" s="602"/>
      <c r="D12" s="603"/>
      <c r="E12" s="609"/>
      <c r="F12" s="515"/>
      <c r="G12" s="515"/>
      <c r="H12" s="515"/>
      <c r="I12" s="604"/>
      <c r="J12" s="605"/>
      <c r="K12" s="515"/>
      <c r="L12" s="651"/>
    </row>
    <row r="13" spans="1:15" x14ac:dyDescent="0.3">
      <c r="A13" s="600"/>
      <c r="B13" s="601"/>
      <c r="C13" s="602"/>
      <c r="D13" s="603"/>
      <c r="E13" s="609"/>
      <c r="F13" s="515"/>
      <c r="G13" s="515"/>
      <c r="H13" s="515"/>
      <c r="I13" s="604"/>
      <c r="J13" s="605"/>
      <c r="K13" s="515"/>
      <c r="L13" s="651"/>
    </row>
    <row r="14" spans="1:15" x14ac:dyDescent="0.3">
      <c r="A14" s="600"/>
      <c r="B14" s="601"/>
      <c r="C14" s="602"/>
      <c r="D14" s="603"/>
      <c r="E14" s="609"/>
      <c r="F14" s="515"/>
      <c r="G14" s="515"/>
      <c r="H14" s="515"/>
      <c r="I14" s="604"/>
      <c r="J14" s="605"/>
      <c r="K14" s="515"/>
      <c r="L14" s="651"/>
    </row>
    <row r="15" spans="1:15" x14ac:dyDescent="0.3">
      <c r="A15" s="600"/>
      <c r="B15" s="601"/>
      <c r="C15" s="602"/>
      <c r="D15" s="603"/>
      <c r="E15" s="609"/>
      <c r="F15" s="515"/>
      <c r="G15" s="515"/>
      <c r="H15" s="515"/>
      <c r="I15" s="604"/>
      <c r="J15" s="605"/>
      <c r="K15" s="515"/>
      <c r="L15" s="651"/>
    </row>
    <row r="16" spans="1:15" x14ac:dyDescent="0.3">
      <c r="A16" s="600"/>
      <c r="B16" s="601"/>
      <c r="C16" s="602"/>
      <c r="D16" s="603"/>
      <c r="E16" s="609"/>
      <c r="F16" s="515"/>
      <c r="G16" s="515"/>
      <c r="H16" s="515"/>
      <c r="I16" s="604"/>
      <c r="J16" s="605"/>
      <c r="K16" s="515"/>
      <c r="L16" s="651"/>
    </row>
    <row r="17" spans="1:12" x14ac:dyDescent="0.3">
      <c r="A17" s="600"/>
      <c r="B17" s="601"/>
      <c r="C17" s="602"/>
      <c r="D17" s="603"/>
      <c r="E17" s="609"/>
      <c r="F17" s="515"/>
      <c r="G17" s="515"/>
      <c r="H17" s="515"/>
      <c r="I17" s="604"/>
      <c r="J17" s="605"/>
      <c r="K17" s="515"/>
      <c r="L17" s="651"/>
    </row>
    <row r="18" spans="1:12" x14ac:dyDescent="0.3">
      <c r="A18" s="600"/>
      <c r="B18" s="601"/>
      <c r="C18" s="602"/>
      <c r="D18" s="603"/>
      <c r="E18" s="609"/>
      <c r="F18" s="515"/>
      <c r="G18" s="515"/>
      <c r="H18" s="515"/>
      <c r="I18" s="604"/>
      <c r="J18" s="605"/>
      <c r="K18" s="515"/>
      <c r="L18" s="651"/>
    </row>
    <row r="19" spans="1:12" x14ac:dyDescent="0.3">
      <c r="A19" s="600"/>
      <c r="B19" s="601"/>
      <c r="C19" s="602"/>
      <c r="D19" s="603"/>
      <c r="E19" s="609"/>
      <c r="F19" s="515"/>
      <c r="G19" s="515"/>
      <c r="H19" s="515"/>
      <c r="I19" s="604"/>
      <c r="J19" s="605"/>
      <c r="K19" s="515"/>
      <c r="L19" s="651"/>
    </row>
    <row r="20" spans="1:12" x14ac:dyDescent="0.3">
      <c r="A20" s="600"/>
      <c r="B20" s="601"/>
      <c r="C20" s="602"/>
      <c r="D20" s="603"/>
      <c r="E20" s="609"/>
      <c r="F20" s="515"/>
      <c r="G20" s="515"/>
      <c r="H20" s="515"/>
      <c r="I20" s="604"/>
      <c r="J20" s="605"/>
      <c r="K20" s="515"/>
      <c r="L20" s="651"/>
    </row>
    <row r="21" spans="1:12" x14ac:dyDescent="0.3">
      <c r="A21" s="600"/>
      <c r="B21" s="601"/>
      <c r="C21" s="602"/>
      <c r="D21" s="603"/>
      <c r="E21" s="609"/>
      <c r="F21" s="515"/>
      <c r="G21" s="515"/>
      <c r="H21" s="515"/>
      <c r="I21" s="604"/>
      <c r="J21" s="605"/>
      <c r="K21" s="515"/>
      <c r="L21" s="651"/>
    </row>
    <row r="22" spans="1:12" x14ac:dyDescent="0.3">
      <c r="A22" s="600"/>
      <c r="B22" s="601"/>
      <c r="C22" s="602"/>
      <c r="D22" s="603"/>
      <c r="E22" s="609"/>
      <c r="F22" s="515"/>
      <c r="G22" s="515"/>
      <c r="H22" s="515"/>
      <c r="I22" s="604"/>
      <c r="J22" s="605"/>
      <c r="K22" s="515"/>
      <c r="L22" s="651"/>
    </row>
    <row r="23" spans="1:12" x14ac:dyDescent="0.3">
      <c r="A23" s="600"/>
      <c r="B23" s="601"/>
      <c r="C23" s="602"/>
      <c r="D23" s="603"/>
      <c r="E23" s="609"/>
      <c r="F23" s="515"/>
      <c r="G23" s="515"/>
      <c r="H23" s="515"/>
      <c r="I23" s="604"/>
      <c r="J23" s="605"/>
      <c r="K23" s="515"/>
      <c r="L23" s="651"/>
    </row>
    <row r="24" spans="1:12" x14ac:dyDescent="0.3">
      <c r="A24" s="600"/>
      <c r="B24" s="601"/>
      <c r="C24" s="602"/>
      <c r="D24" s="603"/>
      <c r="E24" s="609"/>
      <c r="F24" s="515"/>
      <c r="G24" s="515"/>
      <c r="H24" s="515"/>
      <c r="I24" s="604"/>
      <c r="J24" s="605"/>
      <c r="K24" s="515"/>
      <c r="L24" s="651"/>
    </row>
    <row r="25" spans="1:12" x14ac:dyDescent="0.3">
      <c r="A25" s="600"/>
      <c r="B25" s="601"/>
      <c r="C25" s="602"/>
      <c r="D25" s="603"/>
      <c r="E25" s="609"/>
      <c r="F25" s="515"/>
      <c r="G25" s="515"/>
      <c r="H25" s="515"/>
      <c r="I25" s="604"/>
      <c r="J25" s="605"/>
      <c r="K25" s="515"/>
      <c r="L25" s="651"/>
    </row>
    <row r="26" spans="1:12" x14ac:dyDescent="0.3">
      <c r="A26" s="600"/>
      <c r="B26" s="601"/>
      <c r="C26" s="602"/>
      <c r="D26" s="603"/>
      <c r="E26" s="609"/>
      <c r="F26" s="515"/>
      <c r="G26" s="515"/>
      <c r="H26" s="515"/>
      <c r="I26" s="604"/>
      <c r="J26" s="605"/>
      <c r="K26" s="515"/>
      <c r="L26" s="651"/>
    </row>
    <row r="27" spans="1:12" x14ac:dyDescent="0.3">
      <c r="A27" s="600"/>
      <c r="B27" s="601"/>
      <c r="C27" s="602"/>
      <c r="D27" s="603"/>
      <c r="E27" s="609"/>
      <c r="F27" s="515"/>
      <c r="G27" s="515"/>
      <c r="H27" s="515"/>
      <c r="I27" s="604"/>
      <c r="J27" s="605"/>
      <c r="K27" s="515"/>
      <c r="L27" s="651"/>
    </row>
    <row r="28" spans="1:12" x14ac:dyDescent="0.3">
      <c r="A28" s="600"/>
      <c r="B28" s="601"/>
      <c r="C28" s="602"/>
      <c r="D28" s="603"/>
      <c r="E28" s="609"/>
      <c r="F28" s="515"/>
      <c r="G28" s="515"/>
      <c r="H28" s="515"/>
      <c r="I28" s="604"/>
      <c r="J28" s="605"/>
      <c r="K28" s="515"/>
      <c r="L28" s="651"/>
    </row>
    <row r="29" spans="1:12" x14ac:dyDescent="0.3">
      <c r="A29" s="600"/>
      <c r="B29" s="601"/>
      <c r="C29" s="602"/>
      <c r="D29" s="603"/>
      <c r="E29" s="609"/>
      <c r="F29" s="515"/>
      <c r="G29" s="515"/>
      <c r="H29" s="515"/>
      <c r="I29" s="604"/>
      <c r="J29" s="605"/>
      <c r="K29" s="515"/>
      <c r="L29" s="651"/>
    </row>
    <row r="30" spans="1:12" x14ac:dyDescent="0.3">
      <c r="A30" s="600"/>
      <c r="B30" s="601"/>
      <c r="C30" s="602"/>
      <c r="D30" s="603"/>
      <c r="E30" s="609"/>
      <c r="F30" s="515"/>
      <c r="G30" s="515"/>
      <c r="H30" s="515"/>
      <c r="I30" s="604"/>
      <c r="J30" s="605"/>
      <c r="K30" s="515"/>
      <c r="L30" s="651"/>
    </row>
    <row r="31" spans="1:12" x14ac:dyDescent="0.3">
      <c r="A31" s="600"/>
      <c r="B31" s="601"/>
      <c r="C31" s="602"/>
      <c r="D31" s="603"/>
      <c r="E31" s="609"/>
      <c r="F31" s="515"/>
      <c r="G31" s="515"/>
      <c r="H31" s="515"/>
      <c r="I31" s="604"/>
      <c r="J31" s="605"/>
      <c r="K31" s="515"/>
      <c r="L31" s="651"/>
    </row>
    <row r="32" spans="1:12" x14ac:dyDescent="0.3">
      <c r="A32" s="600"/>
      <c r="B32" s="601"/>
      <c r="C32" s="602"/>
      <c r="D32" s="603"/>
      <c r="E32" s="609"/>
      <c r="F32" s="515"/>
      <c r="G32" s="515"/>
      <c r="H32" s="515"/>
      <c r="I32" s="604"/>
      <c r="J32" s="605"/>
      <c r="K32" s="515"/>
      <c r="L32" s="651"/>
    </row>
    <row r="33" spans="1:12" x14ac:dyDescent="0.3">
      <c r="A33" s="600"/>
      <c r="B33" s="601"/>
      <c r="C33" s="602"/>
      <c r="D33" s="603"/>
      <c r="E33" s="609"/>
      <c r="F33" s="515"/>
      <c r="G33" s="515"/>
      <c r="H33" s="515"/>
      <c r="I33" s="604"/>
      <c r="J33" s="605"/>
      <c r="K33" s="515"/>
      <c r="L33" s="651"/>
    </row>
  </sheetData>
  <dataValidations count="2">
    <dataValidation type="list" allowBlank="1" showInputMessage="1" showErrorMessage="1" sqref="H2:H33" xr:uid="{45E3B93A-EC61-48BA-BB59-8167014FE11E}">
      <formula1>"Alvenaria, Eletrocentro,"</formula1>
    </dataValidation>
    <dataValidation type="list" allowBlank="1" showInputMessage="1" showErrorMessage="1" sqref="K2:K33" xr:uid="{694E64CE-19CF-4613-B58E-E7751353B1C5}">
      <formula1>"Manual/Detecção,FM200,NOVEC,FirePRO,N/I,"</formula1>
    </dataValidation>
  </dataValidations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A129E-2B5E-4427-B356-793C3A761C6E}">
  <sheetPr codeName="Planilha18">
    <tabColor theme="0" tint="-0.499984740745262"/>
  </sheetPr>
  <dimension ref="A1:AF54"/>
  <sheetViews>
    <sheetView topLeftCell="A9" zoomScaleNormal="100" zoomScaleSheetLayoutView="100" workbookViewId="0">
      <selection activeCell="D33" sqref="D33"/>
    </sheetView>
  </sheetViews>
  <sheetFormatPr defaultRowHeight="14.4" x14ac:dyDescent="0.3"/>
  <cols>
    <col min="1" max="1" width="11.33203125" customWidth="1"/>
    <col min="2" max="2" width="12.33203125" customWidth="1"/>
    <col min="3" max="3" width="12.88671875" customWidth="1"/>
    <col min="4" max="4" width="10.6640625" customWidth="1"/>
    <col min="5" max="5" width="15.109375" customWidth="1"/>
    <col min="6" max="6" width="33" customWidth="1"/>
    <col min="7" max="7" width="11.33203125" customWidth="1"/>
    <col min="8" max="8" width="11.5546875" customWidth="1"/>
    <col min="9" max="9" width="10.6640625" customWidth="1"/>
    <col min="10" max="16" width="10.44140625" customWidth="1"/>
    <col min="17" max="17" width="12.6640625" customWidth="1"/>
    <col min="22" max="24" width="15.5546875" customWidth="1"/>
    <col min="25" max="25" width="8.33203125" customWidth="1"/>
  </cols>
  <sheetData>
    <row r="1" spans="1:31" ht="15" customHeight="1" x14ac:dyDescent="0.3">
      <c r="A1" s="713"/>
      <c r="B1" s="713"/>
      <c r="C1" s="713"/>
      <c r="D1" s="713"/>
      <c r="E1" s="1155" t="s">
        <v>317</v>
      </c>
      <c r="F1" s="1155"/>
      <c r="G1" s="1155"/>
      <c r="H1" s="1155"/>
      <c r="I1" s="1155"/>
      <c r="J1" s="1155"/>
      <c r="K1" s="1155"/>
      <c r="L1" s="1155"/>
      <c r="M1" s="1155"/>
      <c r="N1" s="1155"/>
      <c r="O1" s="1155"/>
      <c r="P1" s="1155"/>
      <c r="Q1" s="1155"/>
    </row>
    <row r="2" spans="1:31" ht="15" customHeight="1" x14ac:dyDescent="0.3">
      <c r="A2" s="713"/>
      <c r="B2" s="713"/>
      <c r="C2" s="713"/>
      <c r="D2" s="713"/>
      <c r="E2" s="47" t="s">
        <v>46</v>
      </c>
      <c r="F2" s="116" t="e">
        <f>#REF!</f>
        <v>#REF!</v>
      </c>
      <c r="G2" s="1041" t="s">
        <v>318</v>
      </c>
      <c r="H2" s="1041"/>
      <c r="I2" s="1041"/>
      <c r="J2" s="1041"/>
      <c r="K2" s="1041"/>
      <c r="L2" s="1041"/>
      <c r="M2" s="1041"/>
      <c r="N2" s="1041"/>
      <c r="O2" s="1041"/>
      <c r="P2" s="1041"/>
      <c r="Q2" s="1041"/>
    </row>
    <row r="3" spans="1:31" ht="15" customHeight="1" x14ac:dyDescent="0.3">
      <c r="A3" s="713"/>
      <c r="B3" s="713"/>
      <c r="C3" s="713"/>
      <c r="D3" s="713"/>
      <c r="E3" s="47" t="s">
        <v>47</v>
      </c>
      <c r="F3" s="116" t="e">
        <f>#REF!</f>
        <v>#REF!</v>
      </c>
      <c r="G3" s="813" t="e">
        <f>#REF!</f>
        <v>#REF!</v>
      </c>
      <c r="H3" s="813"/>
      <c r="I3" s="813"/>
      <c r="J3" s="813"/>
      <c r="K3" s="813"/>
      <c r="L3" s="813"/>
      <c r="M3" s="813"/>
      <c r="N3" s="813"/>
      <c r="O3" s="813"/>
      <c r="P3" s="813"/>
      <c r="Q3" s="813"/>
    </row>
    <row r="4" spans="1:31" ht="15" customHeight="1" x14ac:dyDescent="0.3">
      <c r="A4" s="713"/>
      <c r="B4" s="713"/>
      <c r="C4" s="713"/>
      <c r="D4" s="713"/>
      <c r="E4" s="47" t="s">
        <v>48</v>
      </c>
      <c r="F4" s="116" t="e">
        <f>#REF!</f>
        <v>#REF!</v>
      </c>
      <c r="G4" s="813"/>
      <c r="H4" s="813"/>
      <c r="I4" s="813"/>
      <c r="J4" s="813"/>
      <c r="K4" s="813"/>
      <c r="L4" s="813"/>
      <c r="M4" s="813"/>
      <c r="N4" s="813"/>
      <c r="O4" s="813"/>
      <c r="P4" s="813"/>
      <c r="Q4" s="813"/>
    </row>
    <row r="5" spans="1:31" ht="15" customHeight="1" x14ac:dyDescent="0.3">
      <c r="A5" s="713"/>
      <c r="B5" s="713"/>
      <c r="C5" s="713"/>
      <c r="D5" s="713"/>
      <c r="E5" s="47" t="s">
        <v>110</v>
      </c>
      <c r="F5" s="152">
        <f ca="1">NOW()</f>
        <v>45953.89526203704</v>
      </c>
      <c r="G5" s="813"/>
      <c r="H5" s="813"/>
      <c r="I5" s="813"/>
      <c r="J5" s="813"/>
      <c r="K5" s="813"/>
      <c r="L5" s="813"/>
      <c r="M5" s="813"/>
      <c r="N5" s="813"/>
      <c r="O5" s="813"/>
      <c r="P5" s="813"/>
      <c r="Q5" s="813"/>
    </row>
    <row r="6" spans="1:31" ht="15" customHeight="1" x14ac:dyDescent="0.3">
      <c r="A6" s="713"/>
      <c r="B6" s="713"/>
      <c r="C6" s="713"/>
      <c r="D6" s="713"/>
      <c r="E6" s="81" t="s">
        <v>364</v>
      </c>
      <c r="F6" s="46" t="e">
        <f>#REF!</f>
        <v>#REF!</v>
      </c>
      <c r="G6" s="813"/>
      <c r="H6" s="813"/>
      <c r="I6" s="813"/>
      <c r="J6" s="813"/>
      <c r="K6" s="813"/>
      <c r="L6" s="813"/>
      <c r="M6" s="813"/>
      <c r="N6" s="813"/>
      <c r="O6" s="813"/>
      <c r="P6" s="813"/>
      <c r="Q6" s="813"/>
    </row>
    <row r="7" spans="1:31" ht="15" customHeight="1" x14ac:dyDescent="0.3">
      <c r="A7" s="713"/>
      <c r="B7" s="713"/>
      <c r="C7" s="713"/>
      <c r="D7" s="713"/>
      <c r="E7" s="81" t="s">
        <v>579</v>
      </c>
      <c r="F7" s="46"/>
      <c r="G7" s="1156" t="e">
        <f>#REF!</f>
        <v>#REF!</v>
      </c>
      <c r="H7" s="1156"/>
      <c r="I7" s="1156"/>
      <c r="J7" s="1156"/>
      <c r="K7" s="1156"/>
      <c r="L7" s="1156"/>
      <c r="M7" s="1156"/>
      <c r="N7" s="1156"/>
      <c r="O7" s="1156"/>
      <c r="P7" s="1156"/>
      <c r="Q7" s="1156"/>
    </row>
    <row r="8" spans="1:31" ht="15" customHeight="1" x14ac:dyDescent="0.3">
      <c r="A8" s="1129"/>
      <c r="B8" s="1129"/>
      <c r="C8" s="1129"/>
      <c r="D8" s="1129"/>
      <c r="E8" s="1129"/>
      <c r="F8" s="1129"/>
      <c r="G8" s="1129"/>
      <c r="H8" s="1129"/>
      <c r="I8" s="1129"/>
      <c r="J8" s="1129"/>
      <c r="K8" s="1129"/>
      <c r="L8" s="1129"/>
      <c r="M8" s="1129"/>
      <c r="N8" s="1129"/>
      <c r="O8" s="1129"/>
      <c r="P8" s="1129"/>
      <c r="Q8" s="1129"/>
    </row>
    <row r="9" spans="1:31" ht="15" customHeight="1" x14ac:dyDescent="0.3">
      <c r="A9" s="1047" t="s">
        <v>130</v>
      </c>
      <c r="B9" s="1047"/>
      <c r="C9" s="1047"/>
      <c r="D9" s="1047"/>
      <c r="E9" s="1047"/>
      <c r="F9" s="1047"/>
      <c r="G9" s="1047"/>
      <c r="H9" s="1047"/>
      <c r="I9" s="1047"/>
      <c r="J9" s="1047"/>
      <c r="K9" s="1047"/>
      <c r="L9" s="1047"/>
      <c r="M9" s="1047"/>
      <c r="N9" s="1047"/>
      <c r="O9" s="1047"/>
      <c r="P9" s="1047"/>
      <c r="Q9" s="1047"/>
    </row>
    <row r="10" spans="1:31" ht="15" customHeight="1" x14ac:dyDescent="0.3">
      <c r="A10" s="1145" t="s">
        <v>131</v>
      </c>
      <c r="B10" s="1145"/>
      <c r="C10" s="1146" t="s">
        <v>132</v>
      </c>
      <c r="D10" s="1146"/>
      <c r="E10" s="1146"/>
      <c r="F10" s="1146"/>
      <c r="G10" s="1146"/>
      <c r="H10" s="1047" t="s">
        <v>133</v>
      </c>
      <c r="I10" s="1047"/>
      <c r="J10" s="1054" t="s">
        <v>134</v>
      </c>
      <c r="K10" s="1054"/>
      <c r="L10" s="1054" t="s">
        <v>134</v>
      </c>
      <c r="M10" s="1054"/>
      <c r="N10" s="153" t="s">
        <v>135</v>
      </c>
      <c r="O10" s="153"/>
      <c r="P10" s="153"/>
      <c r="Q10" s="713"/>
      <c r="Z10" s="930" t="s">
        <v>616</v>
      </c>
      <c r="AA10" s="930"/>
      <c r="AB10" s="930"/>
      <c r="AC10" s="930"/>
      <c r="AD10" s="930"/>
      <c r="AE10" s="930"/>
    </row>
    <row r="11" spans="1:31" ht="15" customHeight="1" x14ac:dyDescent="0.3">
      <c r="A11" s="1145" t="s">
        <v>136</v>
      </c>
      <c r="B11" s="1145"/>
      <c r="C11" s="1152" t="s">
        <v>319</v>
      </c>
      <c r="D11" s="1152"/>
      <c r="E11" s="1152"/>
      <c r="F11" s="1152"/>
      <c r="G11" s="1152"/>
      <c r="H11" s="1073">
        <f ca="1">TODAY()</f>
        <v>45953</v>
      </c>
      <c r="I11" s="1073"/>
      <c r="J11" s="1017" t="s">
        <v>320</v>
      </c>
      <c r="K11" s="1017"/>
      <c r="L11" s="1017" t="s">
        <v>7</v>
      </c>
      <c r="M11" s="1017"/>
      <c r="N11" s="158" t="s">
        <v>7</v>
      </c>
      <c r="O11" s="158"/>
      <c r="P11" s="158"/>
      <c r="Q11" s="713"/>
      <c r="Z11" s="713" t="s">
        <v>866</v>
      </c>
      <c r="AA11" s="713"/>
      <c r="AB11" s="713" t="s">
        <v>867</v>
      </c>
      <c r="AC11" s="713"/>
      <c r="AD11" s="14"/>
      <c r="AE11" s="14"/>
    </row>
    <row r="12" spans="1:31" ht="15" customHeight="1" x14ac:dyDescent="0.3">
      <c r="A12" s="1120" t="s">
        <v>138</v>
      </c>
      <c r="B12" s="1120"/>
      <c r="C12" s="1121"/>
      <c r="D12" s="1121"/>
      <c r="E12" s="1121"/>
      <c r="F12" s="1121"/>
      <c r="G12" s="1121"/>
      <c r="H12" s="1073"/>
      <c r="I12" s="1073"/>
      <c r="J12" s="1073"/>
      <c r="K12" s="1073"/>
      <c r="L12" s="1074"/>
      <c r="M12" s="1074"/>
      <c r="N12" s="159"/>
      <c r="O12" s="159"/>
      <c r="P12" s="159"/>
      <c r="Q12" s="713"/>
      <c r="S12" s="3" t="s">
        <v>859</v>
      </c>
      <c r="T12" s="3"/>
      <c r="U12" s="3" t="s">
        <v>60</v>
      </c>
      <c r="V12" s="3" t="s">
        <v>861</v>
      </c>
      <c r="W12" s="3" t="s">
        <v>863</v>
      </c>
      <c r="X12" s="3" t="s">
        <v>862</v>
      </c>
      <c r="Y12" s="49"/>
      <c r="Z12" s="38" t="s">
        <v>864</v>
      </c>
      <c r="AA12" s="38" t="s">
        <v>865</v>
      </c>
      <c r="AB12" s="38" t="s">
        <v>864</v>
      </c>
      <c r="AC12" s="38" t="s">
        <v>865</v>
      </c>
      <c r="AD12" s="86"/>
      <c r="AE12" s="86"/>
    </row>
    <row r="13" spans="1:31" ht="15" customHeight="1" x14ac:dyDescent="0.3">
      <c r="A13" s="924"/>
      <c r="B13" s="924"/>
      <c r="C13" s="924"/>
      <c r="D13" s="924"/>
      <c r="E13" s="924"/>
      <c r="F13" s="924"/>
      <c r="G13" s="924"/>
      <c r="H13" s="924"/>
      <c r="I13" s="924"/>
      <c r="J13" s="924"/>
      <c r="K13" s="924"/>
      <c r="L13" s="924"/>
      <c r="M13" s="924"/>
      <c r="N13" s="924"/>
      <c r="O13" s="924"/>
      <c r="P13" s="924"/>
      <c r="Q13" s="924"/>
      <c r="S13" s="3" t="s">
        <v>63</v>
      </c>
      <c r="T13" s="3">
        <v>2</v>
      </c>
      <c r="U13" s="3">
        <v>6.35</v>
      </c>
      <c r="V13">
        <v>0.11</v>
      </c>
      <c r="W13">
        <v>0.123</v>
      </c>
      <c r="X13">
        <v>0.21199999999999999</v>
      </c>
      <c r="Z13" s="13">
        <f>VLOOKUP(C21,T30:AG31,Z16,)</f>
        <v>0.91700000000000004</v>
      </c>
      <c r="AA13" s="13">
        <f>VLOOKUP(D21,T30:AF31,AA16,)</f>
        <v>0.193</v>
      </c>
      <c r="AB13" s="13">
        <f>VLOOKUP(C22,T30:AG31,AB16,)</f>
        <v>1.764</v>
      </c>
      <c r="AC13" s="13">
        <f>VLOOKUP(D22,T30:AF31,AC16,)</f>
        <v>0.54400000000000004</v>
      </c>
      <c r="AD13" s="14"/>
      <c r="AE13" s="14"/>
    </row>
    <row r="14" spans="1:31" ht="15" customHeight="1" x14ac:dyDescent="0.3">
      <c r="A14" s="1160" t="s">
        <v>321</v>
      </c>
      <c r="B14" s="1160" t="s">
        <v>140</v>
      </c>
      <c r="C14" s="1032" t="s">
        <v>141</v>
      </c>
      <c r="D14" s="1032"/>
      <c r="E14" s="1032"/>
      <c r="F14" s="1032"/>
      <c r="G14" s="1032"/>
      <c r="H14" s="1032" t="s">
        <v>142</v>
      </c>
      <c r="I14" s="1033" t="s">
        <v>143</v>
      </c>
      <c r="J14" s="1033" t="s">
        <v>322</v>
      </c>
      <c r="K14" s="1033"/>
      <c r="L14" s="1033" t="s">
        <v>221</v>
      </c>
      <c r="M14" s="1033"/>
      <c r="N14" s="1021" t="s">
        <v>222</v>
      </c>
      <c r="O14" s="363"/>
      <c r="P14" s="363"/>
      <c r="Q14" s="1021" t="s">
        <v>321</v>
      </c>
      <c r="S14" s="507" t="s">
        <v>65</v>
      </c>
      <c r="T14" s="3">
        <v>3</v>
      </c>
      <c r="U14" s="3">
        <v>9.52</v>
      </c>
      <c r="V14">
        <v>0.17299999999999999</v>
      </c>
      <c r="W14">
        <v>0.193</v>
      </c>
      <c r="X14">
        <v>0.35299999999999998</v>
      </c>
      <c r="Z14" s="930" t="s">
        <v>617</v>
      </c>
      <c r="AA14" s="930"/>
      <c r="AB14" s="930"/>
      <c r="AC14" s="930"/>
      <c r="AD14" s="930"/>
      <c r="AE14" s="930"/>
    </row>
    <row r="15" spans="1:31" ht="15" customHeight="1" x14ac:dyDescent="0.3">
      <c r="A15" s="1160"/>
      <c r="B15" s="1160"/>
      <c r="C15" s="1032"/>
      <c r="D15" s="1032"/>
      <c r="E15" s="1032"/>
      <c r="F15" s="1032"/>
      <c r="G15" s="1032"/>
      <c r="H15" s="1032"/>
      <c r="I15" s="1033"/>
      <c r="J15" s="1033"/>
      <c r="K15" s="1033"/>
      <c r="L15" s="1033"/>
      <c r="M15" s="1033"/>
      <c r="N15" s="1021"/>
      <c r="O15" s="363"/>
      <c r="P15" s="363"/>
      <c r="Q15" s="1021"/>
      <c r="S15" s="3" t="s">
        <v>67</v>
      </c>
      <c r="T15" s="3">
        <v>4</v>
      </c>
      <c r="U15" s="3">
        <v>12.7</v>
      </c>
      <c r="V15">
        <v>0.23499999999999999</v>
      </c>
      <c r="W15">
        <v>0.26300000000000001</v>
      </c>
      <c r="X15" s="509">
        <v>0.49399999999999999</v>
      </c>
      <c r="Z15" s="713" t="s">
        <v>866</v>
      </c>
      <c r="AA15" s="713"/>
      <c r="AB15" s="713" t="s">
        <v>867</v>
      </c>
      <c r="AC15" s="713"/>
      <c r="AD15" s="86"/>
      <c r="AE15" s="86"/>
    </row>
    <row r="16" spans="1:31" ht="15" customHeight="1" x14ac:dyDescent="0.3">
      <c r="A16" s="266">
        <f>IF(Q16="ok",1.3,IF(Q16="EM PROCESSO",1.2,-1))</f>
        <v>-1</v>
      </c>
      <c r="B16" s="178">
        <v>1</v>
      </c>
      <c r="C16" s="1158" t="s">
        <v>149</v>
      </c>
      <c r="D16" s="1158"/>
      <c r="E16" s="1158"/>
      <c r="F16" s="1158"/>
      <c r="G16" s="1158"/>
      <c r="H16" s="1158"/>
      <c r="I16" s="1158"/>
      <c r="J16" s="1158"/>
      <c r="K16" s="1158"/>
      <c r="L16" s="1158"/>
      <c r="M16" s="1158"/>
      <c r="N16" s="1158"/>
      <c r="O16" s="480"/>
      <c r="P16" s="480"/>
      <c r="Q16" s="38" t="s">
        <v>204</v>
      </c>
      <c r="S16" s="3" t="s">
        <v>68</v>
      </c>
      <c r="T16" s="3">
        <v>5</v>
      </c>
      <c r="U16" s="3">
        <v>15.87</v>
      </c>
      <c r="V16">
        <v>0.29699999999999999</v>
      </c>
      <c r="W16">
        <v>0.33300000000000002</v>
      </c>
      <c r="X16">
        <v>0.63500000000000001</v>
      </c>
      <c r="Z16" s="13">
        <f>VLOOKUP(A21,S13:T24,2,)</f>
        <v>7</v>
      </c>
      <c r="AA16" s="13">
        <f>VLOOKUP(B21,S13:T24,2,)</f>
        <v>3</v>
      </c>
      <c r="AB16" s="13">
        <f>VLOOKUP(A22,S13:T24,2,)</f>
        <v>12</v>
      </c>
      <c r="AC16" s="13">
        <f>VLOOKUP(B22,S13:T24,2,)</f>
        <v>8</v>
      </c>
      <c r="AD16" s="14"/>
      <c r="AE16" s="14"/>
    </row>
    <row r="17" spans="1:32" ht="15" customHeight="1" x14ac:dyDescent="0.3">
      <c r="A17" s="297">
        <f>IF(Q17="ok",1.3,IF(Q17="EM PROCESSO",1.2,-1))</f>
        <v>-1</v>
      </c>
      <c r="B17" s="160" t="str">
        <f ca="1">CONCATENATE($B$17,".",U17)</f>
        <v>1.1</v>
      </c>
      <c r="C17" s="1014" t="s">
        <v>150</v>
      </c>
      <c r="D17" s="1014"/>
      <c r="E17" s="1014"/>
      <c r="F17" s="1014"/>
      <c r="G17" s="1014"/>
      <c r="H17" s="1159"/>
      <c r="I17" s="1159"/>
      <c r="J17" s="1159"/>
      <c r="K17" s="1159"/>
      <c r="L17" s="1159"/>
      <c r="M17" s="1159"/>
      <c r="N17" s="1159"/>
      <c r="O17" s="160"/>
      <c r="P17" s="160"/>
      <c r="Q17" s="38" t="s">
        <v>204</v>
      </c>
      <c r="S17" s="3" t="s">
        <v>69</v>
      </c>
      <c r="T17" s="3">
        <v>6</v>
      </c>
      <c r="U17" s="3">
        <v>19.05</v>
      </c>
      <c r="V17">
        <v>0.35899999999999999</v>
      </c>
      <c r="W17">
        <v>0.40300000000000002</v>
      </c>
      <c r="X17">
        <v>0.77600000000000002</v>
      </c>
    </row>
    <row r="18" spans="1:32" x14ac:dyDescent="0.3">
      <c r="A18" s="713" t="s">
        <v>833</v>
      </c>
      <c r="B18" s="713"/>
      <c r="C18" s="713"/>
      <c r="D18" s="713"/>
      <c r="E18" s="713"/>
      <c r="F18" s="713"/>
      <c r="G18" s="713"/>
      <c r="H18" s="713"/>
      <c r="I18" s="713"/>
      <c r="J18" s="713"/>
      <c r="K18" s="713"/>
      <c r="L18" s="713"/>
      <c r="M18" s="713"/>
      <c r="N18" s="713"/>
      <c r="O18" s="713"/>
      <c r="P18" s="713"/>
      <c r="Q18" s="713"/>
      <c r="S18" s="3" t="s">
        <v>70</v>
      </c>
      <c r="T18" s="3">
        <v>7</v>
      </c>
      <c r="U18" s="3">
        <v>22.22</v>
      </c>
      <c r="V18">
        <v>0.42099999999999999</v>
      </c>
      <c r="W18">
        <v>0.47299999999999998</v>
      </c>
      <c r="X18">
        <v>0.91700000000000004</v>
      </c>
    </row>
    <row r="19" spans="1:32" x14ac:dyDescent="0.3">
      <c r="A19" s="930" t="s">
        <v>846</v>
      </c>
      <c r="B19" s="930" t="s">
        <v>847</v>
      </c>
      <c r="C19" s="1157" t="s">
        <v>850</v>
      </c>
      <c r="D19" s="1157" t="s">
        <v>851</v>
      </c>
      <c r="E19" s="1157" t="s">
        <v>854</v>
      </c>
      <c r="F19" s="930" t="s">
        <v>835</v>
      </c>
      <c r="G19" s="930" t="s">
        <v>839</v>
      </c>
      <c r="H19" s="930" t="s">
        <v>840</v>
      </c>
      <c r="I19" s="930" t="s">
        <v>841</v>
      </c>
      <c r="J19" s="930" t="s">
        <v>837</v>
      </c>
      <c r="K19" s="930"/>
      <c r="L19" s="930"/>
      <c r="M19" s="930"/>
      <c r="N19" s="930" t="s">
        <v>852</v>
      </c>
      <c r="O19" s="930" t="s">
        <v>853</v>
      </c>
      <c r="P19" s="930" t="s">
        <v>400</v>
      </c>
      <c r="Q19" s="930" t="s">
        <v>88</v>
      </c>
      <c r="S19" s="3" t="s">
        <v>71</v>
      </c>
      <c r="T19" s="3">
        <v>8</v>
      </c>
      <c r="U19" s="3">
        <v>25.4</v>
      </c>
      <c r="V19">
        <v>0.48299999999999998</v>
      </c>
      <c r="W19">
        <v>0.54400000000000004</v>
      </c>
      <c r="X19">
        <v>1.0589999999999999</v>
      </c>
    </row>
    <row r="20" spans="1:32" x14ac:dyDescent="0.3">
      <c r="A20" s="930"/>
      <c r="B20" s="930"/>
      <c r="C20" s="930"/>
      <c r="D20" s="930"/>
      <c r="E20" s="930"/>
      <c r="F20" s="930"/>
      <c r="G20" s="930"/>
      <c r="H20" s="930"/>
      <c r="I20" s="930"/>
      <c r="J20" s="38" t="s">
        <v>843</v>
      </c>
      <c r="K20" s="38" t="s">
        <v>842</v>
      </c>
      <c r="L20" s="38" t="s">
        <v>844</v>
      </c>
      <c r="M20" s="38" t="s">
        <v>845</v>
      </c>
      <c r="N20" s="930"/>
      <c r="O20" s="930"/>
      <c r="P20" s="930"/>
      <c r="Q20" s="930"/>
      <c r="S20" s="3" t="s">
        <v>73</v>
      </c>
      <c r="T20" s="3">
        <v>9</v>
      </c>
      <c r="U20" s="3">
        <v>31.75</v>
      </c>
      <c r="V20">
        <v>0.60799999999999998</v>
      </c>
      <c r="W20">
        <v>0.68400000000000005</v>
      </c>
      <c r="X20">
        <v>1.341</v>
      </c>
    </row>
    <row r="21" spans="1:32" x14ac:dyDescent="0.3">
      <c r="A21" s="38" t="s">
        <v>70</v>
      </c>
      <c r="B21" s="38" t="s">
        <v>65</v>
      </c>
      <c r="C21" s="38" t="s">
        <v>855</v>
      </c>
      <c r="D21" s="38" t="s">
        <v>849</v>
      </c>
      <c r="E21" s="38">
        <v>15</v>
      </c>
      <c r="F21" s="284" t="s">
        <v>836</v>
      </c>
      <c r="G21" s="38">
        <v>1</v>
      </c>
      <c r="H21" s="38">
        <v>10</v>
      </c>
      <c r="I21" s="284">
        <v>0</v>
      </c>
      <c r="J21" s="309">
        <f>(E21*G21)+(H21*I21)</f>
        <v>15</v>
      </c>
      <c r="K21" s="508">
        <f>Z13*J21</f>
        <v>13.755000000000001</v>
      </c>
      <c r="L21" s="309">
        <f>J21</f>
        <v>15</v>
      </c>
      <c r="M21" s="508">
        <f>AA13*L21</f>
        <v>2.895</v>
      </c>
      <c r="N21" s="309">
        <f>E21+6</f>
        <v>21</v>
      </c>
      <c r="O21" s="479">
        <f>J21/5*2</f>
        <v>6</v>
      </c>
      <c r="P21" s="297">
        <f>G21*4</f>
        <v>4</v>
      </c>
      <c r="Q21" s="38"/>
      <c r="S21" s="3" t="s">
        <v>74</v>
      </c>
      <c r="T21" s="3">
        <v>10</v>
      </c>
      <c r="U21" s="3">
        <v>34.92</v>
      </c>
      <c r="V21">
        <v>0.67</v>
      </c>
      <c r="W21">
        <v>0.754</v>
      </c>
      <c r="X21">
        <v>1.482</v>
      </c>
    </row>
    <row r="22" spans="1:32" x14ac:dyDescent="0.3">
      <c r="A22" s="38" t="s">
        <v>76</v>
      </c>
      <c r="B22" s="38" t="s">
        <v>71</v>
      </c>
      <c r="C22" s="38" t="s">
        <v>855</v>
      </c>
      <c r="D22" s="38" t="s">
        <v>849</v>
      </c>
      <c r="E22" s="38">
        <v>10</v>
      </c>
      <c r="F22" s="284" t="s">
        <v>856</v>
      </c>
      <c r="G22" s="38">
        <v>3</v>
      </c>
      <c r="H22" s="38">
        <v>15</v>
      </c>
      <c r="I22" s="284">
        <v>0.3</v>
      </c>
      <c r="J22" s="309">
        <f t="shared" ref="J22:J29" si="0">(E22*G22)+(H22*I22)</f>
        <v>34.5</v>
      </c>
      <c r="K22" s="508">
        <f>AB13*J22</f>
        <v>60.857999999999997</v>
      </c>
      <c r="L22" s="309">
        <f t="shared" ref="L22:L29" si="1">J22</f>
        <v>34.5</v>
      </c>
      <c r="M22" s="508">
        <f>AC13*L22</f>
        <v>18.768000000000001</v>
      </c>
      <c r="N22" s="309">
        <f t="shared" ref="N22:N23" si="2">E22+6</f>
        <v>16</v>
      </c>
      <c r="O22" s="479">
        <f t="shared" ref="O22:O29" si="3">J22/5*2</f>
        <v>13.8</v>
      </c>
      <c r="P22" s="297">
        <f t="shared" ref="P22:P29" si="4">G22*4</f>
        <v>12</v>
      </c>
      <c r="Q22" s="38"/>
      <c r="S22" s="3" t="s">
        <v>75</v>
      </c>
      <c r="T22" s="3">
        <v>11</v>
      </c>
      <c r="U22" s="3">
        <v>38.1</v>
      </c>
      <c r="V22">
        <v>0.73199999999999998</v>
      </c>
      <c r="W22">
        <v>0.82399999999999995</v>
      </c>
      <c r="X22">
        <v>1.623</v>
      </c>
    </row>
    <row r="23" spans="1:32" x14ac:dyDescent="0.3">
      <c r="A23" s="38"/>
      <c r="B23" s="38"/>
      <c r="C23" s="38"/>
      <c r="D23" s="38"/>
      <c r="E23" s="38"/>
      <c r="F23" s="284"/>
      <c r="G23" s="38"/>
      <c r="H23" s="38"/>
      <c r="I23" s="284"/>
      <c r="J23" s="309">
        <f t="shared" si="0"/>
        <v>0</v>
      </c>
      <c r="K23" s="508"/>
      <c r="L23" s="309">
        <f t="shared" si="1"/>
        <v>0</v>
      </c>
      <c r="M23" s="508"/>
      <c r="N23" s="309">
        <f t="shared" si="2"/>
        <v>6</v>
      </c>
      <c r="O23" s="479">
        <f t="shared" si="3"/>
        <v>0</v>
      </c>
      <c r="P23" s="297">
        <f t="shared" si="4"/>
        <v>0</v>
      </c>
      <c r="Q23" s="38"/>
      <c r="S23" s="3" t="s">
        <v>76</v>
      </c>
      <c r="T23" s="3">
        <v>12</v>
      </c>
      <c r="U23" s="3">
        <v>41.27</v>
      </c>
      <c r="V23">
        <v>0.79400000000000004</v>
      </c>
      <c r="W23">
        <v>0.89400000000000002</v>
      </c>
      <c r="X23">
        <v>1.764</v>
      </c>
    </row>
    <row r="24" spans="1:32" x14ac:dyDescent="0.3">
      <c r="A24" s="38" t="s">
        <v>67</v>
      </c>
      <c r="B24" s="38" t="s">
        <v>69</v>
      </c>
      <c r="C24" s="38" t="s">
        <v>855</v>
      </c>
      <c r="D24" s="38" t="s">
        <v>849</v>
      </c>
      <c r="E24" s="38">
        <v>10</v>
      </c>
      <c r="F24" s="284"/>
      <c r="G24" s="38">
        <v>1</v>
      </c>
      <c r="H24" s="38">
        <v>10</v>
      </c>
      <c r="I24" s="284"/>
      <c r="J24" s="309">
        <f t="shared" si="0"/>
        <v>10</v>
      </c>
      <c r="K24" s="508"/>
      <c r="L24" s="309">
        <f t="shared" si="1"/>
        <v>10</v>
      </c>
      <c r="M24" s="508"/>
      <c r="N24" s="309">
        <f t="shared" ref="N24:N29" si="5">E24*G24</f>
        <v>10</v>
      </c>
      <c r="O24" s="479">
        <f t="shared" si="3"/>
        <v>4</v>
      </c>
      <c r="P24" s="297">
        <f t="shared" si="4"/>
        <v>4</v>
      </c>
      <c r="Q24" s="38"/>
      <c r="S24" s="3" t="s">
        <v>860</v>
      </c>
      <c r="T24" s="3">
        <v>13</v>
      </c>
      <c r="U24" s="3">
        <v>47.62</v>
      </c>
      <c r="V24">
        <v>0.91800000000000004</v>
      </c>
      <c r="W24">
        <v>1.034</v>
      </c>
      <c r="X24">
        <v>2.0459999999999998</v>
      </c>
    </row>
    <row r="25" spans="1:32" x14ac:dyDescent="0.3">
      <c r="A25" s="38"/>
      <c r="B25" s="38"/>
      <c r="C25" s="38"/>
      <c r="D25" s="38"/>
      <c r="E25" s="38"/>
      <c r="F25" s="284"/>
      <c r="G25" s="38"/>
      <c r="H25" s="38"/>
      <c r="I25" s="284"/>
      <c r="J25" s="309">
        <f t="shared" si="0"/>
        <v>0</v>
      </c>
      <c r="K25" s="508"/>
      <c r="L25" s="309">
        <f t="shared" si="1"/>
        <v>0</v>
      </c>
      <c r="M25" s="508"/>
      <c r="N25" s="309">
        <f t="shared" si="5"/>
        <v>0</v>
      </c>
      <c r="O25" s="479">
        <f t="shared" si="3"/>
        <v>0</v>
      </c>
      <c r="P25" s="297">
        <f t="shared" si="4"/>
        <v>0</v>
      </c>
      <c r="Q25" s="38"/>
    </row>
    <row r="26" spans="1:32" x14ac:dyDescent="0.3">
      <c r="A26" s="38"/>
      <c r="B26" s="38"/>
      <c r="C26" s="38"/>
      <c r="D26" s="38"/>
      <c r="E26" s="38"/>
      <c r="F26" s="284"/>
      <c r="G26" s="38"/>
      <c r="H26" s="38"/>
      <c r="I26" s="284"/>
      <c r="J26" s="309">
        <f t="shared" si="0"/>
        <v>0</v>
      </c>
      <c r="K26" s="508"/>
      <c r="L26" s="309">
        <f t="shared" si="1"/>
        <v>0</v>
      </c>
      <c r="M26" s="508"/>
      <c r="N26" s="309">
        <f t="shared" si="5"/>
        <v>0</v>
      </c>
      <c r="O26" s="479">
        <f t="shared" si="3"/>
        <v>0</v>
      </c>
      <c r="P26" s="297">
        <f t="shared" si="4"/>
        <v>0</v>
      </c>
      <c r="Q26" s="38"/>
      <c r="S26" s="3"/>
      <c r="T26" s="3"/>
      <c r="U26" s="3"/>
    </row>
    <row r="27" spans="1:32" x14ac:dyDescent="0.3">
      <c r="A27" s="38"/>
      <c r="B27" s="38"/>
      <c r="C27" s="38"/>
      <c r="D27" s="38"/>
      <c r="E27" s="38"/>
      <c r="F27" s="284"/>
      <c r="G27" s="38"/>
      <c r="H27" s="38"/>
      <c r="I27" s="284"/>
      <c r="J27" s="309">
        <f t="shared" si="0"/>
        <v>0</v>
      </c>
      <c r="K27" s="508"/>
      <c r="L27" s="309">
        <f t="shared" si="1"/>
        <v>0</v>
      </c>
      <c r="M27" s="508"/>
      <c r="N27" s="309">
        <f t="shared" si="5"/>
        <v>0</v>
      </c>
      <c r="O27" s="479">
        <f t="shared" si="3"/>
        <v>0</v>
      </c>
      <c r="P27" s="297">
        <f t="shared" si="4"/>
        <v>0</v>
      </c>
      <c r="Q27" s="38"/>
      <c r="S27" s="3"/>
      <c r="T27" s="3"/>
      <c r="U27" s="3"/>
    </row>
    <row r="28" spans="1:32" x14ac:dyDescent="0.3">
      <c r="A28" s="38"/>
      <c r="B28" s="38"/>
      <c r="C28" s="38"/>
      <c r="D28" s="38"/>
      <c r="E28" s="38"/>
      <c r="F28" s="284"/>
      <c r="G28" s="38"/>
      <c r="H28" s="38"/>
      <c r="I28" s="284"/>
      <c r="J28" s="309">
        <f t="shared" si="0"/>
        <v>0</v>
      </c>
      <c r="K28" s="508"/>
      <c r="L28" s="309">
        <f t="shared" si="1"/>
        <v>0</v>
      </c>
      <c r="M28" s="508"/>
      <c r="N28" s="309">
        <f t="shared" si="5"/>
        <v>0</v>
      </c>
      <c r="O28" s="479">
        <f t="shared" si="3"/>
        <v>0</v>
      </c>
      <c r="P28" s="297">
        <f t="shared" si="4"/>
        <v>0</v>
      </c>
      <c r="Q28" s="38"/>
      <c r="S28" s="3"/>
      <c r="T28" s="3"/>
      <c r="U28" s="3" t="s">
        <v>63</v>
      </c>
      <c r="V28" s="49" t="s">
        <v>65</v>
      </c>
      <c r="W28" s="3" t="s">
        <v>67</v>
      </c>
      <c r="X28" s="3" t="s">
        <v>68</v>
      </c>
      <c r="Y28" s="3" t="s">
        <v>69</v>
      </c>
      <c r="Z28" s="3" t="s">
        <v>70</v>
      </c>
      <c r="AA28" s="3" t="s">
        <v>71</v>
      </c>
      <c r="AB28" s="3" t="s">
        <v>73</v>
      </c>
      <c r="AC28" s="3" t="s">
        <v>74</v>
      </c>
      <c r="AD28" s="3" t="s">
        <v>75</v>
      </c>
      <c r="AE28" s="3" t="s">
        <v>76</v>
      </c>
      <c r="AF28" s="3" t="s">
        <v>860</v>
      </c>
    </row>
    <row r="29" spans="1:32" x14ac:dyDescent="0.3">
      <c r="A29" s="38"/>
      <c r="B29" s="38"/>
      <c r="C29" s="38"/>
      <c r="D29" s="38"/>
      <c r="E29" s="38"/>
      <c r="F29" s="284"/>
      <c r="G29" s="38"/>
      <c r="H29" s="38"/>
      <c r="I29" s="284"/>
      <c r="J29" s="309">
        <f t="shared" si="0"/>
        <v>0</v>
      </c>
      <c r="K29" s="508"/>
      <c r="L29" s="309">
        <f t="shared" si="1"/>
        <v>0</v>
      </c>
      <c r="M29" s="508"/>
      <c r="N29" s="309">
        <f t="shared" si="5"/>
        <v>0</v>
      </c>
      <c r="O29" s="479">
        <f t="shared" si="3"/>
        <v>0</v>
      </c>
      <c r="P29" s="297">
        <f t="shared" si="4"/>
        <v>0</v>
      </c>
      <c r="Q29" s="38"/>
      <c r="S29" s="3"/>
      <c r="T29" s="3"/>
      <c r="U29" s="49">
        <v>2</v>
      </c>
      <c r="V29" s="49">
        <v>3</v>
      </c>
      <c r="W29" s="49">
        <v>4</v>
      </c>
      <c r="X29" s="49">
        <v>5</v>
      </c>
      <c r="Y29" s="49">
        <v>6</v>
      </c>
      <c r="Z29" s="49">
        <v>7</v>
      </c>
      <c r="AA29" s="49">
        <v>8</v>
      </c>
      <c r="AB29" s="49">
        <v>9</v>
      </c>
      <c r="AC29" s="49">
        <v>10</v>
      </c>
      <c r="AD29" s="49">
        <v>11</v>
      </c>
      <c r="AE29" s="49">
        <v>12</v>
      </c>
      <c r="AF29" s="49">
        <v>13</v>
      </c>
    </row>
    <row r="30" spans="1:32" x14ac:dyDescent="0.3">
      <c r="S30" s="3"/>
      <c r="T30" s="3" t="s">
        <v>849</v>
      </c>
      <c r="U30" s="49">
        <v>0.123</v>
      </c>
      <c r="V30" s="49">
        <v>0.193</v>
      </c>
      <c r="W30" s="49">
        <v>0.26300000000000001</v>
      </c>
      <c r="X30" s="49">
        <v>0.33300000000000002</v>
      </c>
      <c r="Y30" s="49">
        <v>0.40300000000000002</v>
      </c>
      <c r="Z30" s="49">
        <v>0.47299999999999998</v>
      </c>
      <c r="AA30" s="49">
        <v>0.54400000000000004</v>
      </c>
      <c r="AB30" s="49">
        <v>0.68400000000000005</v>
      </c>
      <c r="AC30" s="49">
        <v>0.754</v>
      </c>
      <c r="AD30" s="49">
        <v>0.82399999999999995</v>
      </c>
      <c r="AE30" s="49">
        <v>0.89400000000000002</v>
      </c>
      <c r="AF30" s="49">
        <v>1.034</v>
      </c>
    </row>
    <row r="31" spans="1:32" x14ac:dyDescent="0.3">
      <c r="S31" s="3"/>
      <c r="T31" s="3" t="s">
        <v>855</v>
      </c>
      <c r="U31" s="49">
        <v>0.21199999999999999</v>
      </c>
      <c r="V31" s="49">
        <v>0.35299999999999998</v>
      </c>
      <c r="W31" s="49">
        <v>0.49399999999999999</v>
      </c>
      <c r="X31" s="49">
        <v>0.63500000000000001</v>
      </c>
      <c r="Y31" s="49">
        <v>0.77600000000000002</v>
      </c>
      <c r="Z31" s="49">
        <v>0.91700000000000004</v>
      </c>
      <c r="AA31" s="49">
        <v>1.0589999999999999</v>
      </c>
      <c r="AB31" s="49">
        <v>1.341</v>
      </c>
      <c r="AC31" s="49">
        <v>1.482</v>
      </c>
      <c r="AD31" s="49">
        <v>1.623</v>
      </c>
      <c r="AE31" s="49">
        <v>1.764</v>
      </c>
      <c r="AF31" s="49">
        <v>2.0459999999999998</v>
      </c>
    </row>
    <row r="32" spans="1:32" x14ac:dyDescent="0.3">
      <c r="Q32" s="506"/>
      <c r="S32" s="3"/>
      <c r="T32" s="3"/>
      <c r="U32" s="3"/>
    </row>
    <row r="33" spans="3:31" x14ac:dyDescent="0.3">
      <c r="Z33" s="1154"/>
      <c r="AA33" s="1154"/>
      <c r="AB33" s="1154"/>
      <c r="AC33" s="1154"/>
      <c r="AD33" s="1154"/>
      <c r="AE33" s="1154"/>
    </row>
    <row r="34" spans="3:31" x14ac:dyDescent="0.3">
      <c r="C34" s="506"/>
      <c r="Z34" s="1088"/>
      <c r="AA34" s="1088"/>
    </row>
    <row r="35" spans="3:31" x14ac:dyDescent="0.3">
      <c r="S35" s="3"/>
      <c r="T35" s="3"/>
      <c r="U35" s="3"/>
      <c r="V35" s="3"/>
      <c r="W35" s="3"/>
      <c r="X35" s="3"/>
      <c r="Y35" s="49"/>
      <c r="Z35" s="3"/>
      <c r="AA35" s="3"/>
      <c r="AB35" s="7"/>
      <c r="AC35" s="7"/>
      <c r="AD35" s="7"/>
      <c r="AE35" s="7"/>
    </row>
    <row r="36" spans="3:31" x14ac:dyDescent="0.3">
      <c r="S36" s="3"/>
      <c r="T36" s="3"/>
      <c r="U36" s="3"/>
      <c r="Z36" s="49"/>
      <c r="AA36" s="49"/>
    </row>
    <row r="37" spans="3:31" x14ac:dyDescent="0.3">
      <c r="S37" s="507"/>
      <c r="T37" s="3"/>
      <c r="U37" s="3"/>
      <c r="Z37" s="49"/>
      <c r="AA37" s="49"/>
    </row>
    <row r="38" spans="3:31" x14ac:dyDescent="0.3">
      <c r="S38" s="3"/>
      <c r="T38" s="3"/>
      <c r="U38" s="3"/>
      <c r="X38" s="509"/>
      <c r="Z38" s="49"/>
      <c r="AA38" s="49"/>
    </row>
    <row r="39" spans="3:31" x14ac:dyDescent="0.3">
      <c r="S39" s="3"/>
      <c r="T39" s="3"/>
      <c r="U39" s="3"/>
      <c r="Z39" s="49"/>
      <c r="AA39" s="49"/>
    </row>
    <row r="40" spans="3:31" x14ac:dyDescent="0.3">
      <c r="S40" s="3"/>
      <c r="T40" s="3"/>
      <c r="U40" s="3"/>
    </row>
    <row r="41" spans="3:31" x14ac:dyDescent="0.3">
      <c r="S41" s="3"/>
      <c r="T41" s="3"/>
      <c r="U41" s="3"/>
    </row>
    <row r="42" spans="3:31" x14ac:dyDescent="0.3">
      <c r="S42" s="3"/>
      <c r="T42" s="3"/>
      <c r="U42" s="3"/>
    </row>
    <row r="43" spans="3:31" x14ac:dyDescent="0.3">
      <c r="S43" s="3"/>
      <c r="T43" s="3"/>
      <c r="U43" s="3"/>
    </row>
    <row r="44" spans="3:31" x14ac:dyDescent="0.3">
      <c r="S44" s="3"/>
      <c r="T44" s="3"/>
      <c r="U44" s="3"/>
    </row>
    <row r="45" spans="3:31" x14ac:dyDescent="0.3">
      <c r="S45" s="3"/>
      <c r="T45" s="3"/>
      <c r="U45" s="3"/>
    </row>
    <row r="46" spans="3:31" x14ac:dyDescent="0.3">
      <c r="S46" s="3"/>
      <c r="T46" s="3"/>
      <c r="U46" s="3"/>
    </row>
    <row r="47" spans="3:31" x14ac:dyDescent="0.3">
      <c r="S47" s="3"/>
      <c r="T47" s="3"/>
      <c r="U47" s="3"/>
    </row>
    <row r="49" spans="19:32" x14ac:dyDescent="0.3">
      <c r="S49" s="3"/>
      <c r="T49" s="3"/>
      <c r="U49" s="3"/>
    </row>
    <row r="50" spans="19:32" x14ac:dyDescent="0.3">
      <c r="S50" s="3"/>
      <c r="T50" s="3"/>
      <c r="U50" s="3"/>
    </row>
    <row r="51" spans="19:32" x14ac:dyDescent="0.3">
      <c r="S51" s="3"/>
      <c r="T51" s="3"/>
      <c r="U51" s="3"/>
      <c r="V51" s="49"/>
      <c r="W51" s="3"/>
      <c r="X51" s="3"/>
      <c r="Y51" s="3"/>
      <c r="Z51" s="3"/>
      <c r="AA51" s="3"/>
      <c r="AB51" s="3"/>
      <c r="AC51" s="3"/>
      <c r="AD51" s="3"/>
      <c r="AE51" s="3"/>
      <c r="AF51" s="3"/>
    </row>
    <row r="52" spans="19:32" x14ac:dyDescent="0.3">
      <c r="S52" s="3"/>
      <c r="T52" s="3"/>
      <c r="U52" s="49"/>
      <c r="V52" s="49"/>
      <c r="W52" s="49"/>
      <c r="X52" s="49"/>
      <c r="Y52" s="49"/>
      <c r="Z52" s="49"/>
      <c r="AA52" s="49"/>
      <c r="AB52" s="49"/>
      <c r="AC52" s="49"/>
      <c r="AD52" s="49"/>
      <c r="AE52" s="49"/>
      <c r="AF52" s="49"/>
    </row>
    <row r="53" spans="19:32" x14ac:dyDescent="0.3">
      <c r="S53" s="3"/>
      <c r="T53" s="3"/>
      <c r="U53" s="49"/>
      <c r="V53" s="49"/>
      <c r="W53" s="49"/>
      <c r="X53" s="49"/>
      <c r="Y53" s="49"/>
      <c r="Z53" s="49"/>
      <c r="AA53" s="49"/>
      <c r="AB53" s="49"/>
      <c r="AC53" s="49"/>
      <c r="AD53" s="49"/>
      <c r="AE53" s="49"/>
      <c r="AF53" s="49"/>
    </row>
    <row r="54" spans="19:32" x14ac:dyDescent="0.3">
      <c r="S54" s="3"/>
      <c r="T54" s="3"/>
      <c r="U54" s="49"/>
      <c r="V54" s="49"/>
      <c r="W54" s="49"/>
      <c r="X54" s="49"/>
      <c r="Y54" s="49"/>
      <c r="Z54" s="49"/>
      <c r="AA54" s="49"/>
      <c r="AB54" s="49"/>
      <c r="AC54" s="49"/>
      <c r="AD54" s="49"/>
      <c r="AE54" s="49"/>
      <c r="AF54" s="49"/>
    </row>
  </sheetData>
  <mergeCells count="59">
    <mergeCell ref="C16:N16"/>
    <mergeCell ref="C17:G17"/>
    <mergeCell ref="H17:N17"/>
    <mergeCell ref="A13:Q13"/>
    <mergeCell ref="A14:A15"/>
    <mergeCell ref="B14:B15"/>
    <mergeCell ref="C14:G15"/>
    <mergeCell ref="H14:H15"/>
    <mergeCell ref="I14:I15"/>
    <mergeCell ref="J14:K15"/>
    <mergeCell ref="L14:M15"/>
    <mergeCell ref="N14:N15"/>
    <mergeCell ref="Q14:Q15"/>
    <mergeCell ref="L12:M12"/>
    <mergeCell ref="Q19:Q20"/>
    <mergeCell ref="O19:O20"/>
    <mergeCell ref="P19:P20"/>
    <mergeCell ref="A18:Q18"/>
    <mergeCell ref="A19:A20"/>
    <mergeCell ref="B19:B20"/>
    <mergeCell ref="C19:C20"/>
    <mergeCell ref="E19:E20"/>
    <mergeCell ref="F19:F20"/>
    <mergeCell ref="G19:G20"/>
    <mergeCell ref="H19:H20"/>
    <mergeCell ref="D19:D20"/>
    <mergeCell ref="I19:I20"/>
    <mergeCell ref="J19:M19"/>
    <mergeCell ref="N19:N20"/>
    <mergeCell ref="A9:Q9"/>
    <mergeCell ref="A10:B10"/>
    <mergeCell ref="C10:G10"/>
    <mergeCell ref="H10:I10"/>
    <mergeCell ref="J10:K10"/>
    <mergeCell ref="L10:M10"/>
    <mergeCell ref="Q10:Q12"/>
    <mergeCell ref="A11:B11"/>
    <mergeCell ref="C11:G11"/>
    <mergeCell ref="H11:I11"/>
    <mergeCell ref="J11:K11"/>
    <mergeCell ref="L11:M11"/>
    <mergeCell ref="A12:B12"/>
    <mergeCell ref="C12:G12"/>
    <mergeCell ref="H12:I12"/>
    <mergeCell ref="J12:K12"/>
    <mergeCell ref="E1:Q1"/>
    <mergeCell ref="G2:Q2"/>
    <mergeCell ref="G3:Q6"/>
    <mergeCell ref="G7:Q7"/>
    <mergeCell ref="A8:Q8"/>
    <mergeCell ref="A1:D7"/>
    <mergeCell ref="Z10:AE10"/>
    <mergeCell ref="Z11:AA11"/>
    <mergeCell ref="Z33:AE33"/>
    <mergeCell ref="Z34:AA34"/>
    <mergeCell ref="AB11:AC11"/>
    <mergeCell ref="Z14:AE14"/>
    <mergeCell ref="Z15:AA15"/>
    <mergeCell ref="AB15:AC15"/>
  </mergeCells>
  <phoneticPr fontId="36" type="noConversion"/>
  <conditionalFormatting sqref="Q16">
    <cfRule type="containsText" dxfId="5" priority="13" operator="containsText" text="ERRO">
      <formula>NOT(ISERROR(SEARCH("ERRO",Q16)))</formula>
    </cfRule>
    <cfRule type="containsText" dxfId="4" priority="14" operator="containsText" text="EM PROCESSO">
      <formula>NOT(ISERROR(SEARCH("EM PROCESSO",Q16)))</formula>
    </cfRule>
    <cfRule type="containsText" dxfId="3" priority="15" operator="containsText" text="OK">
      <formula>NOT(ISERROR(SEARCH("OK",Q16)))</formula>
    </cfRule>
  </conditionalFormatting>
  <conditionalFormatting sqref="A16">
    <cfRule type="iconSet" priority="10">
      <iconSet iconSet="3Symbols" showValue="0">
        <cfvo type="percent" val="0"/>
        <cfvo type="formula" val="1.1" gte="0"/>
        <cfvo type="formula" val="1.2" gte="0"/>
      </iconSet>
    </cfRule>
    <cfRule type="iconSet" priority="11">
      <iconSet iconSet="3Symbols">
        <cfvo type="percent" val="0"/>
        <cfvo type="percent" val="33"/>
        <cfvo type="formula" val="&quot;OK&quot;" gte="0"/>
      </iconSet>
    </cfRule>
    <cfRule type="iconSet" priority="12">
      <iconSet iconSet="3Symbols">
        <cfvo type="percent" val="0"/>
        <cfvo type="percent" val="33"/>
        <cfvo type="percent" val="67"/>
      </iconSet>
    </cfRule>
  </conditionalFormatting>
  <conditionalFormatting sqref="A17">
    <cfRule type="iconSet" priority="7">
      <iconSet iconSet="3Symbols" showValue="0">
        <cfvo type="percent" val="0"/>
        <cfvo type="formula" val="1.1" gte="0"/>
        <cfvo type="formula" val="1.2" gte="0"/>
      </iconSet>
    </cfRule>
    <cfRule type="iconSet" priority="8">
      <iconSet iconSet="3Symbols">
        <cfvo type="percent" val="0"/>
        <cfvo type="percent" val="33"/>
        <cfvo type="formula" val="&quot;OK&quot;" gte="0"/>
      </iconSet>
    </cfRule>
    <cfRule type="iconSet" priority="9">
      <iconSet iconSet="3Symbols">
        <cfvo type="percent" val="0"/>
        <cfvo type="percent" val="33"/>
        <cfvo type="percent" val="67"/>
      </iconSet>
    </cfRule>
  </conditionalFormatting>
  <conditionalFormatting sqref="Q17">
    <cfRule type="containsText" dxfId="2" priority="4" operator="containsText" text="ERRO">
      <formula>NOT(ISERROR(SEARCH("ERRO",Q17)))</formula>
    </cfRule>
    <cfRule type="containsText" dxfId="1" priority="5" operator="containsText" text="EM PROCESSO">
      <formula>NOT(ISERROR(SEARCH("EM PROCESSO",Q17)))</formula>
    </cfRule>
    <cfRule type="containsText" dxfId="0" priority="6" operator="containsText" text="OK">
      <formula>NOT(ISERROR(SEARCH("OK",Q17)))</formula>
    </cfRule>
  </conditionalFormatting>
  <dataValidations count="3">
    <dataValidation type="list" allowBlank="1" showInputMessage="1" showErrorMessage="1" sqref="C21:D29" xr:uid="{0329B27F-D057-4690-9455-80634B98ED03}">
      <formula1>"0,80mm, 1,59mm,"</formula1>
    </dataValidation>
    <dataValidation type="list" allowBlank="1" showInputMessage="1" showErrorMessage="1" sqref="Q16:Q17" xr:uid="{3184CC14-D25F-4D00-8295-90B5062AAA27}">
      <formula1>"OK, EM PROCESSO, ERRO, -,"</formula1>
    </dataValidation>
    <dataValidation type="list" allowBlank="1" showInputMessage="1" showErrorMessage="1" sqref="A21:B29" xr:uid="{C715FA04-4298-415E-88D5-2C3C4CD16638}">
      <mc:AlternateContent xmlns:x12ac="http://schemas.microsoft.com/office/spreadsheetml/2011/1/ac" xmlns:mc="http://schemas.openxmlformats.org/markup-compatibility/2006">
        <mc:Choice Requires="x12ac">
          <x12ac:list>"1/4"""," 3/8""","1/2""","5/8""","3/4""","7/8""","1""","1.1/4""","1.3/8""","1.1/2""","1.5/8""",</x12ac:list>
        </mc:Choice>
        <mc:Fallback>
          <formula1>"1/4"", 3/8"",1/2"",5/8"",3/4"",7/8"",1"",1.1/4"",1.3/8"",1.1/2"",1.5/8"","</formula1>
        </mc:Fallback>
      </mc:AlternateContent>
    </dataValidation>
  </dataValidations>
  <pageMargins left="0.511811024" right="0.511811024" top="0.78740157499999996" bottom="0.78740157499999996" header="0.31496062000000002" footer="0.31496062000000002"/>
  <pageSetup paperSize="9" scale="42" orientation="portrait" r:id="rId1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8F91F5-E0D0-4AC0-8CF0-D18FD0952A72}">
  <sheetPr codeName="Planilha5">
    <tabColor theme="0" tint="-0.499984740745262"/>
  </sheetPr>
  <dimension ref="A1:N51"/>
  <sheetViews>
    <sheetView topLeftCell="A12" workbookViewId="0">
      <selection activeCell="A28" sqref="A28:E28"/>
    </sheetView>
  </sheetViews>
  <sheetFormatPr defaultRowHeight="14.4" x14ac:dyDescent="0.3"/>
  <cols>
    <col min="1" max="1" width="30.6640625" customWidth="1"/>
    <col min="2" max="5" width="20.6640625" customWidth="1"/>
    <col min="6" max="16" width="12.6640625" customWidth="1"/>
  </cols>
  <sheetData>
    <row r="1" spans="1:11" x14ac:dyDescent="0.3">
      <c r="A1" s="1170" t="s">
        <v>35</v>
      </c>
      <c r="B1" s="1170"/>
      <c r="C1" s="1170"/>
      <c r="D1" s="1170"/>
      <c r="E1" s="1170"/>
      <c r="F1" s="1170"/>
      <c r="G1" s="1170"/>
      <c r="H1" s="1170"/>
      <c r="I1" s="1170"/>
      <c r="J1" s="1170"/>
      <c r="K1" s="1170"/>
    </row>
    <row r="2" spans="1:11" x14ac:dyDescent="0.3">
      <c r="A2" s="1170"/>
      <c r="B2" s="1170"/>
      <c r="C2" s="1170"/>
      <c r="D2" s="1170"/>
      <c r="E2" s="1170"/>
      <c r="F2" s="1170"/>
      <c r="G2" s="1170"/>
      <c r="H2" s="1170"/>
      <c r="I2" s="1170"/>
      <c r="J2" s="1170"/>
      <c r="K2" s="1170"/>
    </row>
    <row r="5" spans="1:11" ht="15" customHeight="1" x14ac:dyDescent="0.3">
      <c r="A5" s="1162" t="s">
        <v>11</v>
      </c>
      <c r="B5" s="1162"/>
      <c r="C5" s="1162"/>
      <c r="D5" s="1162"/>
      <c r="E5" s="1162"/>
      <c r="F5" s="7"/>
      <c r="G5" s="1171" t="s">
        <v>36</v>
      </c>
      <c r="H5" s="1171"/>
      <c r="I5" s="1171"/>
      <c r="J5" s="1171"/>
      <c r="K5" s="1171"/>
    </row>
    <row r="6" spans="1:11" ht="15" customHeight="1" x14ac:dyDescent="0.3">
      <c r="A6" s="1168" t="s">
        <v>18</v>
      </c>
      <c r="B6" s="1168"/>
      <c r="C6" s="1168"/>
      <c r="D6" s="1168"/>
      <c r="E6" s="1168"/>
      <c r="F6" s="7"/>
      <c r="G6" s="1171"/>
      <c r="H6" s="1171"/>
      <c r="I6" s="1171"/>
      <c r="J6" s="1171"/>
      <c r="K6" s="1171"/>
    </row>
    <row r="7" spans="1:11" x14ac:dyDescent="0.3">
      <c r="A7" s="16" t="s">
        <v>2</v>
      </c>
      <c r="B7" s="19" t="s">
        <v>1</v>
      </c>
      <c r="C7" s="19" t="s">
        <v>16</v>
      </c>
      <c r="D7" s="19" t="s">
        <v>17</v>
      </c>
      <c r="E7" s="19" t="s">
        <v>19</v>
      </c>
      <c r="G7" s="14"/>
      <c r="H7" s="14"/>
      <c r="I7" s="14"/>
      <c r="J7" s="14"/>
      <c r="K7" s="14"/>
    </row>
    <row r="8" spans="1:11" x14ac:dyDescent="0.3">
      <c r="A8" s="17" t="s">
        <v>12</v>
      </c>
      <c r="B8" s="52" t="e">
        <f>#REF!</f>
        <v>#REF!</v>
      </c>
      <c r="C8" s="1165" t="e">
        <f>B8*B12*B11</f>
        <v>#REF!</v>
      </c>
      <c r="D8" s="1165" t="e">
        <f>B9*B10*B12</f>
        <v>#REF!</v>
      </c>
      <c r="E8" s="1161" t="e">
        <f>SUM(C8:D12)</f>
        <v>#REF!</v>
      </c>
      <c r="G8" s="21"/>
      <c r="H8" s="21"/>
      <c r="I8" s="713" t="s">
        <v>54</v>
      </c>
      <c r="J8" s="713"/>
      <c r="K8" s="713"/>
    </row>
    <row r="9" spans="1:11" x14ac:dyDescent="0.3">
      <c r="A9" s="17" t="s">
        <v>8</v>
      </c>
      <c r="B9" s="52" t="e">
        <f>#REF!</f>
        <v>#REF!</v>
      </c>
      <c r="C9" s="1165"/>
      <c r="D9" s="1165"/>
      <c r="E9" s="1161"/>
      <c r="G9" s="22"/>
      <c r="H9" s="40"/>
      <c r="I9" s="798" t="s">
        <v>55</v>
      </c>
      <c r="J9" s="799"/>
      <c r="K9" s="800"/>
    </row>
    <row r="10" spans="1:11" x14ac:dyDescent="0.3">
      <c r="A10" s="17" t="s">
        <v>13</v>
      </c>
      <c r="B10" s="15">
        <v>3</v>
      </c>
      <c r="C10" s="1165"/>
      <c r="D10" s="1165"/>
      <c r="E10" s="1161"/>
      <c r="G10" s="23"/>
      <c r="H10" s="41"/>
      <c r="I10" s="798" t="s">
        <v>56</v>
      </c>
      <c r="J10" s="799"/>
      <c r="K10" s="800"/>
    </row>
    <row r="11" spans="1:11" x14ac:dyDescent="0.3">
      <c r="A11" s="17" t="s">
        <v>14</v>
      </c>
      <c r="B11" s="15">
        <v>2</v>
      </c>
      <c r="C11" s="1165"/>
      <c r="D11" s="1165"/>
      <c r="E11" s="1161"/>
    </row>
    <row r="12" spans="1:11" x14ac:dyDescent="0.3">
      <c r="A12" s="18" t="s">
        <v>15</v>
      </c>
      <c r="B12" s="15">
        <v>3.0000000000000001E-3</v>
      </c>
      <c r="C12" s="1165"/>
      <c r="D12" s="1165"/>
      <c r="E12" s="1161"/>
    </row>
    <row r="13" spans="1:11" x14ac:dyDescent="0.3">
      <c r="A13" s="1168" t="s">
        <v>20</v>
      </c>
      <c r="B13" s="1168"/>
      <c r="C13" s="1168"/>
      <c r="D13" s="1168"/>
      <c r="E13" s="1168"/>
    </row>
    <row r="14" spans="1:11" x14ac:dyDescent="0.3">
      <c r="A14" s="16" t="s">
        <v>2</v>
      </c>
      <c r="B14" s="19" t="s">
        <v>1</v>
      </c>
      <c r="C14" s="19" t="s">
        <v>16</v>
      </c>
      <c r="D14" s="19" t="s">
        <v>17</v>
      </c>
      <c r="E14" s="19" t="s">
        <v>19</v>
      </c>
    </row>
    <row r="15" spans="1:11" x14ac:dyDescent="0.3">
      <c r="A15" s="17" t="s">
        <v>12</v>
      </c>
      <c r="B15" s="13" t="e">
        <f>#REF!</f>
        <v>#REF!</v>
      </c>
      <c r="C15" s="1165" t="e">
        <f>B15*B19*B18</f>
        <v>#REF!</v>
      </c>
      <c r="D15" s="1165" t="e">
        <f>B16*B17*B19</f>
        <v>#REF!</v>
      </c>
      <c r="E15" s="1161" t="e">
        <f>SUM(C15:D19)</f>
        <v>#REF!</v>
      </c>
    </row>
    <row r="16" spans="1:11" x14ac:dyDescent="0.3">
      <c r="A16" s="17" t="s">
        <v>8</v>
      </c>
      <c r="B16" s="13" t="e">
        <f>#REF!</f>
        <v>#REF!</v>
      </c>
      <c r="C16" s="1165"/>
      <c r="D16" s="1165"/>
      <c r="E16" s="1161"/>
    </row>
    <row r="17" spans="1:5" x14ac:dyDescent="0.3">
      <c r="A17" s="17" t="s">
        <v>13</v>
      </c>
      <c r="B17" s="15">
        <v>3</v>
      </c>
      <c r="C17" s="1165"/>
      <c r="D17" s="1165"/>
      <c r="E17" s="1161"/>
    </row>
    <row r="18" spans="1:5" x14ac:dyDescent="0.3">
      <c r="A18" s="17" t="s">
        <v>14</v>
      </c>
      <c r="B18" s="15">
        <v>2</v>
      </c>
      <c r="C18" s="1165"/>
      <c r="D18" s="1165"/>
      <c r="E18" s="1161"/>
    </row>
    <row r="19" spans="1:5" x14ac:dyDescent="0.3">
      <c r="A19" s="18" t="s">
        <v>15</v>
      </c>
      <c r="B19" s="15">
        <v>3.0000000000000001E-3</v>
      </c>
      <c r="C19" s="1165"/>
      <c r="D19" s="1165"/>
      <c r="E19" s="1161"/>
    </row>
    <row r="20" spans="1:5" x14ac:dyDescent="0.3">
      <c r="A20" s="1169"/>
      <c r="B20" s="1169"/>
      <c r="C20" s="1169"/>
      <c r="D20" s="1169"/>
      <c r="E20" s="1169"/>
    </row>
    <row r="21" spans="1:5" x14ac:dyDescent="0.3">
      <c r="A21" s="1168" t="s">
        <v>21</v>
      </c>
      <c r="B21" s="1168"/>
      <c r="C21" s="1168"/>
      <c r="D21" s="1168"/>
      <c r="E21" s="1168"/>
    </row>
    <row r="22" spans="1:5" x14ac:dyDescent="0.3">
      <c r="A22" s="16" t="s">
        <v>2</v>
      </c>
      <c r="B22" s="19" t="s">
        <v>1</v>
      </c>
      <c r="C22" s="19" t="s">
        <v>16</v>
      </c>
      <c r="D22" s="19" t="s">
        <v>17</v>
      </c>
      <c r="E22" s="19" t="s">
        <v>19</v>
      </c>
    </row>
    <row r="23" spans="1:5" x14ac:dyDescent="0.3">
      <c r="A23" s="17" t="s">
        <v>12</v>
      </c>
      <c r="B23" s="52" t="e">
        <f>#REF!</f>
        <v>#REF!</v>
      </c>
      <c r="C23" s="1165" t="e">
        <f>B23*B27*B26</f>
        <v>#REF!</v>
      </c>
      <c r="D23" s="1165" t="e">
        <f>B24*B25*B27</f>
        <v>#REF!</v>
      </c>
      <c r="E23" s="1161" t="e">
        <f>SUM(C23:D27)</f>
        <v>#REF!</v>
      </c>
    </row>
    <row r="24" spans="1:5" x14ac:dyDescent="0.3">
      <c r="A24" s="17" t="s">
        <v>8</v>
      </c>
      <c r="B24" s="52" t="e">
        <f>#REF!</f>
        <v>#REF!</v>
      </c>
      <c r="C24" s="1165"/>
      <c r="D24" s="1165"/>
      <c r="E24" s="1161"/>
    </row>
    <row r="25" spans="1:5" x14ac:dyDescent="0.3">
      <c r="A25" s="17" t="s">
        <v>13</v>
      </c>
      <c r="B25" s="15">
        <v>2</v>
      </c>
      <c r="C25" s="1165"/>
      <c r="D25" s="1165"/>
      <c r="E25" s="1161"/>
    </row>
    <row r="26" spans="1:5" x14ac:dyDescent="0.3">
      <c r="A26" s="17" t="s">
        <v>14</v>
      </c>
      <c r="B26" s="15">
        <v>2</v>
      </c>
      <c r="C26" s="1165"/>
      <c r="D26" s="1165"/>
      <c r="E26" s="1161"/>
    </row>
    <row r="27" spans="1:5" x14ac:dyDescent="0.3">
      <c r="A27" s="18" t="s">
        <v>15</v>
      </c>
      <c r="B27" s="15">
        <v>1E-3</v>
      </c>
      <c r="C27" s="1165"/>
      <c r="D27" s="1165"/>
      <c r="E27" s="1161"/>
    </row>
    <row r="28" spans="1:5" x14ac:dyDescent="0.3">
      <c r="A28" s="1168" t="s">
        <v>22</v>
      </c>
      <c r="B28" s="1168"/>
      <c r="C28" s="1168"/>
      <c r="D28" s="1168"/>
      <c r="E28" s="1168"/>
    </row>
    <row r="29" spans="1:5" x14ac:dyDescent="0.3">
      <c r="A29" s="16" t="s">
        <v>2</v>
      </c>
      <c r="B29" s="19" t="s">
        <v>1</v>
      </c>
      <c r="C29" s="19" t="s">
        <v>16</v>
      </c>
      <c r="D29" s="19" t="s">
        <v>17</v>
      </c>
      <c r="E29" s="19" t="s">
        <v>19</v>
      </c>
    </row>
    <row r="30" spans="1:5" x14ac:dyDescent="0.3">
      <c r="A30" s="17" t="s">
        <v>12</v>
      </c>
      <c r="B30" s="52" t="e">
        <f>#REF!</f>
        <v>#REF!</v>
      </c>
      <c r="C30" s="1165" t="e">
        <f>B30*B34*B33</f>
        <v>#REF!</v>
      </c>
      <c r="D30" s="1165" t="e">
        <f>B31*B32*B34</f>
        <v>#REF!</v>
      </c>
      <c r="E30" s="1161" t="e">
        <f>SUM(C30:D34)</f>
        <v>#REF!</v>
      </c>
    </row>
    <row r="31" spans="1:5" x14ac:dyDescent="0.3">
      <c r="A31" s="17" t="s">
        <v>8</v>
      </c>
      <c r="B31" s="52" t="e">
        <f>#REF!</f>
        <v>#REF!</v>
      </c>
      <c r="C31" s="1165"/>
      <c r="D31" s="1165"/>
      <c r="E31" s="1161"/>
    </row>
    <row r="32" spans="1:5" x14ac:dyDescent="0.3">
      <c r="A32" s="17" t="s">
        <v>13</v>
      </c>
      <c r="B32" s="15">
        <v>2</v>
      </c>
      <c r="C32" s="1165"/>
      <c r="D32" s="1165"/>
      <c r="E32" s="1161"/>
    </row>
    <row r="33" spans="1:14" x14ac:dyDescent="0.3">
      <c r="A33" s="17" t="s">
        <v>14</v>
      </c>
      <c r="B33" s="15">
        <v>2</v>
      </c>
      <c r="C33" s="1165"/>
      <c r="D33" s="1165"/>
      <c r="E33" s="1161"/>
    </row>
    <row r="34" spans="1:14" x14ac:dyDescent="0.3">
      <c r="A34" s="18" t="s">
        <v>15</v>
      </c>
      <c r="B34" s="15">
        <v>3.0000000000000001E-3</v>
      </c>
      <c r="C34" s="1165"/>
      <c r="D34" s="1165"/>
      <c r="E34" s="1161"/>
    </row>
    <row r="36" spans="1:14" x14ac:dyDescent="0.3">
      <c r="A36" s="19" t="s">
        <v>27</v>
      </c>
      <c r="B36" s="20"/>
      <c r="C36" s="16" t="s">
        <v>30</v>
      </c>
      <c r="D36" s="16" t="s">
        <v>31</v>
      </c>
      <c r="E36" s="16" t="s">
        <v>29</v>
      </c>
      <c r="F36" s="688" t="s">
        <v>33</v>
      </c>
      <c r="G36" s="688"/>
      <c r="H36" s="688"/>
      <c r="I36" s="688"/>
      <c r="J36" s="1164" t="s">
        <v>34</v>
      </c>
      <c r="K36" s="1164"/>
      <c r="L36" s="16" t="s">
        <v>32</v>
      </c>
    </row>
    <row r="37" spans="1:14" x14ac:dyDescent="0.3">
      <c r="A37" s="13" t="s">
        <v>23</v>
      </c>
      <c r="B37" s="304" t="e">
        <f>#REF!</f>
        <v>#REF!</v>
      </c>
      <c r="C37" s="1165" t="e">
        <f>SUM(B37*E8)+(B38*E15)+(B39*E23)+(B40*E30)</f>
        <v>#REF!</v>
      </c>
      <c r="D37" s="1172" t="e">
        <f>#REF!</f>
        <v>#REF!</v>
      </c>
      <c r="E37" s="1167" t="e">
        <f>#REF!</f>
        <v>#REF!</v>
      </c>
      <c r="F37" s="1179" t="s">
        <v>108</v>
      </c>
      <c r="G37" s="1180"/>
      <c r="H37" s="1179" t="s">
        <v>109</v>
      </c>
      <c r="I37" s="1180"/>
      <c r="J37" s="1161" t="e">
        <f>(F38/C37)/3600</f>
        <v>#REF!</v>
      </c>
      <c r="K37" s="1161"/>
      <c r="L37" s="14" t="e">
        <f>POWER(D37,E37)</f>
        <v>#REF!</v>
      </c>
      <c r="N37" t="e">
        <f>C37</f>
        <v>#REF!</v>
      </c>
    </row>
    <row r="38" spans="1:14" x14ac:dyDescent="0.3">
      <c r="A38" s="13" t="s">
        <v>24</v>
      </c>
      <c r="B38" s="304" t="e">
        <f>#REF!</f>
        <v>#REF!</v>
      </c>
      <c r="C38" s="1165"/>
      <c r="D38" s="1166"/>
      <c r="E38" s="1167"/>
      <c r="F38" s="1173" t="e">
        <f>(0.827*C37*L37)*3600</f>
        <v>#REF!</v>
      </c>
      <c r="G38" s="1174"/>
      <c r="H38" s="1173" t="e">
        <f>F38/3.6</f>
        <v>#REF!</v>
      </c>
      <c r="I38" s="1174"/>
      <c r="J38" s="1161"/>
      <c r="K38" s="1161"/>
      <c r="L38" s="14"/>
    </row>
    <row r="39" spans="1:14" x14ac:dyDescent="0.3">
      <c r="A39" s="13" t="s">
        <v>25</v>
      </c>
      <c r="B39" s="304" t="e">
        <f>#REF!</f>
        <v>#REF!</v>
      </c>
      <c r="C39" s="1165"/>
      <c r="D39" s="1166"/>
      <c r="E39" s="1167"/>
      <c r="F39" s="1175"/>
      <c r="G39" s="1176"/>
      <c r="H39" s="1175"/>
      <c r="I39" s="1176"/>
      <c r="J39" s="1161"/>
      <c r="K39" s="1161"/>
      <c r="L39" s="14"/>
    </row>
    <row r="40" spans="1:14" x14ac:dyDescent="0.3">
      <c r="A40" s="13" t="s">
        <v>26</v>
      </c>
      <c r="B40" s="304" t="e">
        <f>#REF!</f>
        <v>#REF!</v>
      </c>
      <c r="C40" s="1165"/>
      <c r="D40" s="1166"/>
      <c r="E40" s="1167"/>
      <c r="F40" s="1177"/>
      <c r="G40" s="1178"/>
      <c r="H40" s="1177"/>
      <c r="I40" s="1178"/>
      <c r="J40" s="1161"/>
      <c r="K40" s="1161"/>
      <c r="L40" s="14"/>
    </row>
    <row r="41" spans="1:14" x14ac:dyDescent="0.3">
      <c r="A41" s="1163"/>
      <c r="B41" s="1163"/>
      <c r="C41" s="1163"/>
      <c r="D41" s="1163"/>
      <c r="E41" s="1163"/>
      <c r="F41" s="1163"/>
      <c r="G41" s="1163"/>
      <c r="H41" s="1163"/>
      <c r="I41" s="1163"/>
      <c r="J41" s="1163"/>
      <c r="K41" s="1163"/>
      <c r="L41" s="1163"/>
    </row>
    <row r="42" spans="1:14" x14ac:dyDescent="0.3">
      <c r="A42" s="19" t="s">
        <v>28</v>
      </c>
      <c r="B42" s="20"/>
      <c r="C42" s="16" t="s">
        <v>38</v>
      </c>
      <c r="D42" s="16" t="s">
        <v>31</v>
      </c>
      <c r="E42" s="16" t="s">
        <v>29</v>
      </c>
      <c r="F42" s="688" t="s">
        <v>33</v>
      </c>
      <c r="G42" s="688"/>
      <c r="H42" s="688"/>
      <c r="I42" s="688"/>
      <c r="J42" s="1164" t="s">
        <v>34</v>
      </c>
      <c r="K42" s="1164"/>
      <c r="L42" s="16" t="s">
        <v>32</v>
      </c>
    </row>
    <row r="43" spans="1:14" x14ac:dyDescent="0.3">
      <c r="A43" s="13" t="s">
        <v>23</v>
      </c>
      <c r="B43" s="304" t="e">
        <f>#REF!</f>
        <v>#REF!</v>
      </c>
      <c r="C43" s="1165" t="e">
        <f>SUM(E8*B43)+(E15*B44)+(E23*B45)+(E30*B46)</f>
        <v>#REF!</v>
      </c>
      <c r="D43" s="1166">
        <v>25</v>
      </c>
      <c r="E43" s="1167">
        <v>0.5</v>
      </c>
      <c r="F43" s="1179" t="s">
        <v>108</v>
      </c>
      <c r="G43" s="1180"/>
      <c r="H43" s="1179" t="s">
        <v>109</v>
      </c>
      <c r="I43" s="1180"/>
      <c r="J43" s="1161" t="e">
        <f>(F44/C43)/3600</f>
        <v>#REF!</v>
      </c>
      <c r="K43" s="1161"/>
      <c r="L43" s="14">
        <f>POWER(D43,E43)</f>
        <v>5</v>
      </c>
      <c r="N43" t="e">
        <f>C43</f>
        <v>#REF!</v>
      </c>
    </row>
    <row r="44" spans="1:14" x14ac:dyDescent="0.3">
      <c r="A44" s="13" t="s">
        <v>24</v>
      </c>
      <c r="B44" s="304" t="e">
        <f>#REF!</f>
        <v>#REF!</v>
      </c>
      <c r="C44" s="1165"/>
      <c r="D44" s="1166"/>
      <c r="E44" s="1167"/>
      <c r="F44" s="1173" t="e">
        <f>(0.827*C43*L43)*3600</f>
        <v>#REF!</v>
      </c>
      <c r="G44" s="1174"/>
      <c r="H44" s="1173" t="e">
        <f>F44/3.6</f>
        <v>#REF!</v>
      </c>
      <c r="I44" s="1174"/>
      <c r="J44" s="1161"/>
      <c r="K44" s="1161"/>
      <c r="L44" s="14"/>
    </row>
    <row r="45" spans="1:14" x14ac:dyDescent="0.3">
      <c r="A45" s="13" t="s">
        <v>25</v>
      </c>
      <c r="B45" s="304" t="e">
        <f>#REF!</f>
        <v>#REF!</v>
      </c>
      <c r="C45" s="1165"/>
      <c r="D45" s="1166"/>
      <c r="E45" s="1167"/>
      <c r="F45" s="1175"/>
      <c r="G45" s="1176"/>
      <c r="H45" s="1175"/>
      <c r="I45" s="1176"/>
      <c r="J45" s="1161"/>
      <c r="K45" s="1161"/>
      <c r="L45" s="14"/>
    </row>
    <row r="46" spans="1:14" x14ac:dyDescent="0.3">
      <c r="A46" s="13" t="s">
        <v>26</v>
      </c>
      <c r="B46" s="304" t="e">
        <f>#REF!</f>
        <v>#REF!</v>
      </c>
      <c r="C46" s="1165"/>
      <c r="D46" s="1166"/>
      <c r="E46" s="1167"/>
      <c r="F46" s="1177"/>
      <c r="G46" s="1178"/>
      <c r="H46" s="1177"/>
      <c r="I46" s="1178"/>
      <c r="J46" s="1161"/>
      <c r="K46" s="1161"/>
      <c r="L46" s="14"/>
    </row>
    <row r="47" spans="1:14" x14ac:dyDescent="0.3">
      <c r="A47" s="19" t="s">
        <v>215</v>
      </c>
      <c r="B47" s="20"/>
      <c r="C47" s="16" t="s">
        <v>38</v>
      </c>
      <c r="D47" s="16" t="s">
        <v>31</v>
      </c>
      <c r="E47" s="16" t="s">
        <v>29</v>
      </c>
      <c r="F47" s="688" t="s">
        <v>33</v>
      </c>
      <c r="G47" s="688"/>
      <c r="H47" s="688"/>
      <c r="I47" s="688"/>
      <c r="J47" s="1164" t="s">
        <v>34</v>
      </c>
      <c r="K47" s="1164"/>
      <c r="L47" s="16" t="s">
        <v>32</v>
      </c>
    </row>
    <row r="48" spans="1:14" x14ac:dyDescent="0.3">
      <c r="A48" s="13" t="s">
        <v>23</v>
      </c>
      <c r="B48" s="304" t="e">
        <f>#REF!</f>
        <v>#REF!</v>
      </c>
      <c r="C48" s="1165" t="e">
        <f>SUM(E8*B48)+(E15*B49)+(E23*B50)+(E30*B51)</f>
        <v>#REF!</v>
      </c>
      <c r="D48" s="1166">
        <v>25</v>
      </c>
      <c r="E48" s="1167">
        <v>0.5</v>
      </c>
      <c r="F48" s="1179" t="s">
        <v>108</v>
      </c>
      <c r="G48" s="1180"/>
      <c r="H48" s="1179" t="s">
        <v>109</v>
      </c>
      <c r="I48" s="1180"/>
      <c r="J48" s="1161" t="e">
        <f>(F49/C48)/3600</f>
        <v>#REF!</v>
      </c>
      <c r="K48" s="1161"/>
      <c r="L48" s="14">
        <f>POWER(D48,E48)</f>
        <v>5</v>
      </c>
      <c r="N48" t="e">
        <f>C48</f>
        <v>#REF!</v>
      </c>
    </row>
    <row r="49" spans="1:12" x14ac:dyDescent="0.3">
      <c r="A49" s="13" t="s">
        <v>24</v>
      </c>
      <c r="B49" s="304" t="e">
        <f>#REF!</f>
        <v>#REF!</v>
      </c>
      <c r="C49" s="1165"/>
      <c r="D49" s="1166"/>
      <c r="E49" s="1167"/>
      <c r="F49" s="1173" t="e">
        <f>(0.827*C48*L48)*3600</f>
        <v>#REF!</v>
      </c>
      <c r="G49" s="1174"/>
      <c r="H49" s="1173" t="e">
        <f>F49/3.6</f>
        <v>#REF!</v>
      </c>
      <c r="I49" s="1174"/>
      <c r="J49" s="1161"/>
      <c r="K49" s="1161"/>
      <c r="L49" s="14"/>
    </row>
    <row r="50" spans="1:12" x14ac:dyDescent="0.3">
      <c r="A50" s="13" t="s">
        <v>25</v>
      </c>
      <c r="B50" s="304" t="e">
        <f>#REF!</f>
        <v>#REF!</v>
      </c>
      <c r="C50" s="1165"/>
      <c r="D50" s="1166"/>
      <c r="E50" s="1167"/>
      <c r="F50" s="1175"/>
      <c r="G50" s="1176"/>
      <c r="H50" s="1175"/>
      <c r="I50" s="1176"/>
      <c r="J50" s="1161"/>
      <c r="K50" s="1161"/>
      <c r="L50" s="14"/>
    </row>
    <row r="51" spans="1:12" x14ac:dyDescent="0.3">
      <c r="A51" s="13" t="s">
        <v>26</v>
      </c>
      <c r="B51" s="304" t="e">
        <f>#REF!</f>
        <v>#REF!</v>
      </c>
      <c r="C51" s="1165"/>
      <c r="D51" s="1166"/>
      <c r="E51" s="1167"/>
      <c r="F51" s="1177"/>
      <c r="G51" s="1178"/>
      <c r="H51" s="1177"/>
      <c r="I51" s="1178"/>
      <c r="J51" s="1161"/>
      <c r="K51" s="1161"/>
      <c r="L51" s="14"/>
    </row>
  </sheetData>
  <sheetProtection selectLockedCells="1"/>
  <mergeCells count="54">
    <mergeCell ref="F47:I47"/>
    <mergeCell ref="J47:K47"/>
    <mergeCell ref="C48:C51"/>
    <mergeCell ref="D48:D51"/>
    <mergeCell ref="E48:E51"/>
    <mergeCell ref="F48:G48"/>
    <mergeCell ref="H48:I48"/>
    <mergeCell ref="J48:K51"/>
    <mergeCell ref="F49:G51"/>
    <mergeCell ref="H49:I51"/>
    <mergeCell ref="H44:I46"/>
    <mergeCell ref="F38:G40"/>
    <mergeCell ref="F37:G37"/>
    <mergeCell ref="H37:I37"/>
    <mergeCell ref="H38:I40"/>
    <mergeCell ref="F43:G43"/>
    <mergeCell ref="H43:I43"/>
    <mergeCell ref="E15:E19"/>
    <mergeCell ref="C8:C12"/>
    <mergeCell ref="D8:D12"/>
    <mergeCell ref="E8:E12"/>
    <mergeCell ref="F44:G46"/>
    <mergeCell ref="A1:K2"/>
    <mergeCell ref="G5:K6"/>
    <mergeCell ref="I8:K8"/>
    <mergeCell ref="J36:K36"/>
    <mergeCell ref="J37:K40"/>
    <mergeCell ref="C37:C40"/>
    <mergeCell ref="D37:D40"/>
    <mergeCell ref="E37:E40"/>
    <mergeCell ref="F36:I36"/>
    <mergeCell ref="A28:E28"/>
    <mergeCell ref="C30:C34"/>
    <mergeCell ref="D30:D34"/>
    <mergeCell ref="E30:E34"/>
    <mergeCell ref="A6:E6"/>
    <mergeCell ref="A13:E13"/>
    <mergeCell ref="I9:K9"/>
    <mergeCell ref="I10:K10"/>
    <mergeCell ref="J43:K46"/>
    <mergeCell ref="A5:E5"/>
    <mergeCell ref="A41:L41"/>
    <mergeCell ref="F42:I42"/>
    <mergeCell ref="J42:K42"/>
    <mergeCell ref="C43:C46"/>
    <mergeCell ref="D43:D46"/>
    <mergeCell ref="E43:E46"/>
    <mergeCell ref="A21:E21"/>
    <mergeCell ref="C23:C27"/>
    <mergeCell ref="D23:D27"/>
    <mergeCell ref="E23:E27"/>
    <mergeCell ref="A20:E20"/>
    <mergeCell ref="C15:C19"/>
    <mergeCell ref="D15:D19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12F7A-B921-4626-B7A8-8C02B70EF770}">
  <sheetPr codeName="Planilha13">
    <tabColor theme="0" tint="-0.499984740745262"/>
  </sheetPr>
  <dimension ref="A1:G107"/>
  <sheetViews>
    <sheetView workbookViewId="0">
      <selection activeCell="B82" sqref="B82"/>
    </sheetView>
  </sheetViews>
  <sheetFormatPr defaultRowHeight="14.4" x14ac:dyDescent="0.3"/>
  <cols>
    <col min="1" max="1" width="30.6640625" customWidth="1"/>
    <col min="2" max="2" width="24.44140625" customWidth="1"/>
    <col min="3" max="3" width="22.88671875" customWidth="1"/>
    <col min="4" max="4" width="23.5546875" customWidth="1"/>
    <col min="5" max="5" width="20.6640625" customWidth="1"/>
    <col min="6" max="6" width="26" customWidth="1"/>
    <col min="7" max="7" width="25" customWidth="1"/>
    <col min="8" max="10" width="12.6640625" customWidth="1"/>
  </cols>
  <sheetData>
    <row r="1" spans="1:7" x14ac:dyDescent="0.3">
      <c r="A1" s="1170" t="s">
        <v>228</v>
      </c>
      <c r="B1" s="1170"/>
      <c r="C1" s="1170"/>
      <c r="D1" s="1170"/>
      <c r="E1" s="1170"/>
      <c r="F1" s="1170"/>
      <c r="G1" s="1170"/>
    </row>
    <row r="2" spans="1:7" x14ac:dyDescent="0.3">
      <c r="A2" s="1170"/>
      <c r="B2" s="1170"/>
      <c r="C2" s="1170"/>
      <c r="D2" s="1170"/>
      <c r="E2" s="1170"/>
      <c r="F2" s="1170"/>
      <c r="G2" s="1170"/>
    </row>
    <row r="3" spans="1:7" hidden="1" x14ac:dyDescent="0.3"/>
    <row r="4" spans="1:7" hidden="1" x14ac:dyDescent="0.3"/>
    <row r="5" spans="1:7" hidden="1" x14ac:dyDescent="0.3">
      <c r="A5" s="1162" t="s">
        <v>11</v>
      </c>
      <c r="B5" s="1162"/>
      <c r="C5" s="1162"/>
      <c r="D5" s="1162"/>
      <c r="E5" s="1162"/>
      <c r="F5" s="7"/>
      <c r="G5" s="1171"/>
    </row>
    <row r="6" spans="1:7" hidden="1" x14ac:dyDescent="0.3">
      <c r="A6" s="1168" t="s">
        <v>18</v>
      </c>
      <c r="B6" s="1168"/>
      <c r="C6" s="1168"/>
      <c r="D6" s="1168"/>
      <c r="E6" s="1168"/>
      <c r="F6" s="7"/>
      <c r="G6" s="1171"/>
    </row>
    <row r="7" spans="1:7" hidden="1" x14ac:dyDescent="0.3">
      <c r="A7" s="16" t="s">
        <v>2</v>
      </c>
      <c r="B7" s="19" t="s">
        <v>1</v>
      </c>
      <c r="C7" s="19" t="s">
        <v>16</v>
      </c>
      <c r="D7" s="19" t="s">
        <v>17</v>
      </c>
      <c r="E7" s="19" t="s">
        <v>19</v>
      </c>
      <c r="G7" s="14"/>
    </row>
    <row r="8" spans="1:7" hidden="1" x14ac:dyDescent="0.3">
      <c r="A8" s="17" t="s">
        <v>12</v>
      </c>
      <c r="B8" s="13">
        <v>2.5</v>
      </c>
      <c r="C8" s="1165">
        <f>B8*B12*B11</f>
        <v>2.5000000000000001E-2</v>
      </c>
      <c r="D8" s="1165">
        <f>B9*B10*B12</f>
        <v>3.7499999999999999E-2</v>
      </c>
      <c r="E8" s="1161">
        <f>SUM(C8:D12)</f>
        <v>6.25E-2</v>
      </c>
      <c r="G8" s="13" t="s">
        <v>37</v>
      </c>
    </row>
    <row r="9" spans="1:7" hidden="1" x14ac:dyDescent="0.3">
      <c r="A9" s="17" t="s">
        <v>8</v>
      </c>
      <c r="B9" s="13">
        <v>2.5</v>
      </c>
      <c r="C9" s="1165"/>
      <c r="D9" s="1165"/>
      <c r="E9" s="1161"/>
      <c r="G9" s="14"/>
    </row>
    <row r="10" spans="1:7" hidden="1" x14ac:dyDescent="0.3">
      <c r="A10" s="17" t="s">
        <v>13</v>
      </c>
      <c r="B10" s="15">
        <v>3</v>
      </c>
      <c r="C10" s="1165"/>
      <c r="D10" s="1165"/>
      <c r="E10" s="1161"/>
      <c r="G10" s="14"/>
    </row>
    <row r="11" spans="1:7" hidden="1" x14ac:dyDescent="0.3">
      <c r="A11" s="17" t="s">
        <v>14</v>
      </c>
      <c r="B11" s="15">
        <v>2</v>
      </c>
      <c r="C11" s="1165"/>
      <c r="D11" s="1165"/>
      <c r="E11" s="1161"/>
    </row>
    <row r="12" spans="1:7" hidden="1" x14ac:dyDescent="0.3">
      <c r="A12" s="18" t="s">
        <v>15</v>
      </c>
      <c r="B12" s="15">
        <v>5.0000000000000001E-3</v>
      </c>
      <c r="C12" s="1165"/>
      <c r="D12" s="1165"/>
      <c r="E12" s="1161"/>
    </row>
    <row r="13" spans="1:7" hidden="1" x14ac:dyDescent="0.3">
      <c r="A13" s="1168" t="s">
        <v>20</v>
      </c>
      <c r="B13" s="1168"/>
      <c r="C13" s="1168"/>
      <c r="D13" s="1168"/>
      <c r="E13" s="1168"/>
    </row>
    <row r="14" spans="1:7" hidden="1" x14ac:dyDescent="0.3">
      <c r="A14" s="16" t="s">
        <v>2</v>
      </c>
      <c r="B14" s="19" t="s">
        <v>1</v>
      </c>
      <c r="C14" s="19" t="s">
        <v>16</v>
      </c>
      <c r="D14" s="19" t="s">
        <v>17</v>
      </c>
      <c r="E14" s="19" t="s">
        <v>19</v>
      </c>
    </row>
    <row r="15" spans="1:7" hidden="1" x14ac:dyDescent="0.3">
      <c r="A15" s="17" t="s">
        <v>12</v>
      </c>
      <c r="B15" s="13">
        <v>3.5</v>
      </c>
      <c r="C15" s="1165">
        <f>B15*B19*B18</f>
        <v>3.5000000000000003E-2</v>
      </c>
      <c r="D15" s="1165">
        <f>B16*B17*B19</f>
        <v>4.4999999999999998E-2</v>
      </c>
      <c r="E15" s="1161">
        <f>SUM(C15:D19)</f>
        <v>0.08</v>
      </c>
    </row>
    <row r="16" spans="1:7" hidden="1" x14ac:dyDescent="0.3">
      <c r="A16" s="17" t="s">
        <v>8</v>
      </c>
      <c r="B16" s="13">
        <v>3</v>
      </c>
      <c r="C16" s="1165"/>
      <c r="D16" s="1165"/>
      <c r="E16" s="1161"/>
    </row>
    <row r="17" spans="1:5" hidden="1" x14ac:dyDescent="0.3">
      <c r="A17" s="17" t="s">
        <v>13</v>
      </c>
      <c r="B17" s="15">
        <v>3</v>
      </c>
      <c r="C17" s="1165"/>
      <c r="D17" s="1165"/>
      <c r="E17" s="1161"/>
    </row>
    <row r="18" spans="1:5" hidden="1" x14ac:dyDescent="0.3">
      <c r="A18" s="17" t="s">
        <v>14</v>
      </c>
      <c r="B18" s="15">
        <v>2</v>
      </c>
      <c r="C18" s="1165"/>
      <c r="D18" s="1165"/>
      <c r="E18" s="1161"/>
    </row>
    <row r="19" spans="1:5" hidden="1" x14ac:dyDescent="0.3">
      <c r="A19" s="18" t="s">
        <v>15</v>
      </c>
      <c r="B19" s="15">
        <v>5.0000000000000001E-3</v>
      </c>
      <c r="C19" s="1165"/>
      <c r="D19" s="1165"/>
      <c r="E19" s="1161"/>
    </row>
    <row r="20" spans="1:5" hidden="1" x14ac:dyDescent="0.3">
      <c r="A20" s="1169"/>
      <c r="B20" s="1169"/>
      <c r="C20" s="1169"/>
      <c r="D20" s="1169"/>
      <c r="E20" s="1169"/>
    </row>
    <row r="21" spans="1:5" hidden="1" x14ac:dyDescent="0.3">
      <c r="A21" s="1168" t="s">
        <v>21</v>
      </c>
      <c r="B21" s="1168"/>
      <c r="C21" s="1168"/>
      <c r="D21" s="1168"/>
      <c r="E21" s="1168"/>
    </row>
    <row r="22" spans="1:5" hidden="1" x14ac:dyDescent="0.3">
      <c r="A22" s="16" t="s">
        <v>2</v>
      </c>
      <c r="B22" s="19" t="s">
        <v>1</v>
      </c>
      <c r="C22" s="19" t="s">
        <v>16</v>
      </c>
      <c r="D22" s="19" t="s">
        <v>17</v>
      </c>
      <c r="E22" s="19" t="s">
        <v>19</v>
      </c>
    </row>
    <row r="23" spans="1:5" hidden="1" x14ac:dyDescent="0.3">
      <c r="A23" s="17" t="s">
        <v>12</v>
      </c>
      <c r="B23" s="13">
        <v>0.8</v>
      </c>
      <c r="C23" s="1165">
        <f>B23*B27*B26</f>
        <v>8.0000000000000002E-3</v>
      </c>
      <c r="D23" s="1165">
        <f>B24*B25*B27</f>
        <v>2.5000000000000001E-2</v>
      </c>
      <c r="E23" s="1161">
        <f>SUM(C23:D27)</f>
        <v>3.3000000000000002E-2</v>
      </c>
    </row>
    <row r="24" spans="1:5" hidden="1" x14ac:dyDescent="0.3">
      <c r="A24" s="17" t="s">
        <v>8</v>
      </c>
      <c r="B24" s="13">
        <v>2.5</v>
      </c>
      <c r="C24" s="1165"/>
      <c r="D24" s="1165"/>
      <c r="E24" s="1161"/>
    </row>
    <row r="25" spans="1:5" hidden="1" x14ac:dyDescent="0.3">
      <c r="A25" s="17" t="s">
        <v>13</v>
      </c>
      <c r="B25" s="15">
        <v>2</v>
      </c>
      <c r="C25" s="1165"/>
      <c r="D25" s="1165"/>
      <c r="E25" s="1161"/>
    </row>
    <row r="26" spans="1:5" hidden="1" x14ac:dyDescent="0.3">
      <c r="A26" s="17" t="s">
        <v>14</v>
      </c>
      <c r="B26" s="15">
        <v>2</v>
      </c>
      <c r="C26" s="1165"/>
      <c r="D26" s="1165"/>
      <c r="E26" s="1161"/>
    </row>
    <row r="27" spans="1:5" hidden="1" x14ac:dyDescent="0.3">
      <c r="A27" s="18" t="s">
        <v>15</v>
      </c>
      <c r="B27" s="15">
        <v>5.0000000000000001E-3</v>
      </c>
      <c r="C27" s="1165"/>
      <c r="D27" s="1165"/>
      <c r="E27" s="1161"/>
    </row>
    <row r="28" spans="1:5" hidden="1" x14ac:dyDescent="0.3">
      <c r="A28" s="1168" t="s">
        <v>22</v>
      </c>
      <c r="B28" s="1168"/>
      <c r="C28" s="1168"/>
      <c r="D28" s="1168"/>
      <c r="E28" s="1168"/>
    </row>
    <row r="29" spans="1:5" hidden="1" x14ac:dyDescent="0.3">
      <c r="A29" s="16" t="s">
        <v>2</v>
      </c>
      <c r="B29" s="19" t="s">
        <v>1</v>
      </c>
      <c r="C29" s="19" t="s">
        <v>16</v>
      </c>
      <c r="D29" s="19" t="s">
        <v>17</v>
      </c>
      <c r="E29" s="19" t="s">
        <v>19</v>
      </c>
    </row>
    <row r="30" spans="1:5" hidden="1" x14ac:dyDescent="0.3">
      <c r="A30" s="17" t="s">
        <v>12</v>
      </c>
      <c r="B30" s="13">
        <v>1.2</v>
      </c>
      <c r="C30" s="1165">
        <f>B30*B34*B33</f>
        <v>1.2E-2</v>
      </c>
      <c r="D30" s="1165">
        <f>B31*B32*B34</f>
        <v>2.5000000000000001E-2</v>
      </c>
      <c r="E30" s="1161">
        <f>SUM(C30:D34)</f>
        <v>3.7000000000000005E-2</v>
      </c>
    </row>
    <row r="31" spans="1:5" hidden="1" x14ac:dyDescent="0.3">
      <c r="A31" s="17" t="s">
        <v>8</v>
      </c>
      <c r="B31" s="13">
        <v>2.5</v>
      </c>
      <c r="C31" s="1165"/>
      <c r="D31" s="1165"/>
      <c r="E31" s="1161"/>
    </row>
    <row r="32" spans="1:5" hidden="1" x14ac:dyDescent="0.3">
      <c r="A32" s="17" t="s">
        <v>13</v>
      </c>
      <c r="B32" s="15">
        <v>2</v>
      </c>
      <c r="C32" s="1165"/>
      <c r="D32" s="1165"/>
      <c r="E32" s="1161"/>
    </row>
    <row r="33" spans="1:7" hidden="1" x14ac:dyDescent="0.3">
      <c r="A33" s="17" t="s">
        <v>14</v>
      </c>
      <c r="B33" s="15">
        <v>2</v>
      </c>
      <c r="C33" s="1165"/>
      <c r="D33" s="1165"/>
      <c r="E33" s="1161"/>
    </row>
    <row r="34" spans="1:7" hidden="1" x14ac:dyDescent="0.3">
      <c r="A34" s="18" t="s">
        <v>15</v>
      </c>
      <c r="B34" s="15">
        <v>5.0000000000000001E-3</v>
      </c>
      <c r="C34" s="1165"/>
      <c r="D34" s="1165"/>
      <c r="E34" s="1161"/>
    </row>
    <row r="35" spans="1:7" hidden="1" x14ac:dyDescent="0.3"/>
    <row r="36" spans="1:7" hidden="1" x14ac:dyDescent="0.3">
      <c r="A36" s="19" t="s">
        <v>27</v>
      </c>
      <c r="B36" s="20"/>
      <c r="C36" s="16" t="s">
        <v>30</v>
      </c>
      <c r="D36" s="16" t="s">
        <v>31</v>
      </c>
      <c r="E36" s="16" t="s">
        <v>29</v>
      </c>
      <c r="F36" s="688" t="s">
        <v>33</v>
      </c>
      <c r="G36" s="688"/>
    </row>
    <row r="37" spans="1:7" hidden="1" x14ac:dyDescent="0.3">
      <c r="A37" s="13" t="s">
        <v>23</v>
      </c>
      <c r="B37" s="13">
        <v>1</v>
      </c>
      <c r="C37" s="1165">
        <f>SUM(B37*E8)+(B38*E15)+(B39*E23)+(B40*E30)</f>
        <v>9.5500000000000002E-2</v>
      </c>
      <c r="D37" s="930">
        <v>25</v>
      </c>
      <c r="E37" s="1181">
        <v>0.5</v>
      </c>
      <c r="F37" s="1161" t="e">
        <f>(0.827*C37*#REF!)*3600</f>
        <v>#REF!</v>
      </c>
      <c r="G37" s="1161"/>
    </row>
    <row r="38" spans="1:7" hidden="1" x14ac:dyDescent="0.3">
      <c r="A38" s="13" t="s">
        <v>24</v>
      </c>
      <c r="B38" s="13">
        <v>0</v>
      </c>
      <c r="C38" s="1165"/>
      <c r="D38" s="930"/>
      <c r="E38" s="1181"/>
      <c r="F38" s="1161"/>
      <c r="G38" s="1161"/>
    </row>
    <row r="39" spans="1:7" hidden="1" x14ac:dyDescent="0.3">
      <c r="A39" s="13" t="s">
        <v>25</v>
      </c>
      <c r="B39" s="13">
        <v>1</v>
      </c>
      <c r="C39" s="1165"/>
      <c r="D39" s="930"/>
      <c r="E39" s="1181"/>
      <c r="F39" s="1161"/>
      <c r="G39" s="1161"/>
    </row>
    <row r="40" spans="1:7" hidden="1" x14ac:dyDescent="0.3">
      <c r="A40" s="13" t="s">
        <v>26</v>
      </c>
      <c r="B40" s="13">
        <v>0</v>
      </c>
      <c r="C40" s="1165"/>
      <c r="D40" s="930"/>
      <c r="E40" s="1181"/>
      <c r="F40" s="1161"/>
      <c r="G40" s="1161"/>
    </row>
    <row r="41" spans="1:7" hidden="1" x14ac:dyDescent="0.3">
      <c r="A41" s="1163"/>
      <c r="B41" s="1163"/>
      <c r="C41" s="1163"/>
      <c r="D41" s="1163"/>
      <c r="E41" s="1163"/>
      <c r="F41" s="1163"/>
      <c r="G41" s="1163"/>
    </row>
    <row r="42" spans="1:7" hidden="1" x14ac:dyDescent="0.3">
      <c r="A42" s="19" t="s">
        <v>28</v>
      </c>
      <c r="B42" s="20"/>
      <c r="C42" s="16" t="s">
        <v>38</v>
      </c>
      <c r="D42" s="16" t="s">
        <v>31</v>
      </c>
      <c r="E42" s="16" t="s">
        <v>29</v>
      </c>
      <c r="F42" s="688" t="s">
        <v>33</v>
      </c>
      <c r="G42" s="688"/>
    </row>
    <row r="43" spans="1:7" hidden="1" x14ac:dyDescent="0.3">
      <c r="A43" s="13" t="s">
        <v>23</v>
      </c>
      <c r="B43" s="13">
        <v>0</v>
      </c>
      <c r="C43" s="1165">
        <f>SUM(E8*B43)+(E15*B44)+(E23*B45)+(E30*B46)</f>
        <v>3.7000000000000005E-2</v>
      </c>
      <c r="D43" s="930">
        <v>25</v>
      </c>
      <c r="E43" s="1181">
        <v>0.5</v>
      </c>
      <c r="F43" s="1161" t="e">
        <f>(0.827*C43*#REF!)*3600</f>
        <v>#REF!</v>
      </c>
      <c r="G43" s="1161"/>
    </row>
    <row r="44" spans="1:7" hidden="1" x14ac:dyDescent="0.3">
      <c r="A44" s="13" t="s">
        <v>24</v>
      </c>
      <c r="B44" s="13">
        <v>0</v>
      </c>
      <c r="C44" s="1165"/>
      <c r="D44" s="930"/>
      <c r="E44" s="1181"/>
      <c r="F44" s="1161"/>
      <c r="G44" s="1161"/>
    </row>
    <row r="45" spans="1:7" hidden="1" x14ac:dyDescent="0.3">
      <c r="A45" s="13" t="s">
        <v>25</v>
      </c>
      <c r="B45" s="13">
        <v>0</v>
      </c>
      <c r="C45" s="1165"/>
      <c r="D45" s="930"/>
      <c r="E45" s="1181"/>
      <c r="F45" s="1161"/>
      <c r="G45" s="1161"/>
    </row>
    <row r="46" spans="1:7" hidden="1" x14ac:dyDescent="0.3">
      <c r="A46" s="13" t="s">
        <v>26</v>
      </c>
      <c r="B46" s="13">
        <v>1</v>
      </c>
      <c r="C46" s="1165"/>
      <c r="D46" s="930"/>
      <c r="E46" s="1181"/>
      <c r="F46" s="1161"/>
      <c r="G46" s="1161"/>
    </row>
    <row r="47" spans="1:7" hidden="1" x14ac:dyDescent="0.3"/>
    <row r="48" spans="1:7" hidden="1" x14ac:dyDescent="0.3"/>
    <row r="49" spans="1:7" hidden="1" x14ac:dyDescent="0.3"/>
    <row r="50" spans="1:7" hidden="1" x14ac:dyDescent="0.3"/>
    <row r="51" spans="1:7" hidden="1" x14ac:dyDescent="0.3">
      <c r="A51" s="38" t="s">
        <v>207</v>
      </c>
      <c r="B51" s="38" t="s">
        <v>208</v>
      </c>
      <c r="C51" s="38" t="s">
        <v>209</v>
      </c>
      <c r="D51" s="38" t="s">
        <v>210</v>
      </c>
      <c r="E51" s="38" t="s">
        <v>214</v>
      </c>
      <c r="F51" s="14"/>
      <c r="G51" s="14"/>
    </row>
    <row r="52" spans="1:7" hidden="1" x14ac:dyDescent="0.3">
      <c r="A52" s="90">
        <v>60000</v>
      </c>
      <c r="B52" s="91">
        <v>40</v>
      </c>
      <c r="C52" s="91">
        <v>27</v>
      </c>
      <c r="D52" s="38">
        <v>1.1299999999999999</v>
      </c>
      <c r="E52" s="38">
        <v>0.24</v>
      </c>
      <c r="F52" s="14"/>
      <c r="G52" s="14"/>
    </row>
    <row r="53" spans="1:7" hidden="1" x14ac:dyDescent="0.3">
      <c r="A53" s="38"/>
      <c r="B53" s="38"/>
      <c r="C53" s="38"/>
      <c r="D53" s="38"/>
      <c r="E53" s="38"/>
      <c r="F53" s="14"/>
      <c r="G53" s="14"/>
    </row>
    <row r="54" spans="1:7" hidden="1" x14ac:dyDescent="0.3">
      <c r="A54" s="38"/>
      <c r="B54" s="38"/>
      <c r="C54" s="38"/>
      <c r="D54" s="38"/>
      <c r="E54" s="38"/>
      <c r="F54" s="14"/>
      <c r="G54" s="14"/>
    </row>
    <row r="55" spans="1:7" hidden="1" x14ac:dyDescent="0.3">
      <c r="A55" s="38" t="s">
        <v>42</v>
      </c>
      <c r="B55" s="38" t="s">
        <v>43</v>
      </c>
      <c r="C55" s="38" t="s">
        <v>206</v>
      </c>
      <c r="D55" s="38" t="s">
        <v>205</v>
      </c>
      <c r="E55" s="38"/>
      <c r="F55" s="713" t="s">
        <v>213</v>
      </c>
      <c r="G55" s="713"/>
    </row>
    <row r="56" spans="1:7" hidden="1" x14ac:dyDescent="0.3">
      <c r="A56" s="26">
        <f>A52*859.85</f>
        <v>51591000</v>
      </c>
      <c r="B56" s="38"/>
      <c r="C56" s="38">
        <v>0.24</v>
      </c>
      <c r="D56" s="91">
        <f>B52-C52</f>
        <v>13</v>
      </c>
      <c r="E56" s="14"/>
      <c r="F56" s="1182">
        <f>A56/(C56*D56)/1000</f>
        <v>16535.576923076922</v>
      </c>
      <c r="G56" s="1182"/>
    </row>
    <row r="57" spans="1:7" x14ac:dyDescent="0.3">
      <c r="A57" s="3"/>
      <c r="B57" s="3"/>
      <c r="C57" s="3"/>
      <c r="D57" s="3"/>
    </row>
    <row r="58" spans="1:7" x14ac:dyDescent="0.3">
      <c r="A58" s="3"/>
      <c r="B58" s="3"/>
      <c r="C58" s="3"/>
      <c r="D58" s="3"/>
    </row>
    <row r="59" spans="1:7" ht="15.6" x14ac:dyDescent="0.3">
      <c r="A59" s="263" t="s">
        <v>96</v>
      </c>
      <c r="B59" s="263" t="s">
        <v>207</v>
      </c>
      <c r="C59" s="263" t="s">
        <v>219</v>
      </c>
      <c r="D59" s="263" t="s">
        <v>220</v>
      </c>
      <c r="E59" s="263" t="s">
        <v>210</v>
      </c>
      <c r="F59" s="263" t="s">
        <v>211</v>
      </c>
      <c r="G59" s="3"/>
    </row>
    <row r="60" spans="1:7" ht="15.6" x14ac:dyDescent="0.3">
      <c r="A60" s="263" t="s">
        <v>27</v>
      </c>
      <c r="B60" s="93" t="e">
        <f>#REF!</f>
        <v>#REF!</v>
      </c>
      <c r="C60" s="95" t="e">
        <f>#REF!</f>
        <v>#REF!</v>
      </c>
      <c r="D60" s="95" t="e">
        <f>#REF!</f>
        <v>#REF!</v>
      </c>
      <c r="E60" s="302" t="e">
        <f>G80</f>
        <v>#REF!</v>
      </c>
      <c r="F60" s="94">
        <v>0.24</v>
      </c>
      <c r="G60" s="3"/>
    </row>
    <row r="61" spans="1:7" ht="15.6" x14ac:dyDescent="0.3">
      <c r="A61" s="263" t="s">
        <v>28</v>
      </c>
      <c r="B61" s="93" t="e">
        <f>#REF!</f>
        <v>#REF!</v>
      </c>
      <c r="C61" s="95" t="e">
        <f>#REF!</f>
        <v>#REF!</v>
      </c>
      <c r="D61" s="95" t="e">
        <f>#REF!</f>
        <v>#REF!</v>
      </c>
      <c r="E61" s="302" t="e">
        <f>G84</f>
        <v>#REF!</v>
      </c>
      <c r="F61" s="94">
        <v>0.24</v>
      </c>
      <c r="G61" s="3"/>
    </row>
    <row r="62" spans="1:7" ht="15.6" x14ac:dyDescent="0.3">
      <c r="A62" s="263" t="s">
        <v>215</v>
      </c>
      <c r="B62" s="93" t="e">
        <f>#REF!</f>
        <v>#REF!</v>
      </c>
      <c r="C62" s="95" t="e">
        <f>#REF!</f>
        <v>#REF!</v>
      </c>
      <c r="D62" s="95" t="e">
        <f>#REF!</f>
        <v>#REF!</v>
      </c>
      <c r="E62" s="302" t="e">
        <f>G88</f>
        <v>#REF!</v>
      </c>
      <c r="F62" s="94">
        <v>0.24</v>
      </c>
      <c r="G62" s="3"/>
    </row>
    <row r="63" spans="1:7" x14ac:dyDescent="0.3">
      <c r="A63" s="57"/>
      <c r="B63" s="57"/>
      <c r="C63" s="57"/>
      <c r="D63" s="57"/>
      <c r="E63" s="57"/>
      <c r="F63" s="57"/>
      <c r="G63" s="92"/>
    </row>
    <row r="64" spans="1:7" ht="15.6" x14ac:dyDescent="0.3">
      <c r="A64" s="263" t="s">
        <v>96</v>
      </c>
      <c r="B64" s="16" t="s">
        <v>42</v>
      </c>
      <c r="C64" s="16" t="s">
        <v>43</v>
      </c>
      <c r="D64" s="16" t="s">
        <v>206</v>
      </c>
      <c r="E64" s="16" t="s">
        <v>205</v>
      </c>
      <c r="F64" s="303" t="s">
        <v>213</v>
      </c>
      <c r="G64" s="294" t="s">
        <v>212</v>
      </c>
    </row>
    <row r="65" spans="1:7" ht="19.8" x14ac:dyDescent="0.3">
      <c r="A65" s="263" t="s">
        <v>27</v>
      </c>
      <c r="B65" s="26" t="e">
        <f>B60*859.85</f>
        <v>#REF!</v>
      </c>
      <c r="C65" s="26" t="e">
        <f>B65/(D65*E65)</f>
        <v>#REF!</v>
      </c>
      <c r="D65" s="38">
        <v>0.24</v>
      </c>
      <c r="E65" s="91" t="e">
        <f>C60-D60</f>
        <v>#REF!</v>
      </c>
      <c r="F65" s="292" t="e">
        <f>B65/(D65*E65)/1000</f>
        <v>#REF!</v>
      </c>
      <c r="G65" s="293" t="e">
        <f>F65/E60</f>
        <v>#REF!</v>
      </c>
    </row>
    <row r="66" spans="1:7" ht="19.8" x14ac:dyDescent="0.3">
      <c r="A66" s="263" t="s">
        <v>28</v>
      </c>
      <c r="B66" s="26" t="e">
        <f t="shared" ref="B66:B67" si="0">B61*859.85</f>
        <v>#REF!</v>
      </c>
      <c r="C66" s="26" t="e">
        <f t="shared" ref="C66:C67" si="1">B66/(D66*E66)</f>
        <v>#REF!</v>
      </c>
      <c r="D66" s="38">
        <v>0.24</v>
      </c>
      <c r="E66" s="91" t="e">
        <f t="shared" ref="E66:E67" si="2">C61-D61</f>
        <v>#REF!</v>
      </c>
      <c r="F66" s="292" t="e">
        <f>B66/(D66*E66)/1000</f>
        <v>#REF!</v>
      </c>
      <c r="G66" s="293" t="e">
        <f>F66/E61</f>
        <v>#REF!</v>
      </c>
    </row>
    <row r="67" spans="1:7" ht="19.8" x14ac:dyDescent="0.3">
      <c r="A67" s="263" t="s">
        <v>215</v>
      </c>
      <c r="B67" s="26" t="e">
        <f t="shared" si="0"/>
        <v>#REF!</v>
      </c>
      <c r="C67" s="26" t="e">
        <f t="shared" si="1"/>
        <v>#REF!</v>
      </c>
      <c r="D67" s="38">
        <v>0.24</v>
      </c>
      <c r="E67" s="91" t="e">
        <f t="shared" si="2"/>
        <v>#REF!</v>
      </c>
      <c r="F67" s="292" t="e">
        <f>B67/(D67*E67)/1000</f>
        <v>#REF!</v>
      </c>
      <c r="G67" s="293" t="e">
        <f>F67/E62</f>
        <v>#REF!</v>
      </c>
    </row>
    <row r="72" spans="1:7" x14ac:dyDescent="0.3">
      <c r="A72" t="s">
        <v>229</v>
      </c>
    </row>
    <row r="74" spans="1:7" x14ac:dyDescent="0.3">
      <c r="A74" t="s">
        <v>230</v>
      </c>
      <c r="B74" t="s">
        <v>231</v>
      </c>
      <c r="C74" t="s">
        <v>232</v>
      </c>
      <c r="D74" t="s">
        <v>233</v>
      </c>
      <c r="E74" t="s">
        <v>234</v>
      </c>
    </row>
    <row r="75" spans="1:7" x14ac:dyDescent="0.3">
      <c r="A75">
        <v>1000</v>
      </c>
      <c r="B75">
        <v>0.9</v>
      </c>
      <c r="C75">
        <f>B75*A75*1000</f>
        <v>900000</v>
      </c>
      <c r="D75" s="101">
        <v>0.03</v>
      </c>
      <c r="E75">
        <f>C75*D75</f>
        <v>27000</v>
      </c>
    </row>
    <row r="77" spans="1:7" x14ac:dyDescent="0.3">
      <c r="A77" s="1183" t="s">
        <v>582</v>
      </c>
      <c r="B77" s="1183"/>
      <c r="C77" s="1183"/>
      <c r="D77" s="1183"/>
      <c r="E77" s="1183"/>
      <c r="F77" s="1183"/>
      <c r="G77" s="1183"/>
    </row>
    <row r="78" spans="1:7" x14ac:dyDescent="0.3">
      <c r="A78" s="1184"/>
      <c r="B78" s="1184"/>
      <c r="C78" s="1184"/>
      <c r="D78" s="1184"/>
      <c r="E78" s="1184"/>
      <c r="F78" s="1184"/>
      <c r="G78" s="1184"/>
    </row>
    <row r="79" spans="1:7" x14ac:dyDescent="0.3">
      <c r="A79" s="8" t="s">
        <v>580</v>
      </c>
      <c r="B79" s="283">
        <v>101.3</v>
      </c>
      <c r="C79" s="298"/>
      <c r="D79" s="298"/>
      <c r="E79" s="843" t="s">
        <v>391</v>
      </c>
      <c r="F79" s="799"/>
      <c r="G79" s="299" t="e">
        <f>B79*(((B80+273.15)-(0.0065*B81))/(B80+273.15))^5.256</f>
        <v>#REF!</v>
      </c>
    </row>
    <row r="80" spans="1:7" x14ac:dyDescent="0.3">
      <c r="A80" s="8" t="s">
        <v>385</v>
      </c>
      <c r="B80" s="300" t="e">
        <f>D60</f>
        <v>#REF!</v>
      </c>
      <c r="C80" s="298"/>
      <c r="D80" s="298"/>
      <c r="E80" s="843" t="s">
        <v>392</v>
      </c>
      <c r="F80" s="799"/>
      <c r="G80" s="299" t="e">
        <f>((G79)/((8.314)*(273.15+B80))*28.97)</f>
        <v>#REF!</v>
      </c>
    </row>
    <row r="81" spans="1:7" x14ac:dyDescent="0.3">
      <c r="A81" s="8" t="s">
        <v>388</v>
      </c>
      <c r="B81" s="283" cm="1">
        <f t="array" ref="B81:D81">'REDE DE DUTOS'!B17:D17</f>
        <v>1200</v>
      </c>
      <c r="C81" s="298">
        <v>0</v>
      </c>
      <c r="D81" s="298">
        <v>0</v>
      </c>
      <c r="E81" s="843"/>
      <c r="F81" s="799"/>
      <c r="G81" s="301"/>
    </row>
    <row r="83" spans="1:7" x14ac:dyDescent="0.3">
      <c r="A83" s="8" t="s">
        <v>580</v>
      </c>
      <c r="B83" s="283">
        <v>101.3</v>
      </c>
      <c r="C83" s="298"/>
      <c r="D83" s="298"/>
      <c r="E83" s="843" t="s">
        <v>391</v>
      </c>
      <c r="F83" s="799"/>
      <c r="G83" s="299" t="e">
        <f>B83*(((B84+273.15)-(0.0065*B85))/(B84+273.15))^5.256</f>
        <v>#REF!</v>
      </c>
    </row>
    <row r="84" spans="1:7" x14ac:dyDescent="0.3">
      <c r="A84" s="8" t="s">
        <v>385</v>
      </c>
      <c r="B84" s="300" t="e">
        <f>D61</f>
        <v>#REF!</v>
      </c>
      <c r="C84" s="298"/>
      <c r="D84" s="298"/>
      <c r="E84" s="843" t="s">
        <v>392</v>
      </c>
      <c r="F84" s="799"/>
      <c r="G84" s="299" t="e">
        <f>((G83)/((8.314)*(273.15+B84))*28.97)</f>
        <v>#REF!</v>
      </c>
    </row>
    <row r="85" spans="1:7" x14ac:dyDescent="0.3">
      <c r="A85" s="8" t="s">
        <v>388</v>
      </c>
      <c r="B85" s="283" t="e">
        <f>#REF!</f>
        <v>#REF!</v>
      </c>
      <c r="C85" s="298"/>
      <c r="D85" s="298"/>
      <c r="E85" s="843"/>
      <c r="F85" s="799"/>
      <c r="G85" s="301"/>
    </row>
    <row r="87" spans="1:7" x14ac:dyDescent="0.3">
      <c r="A87" s="8" t="s">
        <v>580</v>
      </c>
      <c r="B87" s="283">
        <v>101.3</v>
      </c>
      <c r="C87" s="298"/>
      <c r="D87" s="298"/>
      <c r="E87" s="843" t="s">
        <v>391</v>
      </c>
      <c r="F87" s="799"/>
      <c r="G87" s="299" t="e">
        <f>B87*(((B88+273.15)-(0.0065*B89))/(B88+273.15))^5.256</f>
        <v>#REF!</v>
      </c>
    </row>
    <row r="88" spans="1:7" x14ac:dyDescent="0.3">
      <c r="A88" s="8" t="s">
        <v>385</v>
      </c>
      <c r="B88" s="300" t="e">
        <f>D62</f>
        <v>#REF!</v>
      </c>
      <c r="C88" s="298"/>
      <c r="D88" s="298"/>
      <c r="E88" s="843" t="s">
        <v>392</v>
      </c>
      <c r="F88" s="799"/>
      <c r="G88" s="299" t="e">
        <f>((G87)/((8.314)*(273.15+B88))*28.97)</f>
        <v>#REF!</v>
      </c>
    </row>
    <row r="89" spans="1:7" x14ac:dyDescent="0.3">
      <c r="A89" s="8" t="s">
        <v>388</v>
      </c>
      <c r="B89" s="283" t="e">
        <f>#REF!</f>
        <v>#REF!</v>
      </c>
      <c r="C89" s="298"/>
      <c r="D89" s="298"/>
      <c r="E89" s="843"/>
      <c r="F89" s="799"/>
      <c r="G89" s="301"/>
    </row>
    <row r="95" spans="1:7" x14ac:dyDescent="0.3">
      <c r="A95" s="1183" t="s">
        <v>581</v>
      </c>
      <c r="B95" s="1183"/>
      <c r="C95" s="1183"/>
      <c r="D95" s="1183"/>
      <c r="E95" s="1183"/>
      <c r="F95" s="1183"/>
      <c r="G95" s="1183"/>
    </row>
    <row r="96" spans="1:7" x14ac:dyDescent="0.3">
      <c r="A96" s="1184"/>
      <c r="B96" s="1184"/>
      <c r="C96" s="1184"/>
      <c r="D96" s="1184"/>
      <c r="E96" s="1184"/>
      <c r="F96" s="1184"/>
      <c r="G96" s="1184"/>
    </row>
    <row r="97" spans="1:7" x14ac:dyDescent="0.3">
      <c r="A97" s="8" t="s">
        <v>580</v>
      </c>
      <c r="B97" s="283">
        <v>101.3</v>
      </c>
      <c r="C97" s="298"/>
      <c r="D97" s="298"/>
      <c r="E97" s="843" t="s">
        <v>391</v>
      </c>
      <c r="F97" s="799"/>
      <c r="G97" s="299" t="e">
        <f>B97*(((B98+273.15)-(0.0065*B99))/(B98+273.15))^5.256</f>
        <v>#REF!</v>
      </c>
    </row>
    <row r="98" spans="1:7" x14ac:dyDescent="0.3">
      <c r="A98" s="8" t="s">
        <v>385</v>
      </c>
      <c r="B98" s="300" t="e">
        <f>C60</f>
        <v>#REF!</v>
      </c>
      <c r="C98" s="298"/>
      <c r="D98" s="298"/>
      <c r="E98" s="843" t="s">
        <v>392</v>
      </c>
      <c r="F98" s="799"/>
      <c r="G98" s="299" t="e">
        <f>((G97)/((8.314)*(273.15+B98))*28.97)</f>
        <v>#REF!</v>
      </c>
    </row>
    <row r="99" spans="1:7" x14ac:dyDescent="0.3">
      <c r="A99" s="8" t="s">
        <v>388</v>
      </c>
      <c r="B99" s="283" t="e">
        <f>#REF!</f>
        <v>#REF!</v>
      </c>
      <c r="C99" s="298"/>
      <c r="D99" s="298"/>
      <c r="E99" s="843"/>
      <c r="F99" s="799"/>
      <c r="G99" s="301"/>
    </row>
    <row r="101" spans="1:7" x14ac:dyDescent="0.3">
      <c r="A101" s="8" t="s">
        <v>580</v>
      </c>
      <c r="B101" s="283">
        <v>101.3</v>
      </c>
      <c r="C101" s="298"/>
      <c r="D101" s="298"/>
      <c r="E101" s="843" t="s">
        <v>391</v>
      </c>
      <c r="F101" s="799"/>
      <c r="G101" s="299" t="e">
        <f>B101*(((B102+273.15)-(0.0065*B103))/(B102+273.15))^5.256</f>
        <v>#REF!</v>
      </c>
    </row>
    <row r="102" spans="1:7" x14ac:dyDescent="0.3">
      <c r="A102" s="8" t="s">
        <v>385</v>
      </c>
      <c r="B102" s="300" t="e">
        <f>C61</f>
        <v>#REF!</v>
      </c>
      <c r="C102" s="298"/>
      <c r="D102" s="298"/>
      <c r="E102" s="843" t="s">
        <v>392</v>
      </c>
      <c r="F102" s="799"/>
      <c r="G102" s="299" t="e">
        <f>((G101)/((8.314)*(273.15+B102))*28.97)</f>
        <v>#REF!</v>
      </c>
    </row>
    <row r="103" spans="1:7" x14ac:dyDescent="0.3">
      <c r="A103" s="8" t="s">
        <v>388</v>
      </c>
      <c r="B103" s="283" t="e">
        <f>#REF!</f>
        <v>#REF!</v>
      </c>
      <c r="C103" s="298"/>
      <c r="D103" s="298"/>
      <c r="E103" s="843"/>
      <c r="F103" s="799"/>
      <c r="G103" s="301"/>
    </row>
    <row r="105" spans="1:7" x14ac:dyDescent="0.3">
      <c r="A105" s="8" t="s">
        <v>580</v>
      </c>
      <c r="B105" s="283">
        <v>101.3</v>
      </c>
      <c r="C105" s="298"/>
      <c r="D105" s="298"/>
      <c r="E105" s="843" t="s">
        <v>391</v>
      </c>
      <c r="F105" s="799"/>
      <c r="G105" s="299" t="e">
        <f>B105*(((B106+273.15)-(0.0065*B107))/(B106+273.15))^5.256</f>
        <v>#REF!</v>
      </c>
    </row>
    <row r="106" spans="1:7" x14ac:dyDescent="0.3">
      <c r="A106" s="8" t="s">
        <v>385</v>
      </c>
      <c r="B106" s="300" t="e">
        <f>C62</f>
        <v>#REF!</v>
      </c>
      <c r="C106" s="298"/>
      <c r="D106" s="298"/>
      <c r="E106" s="843" t="s">
        <v>392</v>
      </c>
      <c r="F106" s="799"/>
      <c r="G106" s="299" t="e">
        <f>((G105)/((8.314)*(273.15+B106))*28.97)</f>
        <v>#REF!</v>
      </c>
    </row>
    <row r="107" spans="1:7" x14ac:dyDescent="0.3">
      <c r="A107" s="8" t="s">
        <v>388</v>
      </c>
      <c r="B107" s="283" t="e">
        <f>#REF!</f>
        <v>#REF!</v>
      </c>
      <c r="C107" s="298"/>
      <c r="D107" s="298"/>
      <c r="E107" s="843"/>
      <c r="F107" s="799"/>
      <c r="G107" s="301"/>
    </row>
  </sheetData>
  <mergeCells count="53">
    <mergeCell ref="E106:F106"/>
    <mergeCell ref="E107:F107"/>
    <mergeCell ref="A95:G96"/>
    <mergeCell ref="A77:G78"/>
    <mergeCell ref="E99:F99"/>
    <mergeCell ref="E101:F101"/>
    <mergeCell ref="E102:F102"/>
    <mergeCell ref="E103:F103"/>
    <mergeCell ref="E105:F105"/>
    <mergeCell ref="E97:F97"/>
    <mergeCell ref="E98:F98"/>
    <mergeCell ref="E87:F87"/>
    <mergeCell ref="E88:F88"/>
    <mergeCell ref="E89:F89"/>
    <mergeCell ref="E83:F83"/>
    <mergeCell ref="E84:F84"/>
    <mergeCell ref="E85:F85"/>
    <mergeCell ref="E80:F80"/>
    <mergeCell ref="E81:F81"/>
    <mergeCell ref="E79:F79"/>
    <mergeCell ref="F55:G55"/>
    <mergeCell ref="F56:G56"/>
    <mergeCell ref="A41:G41"/>
    <mergeCell ref="F42:G42"/>
    <mergeCell ref="C43:C46"/>
    <mergeCell ref="D43:D46"/>
    <mergeCell ref="E43:E46"/>
    <mergeCell ref="F43:G46"/>
    <mergeCell ref="F36:G36"/>
    <mergeCell ref="C37:C40"/>
    <mergeCell ref="D37:D40"/>
    <mergeCell ref="E37:E40"/>
    <mergeCell ref="F37:G40"/>
    <mergeCell ref="C23:C27"/>
    <mergeCell ref="D23:D27"/>
    <mergeCell ref="E23:E27"/>
    <mergeCell ref="A28:E28"/>
    <mergeCell ref="C30:C34"/>
    <mergeCell ref="D30:D34"/>
    <mergeCell ref="E30:E34"/>
    <mergeCell ref="A21:E21"/>
    <mergeCell ref="A1:G2"/>
    <mergeCell ref="A5:E5"/>
    <mergeCell ref="G5:G6"/>
    <mergeCell ref="A6:E6"/>
    <mergeCell ref="C8:C12"/>
    <mergeCell ref="D8:D12"/>
    <mergeCell ref="E8:E12"/>
    <mergeCell ref="A13:E13"/>
    <mergeCell ref="C15:C19"/>
    <mergeCell ref="D15:D19"/>
    <mergeCell ref="E15:E19"/>
    <mergeCell ref="A20:E20"/>
  </mergeCell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AD5785-46F3-453A-9AAA-5F0BD0D49B0A}">
  <sheetPr codeName="Planilha8">
    <tabColor theme="0" tint="-0.499984740745262"/>
  </sheetPr>
  <dimension ref="A1:R71"/>
  <sheetViews>
    <sheetView workbookViewId="0">
      <selection activeCell="A12" sqref="A12:A14"/>
    </sheetView>
  </sheetViews>
  <sheetFormatPr defaultRowHeight="14.4" x14ac:dyDescent="0.3"/>
  <cols>
    <col min="1" max="1" width="30.6640625" customWidth="1"/>
    <col min="2" max="2" width="10.88671875" customWidth="1"/>
    <col min="3" max="3" width="20.6640625" customWidth="1"/>
    <col min="4" max="4" width="13" customWidth="1"/>
    <col min="5" max="10" width="12.6640625" customWidth="1"/>
    <col min="11" max="11" width="34.5546875" customWidth="1"/>
    <col min="12" max="13" width="12.6640625" customWidth="1"/>
  </cols>
  <sheetData>
    <row r="1" spans="1:18" ht="19.8" x14ac:dyDescent="0.3">
      <c r="A1" s="713"/>
      <c r="B1" s="1186" t="s">
        <v>53</v>
      </c>
      <c r="C1" s="1186"/>
      <c r="D1" s="1186"/>
      <c r="E1" s="1186"/>
      <c r="F1" s="1186"/>
      <c r="G1" s="1186"/>
      <c r="H1" s="1186"/>
      <c r="I1" s="1186"/>
      <c r="J1" s="3"/>
      <c r="K1" s="25"/>
      <c r="L1" s="25"/>
      <c r="M1" s="25"/>
      <c r="N1" s="1185" t="s">
        <v>36</v>
      </c>
      <c r="O1" s="1171"/>
      <c r="P1" s="1171"/>
      <c r="Q1" s="1171"/>
      <c r="R1" s="4"/>
    </row>
    <row r="2" spans="1:18" ht="15" customHeight="1" x14ac:dyDescent="0.3">
      <c r="A2" s="713"/>
      <c r="B2" s="47" t="s">
        <v>46</v>
      </c>
      <c r="C2" s="1187" t="s">
        <v>49</v>
      </c>
      <c r="D2" s="1187"/>
      <c r="E2" s="1041" t="s">
        <v>44</v>
      </c>
      <c r="F2" s="1041"/>
      <c r="G2" s="1041"/>
      <c r="H2" s="1041"/>
      <c r="I2" s="1041"/>
      <c r="J2" s="3"/>
      <c r="K2" s="25"/>
      <c r="L2" s="25"/>
      <c r="M2" s="25"/>
      <c r="N2" s="1185"/>
      <c r="O2" s="1171"/>
      <c r="P2" s="1171"/>
      <c r="Q2" s="1171"/>
      <c r="R2" s="4"/>
    </row>
    <row r="3" spans="1:18" x14ac:dyDescent="0.3">
      <c r="A3" s="713"/>
      <c r="B3" s="47" t="s">
        <v>47</v>
      </c>
      <c r="C3" s="1187" t="s">
        <v>50</v>
      </c>
      <c r="D3" s="1187"/>
      <c r="E3" s="1188" t="s">
        <v>51</v>
      </c>
      <c r="F3" s="1188"/>
      <c r="G3" s="1188"/>
      <c r="H3" s="1188"/>
      <c r="I3" s="1188"/>
      <c r="J3" s="3"/>
      <c r="N3" s="42"/>
      <c r="O3" s="14"/>
      <c r="P3" s="14"/>
      <c r="Q3" s="14"/>
      <c r="R3" s="4"/>
    </row>
    <row r="4" spans="1:18" x14ac:dyDescent="0.3">
      <c r="A4" s="713"/>
      <c r="B4" s="47" t="s">
        <v>48</v>
      </c>
      <c r="C4" s="1187" t="s">
        <v>52</v>
      </c>
      <c r="D4" s="1187"/>
      <c r="E4" s="1188"/>
      <c r="F4" s="1188"/>
      <c r="G4" s="1188"/>
      <c r="H4" s="1188"/>
      <c r="I4" s="1188"/>
      <c r="J4" s="3"/>
      <c r="N4" s="82"/>
      <c r="O4" s="713" t="s">
        <v>54</v>
      </c>
      <c r="P4" s="713"/>
      <c r="Q4" s="713"/>
      <c r="R4" s="4"/>
    </row>
    <row r="5" spans="1:18" x14ac:dyDescent="0.3">
      <c r="A5" s="713"/>
      <c r="B5" s="47" t="s">
        <v>110</v>
      </c>
      <c r="C5" s="1189">
        <f ca="1">NOW()</f>
        <v>45953.89526203704</v>
      </c>
      <c r="D5" s="1189"/>
      <c r="E5" s="1188"/>
      <c r="F5" s="1188"/>
      <c r="G5" s="1188"/>
      <c r="H5" s="1188"/>
      <c r="I5" s="1188"/>
      <c r="J5" s="3"/>
      <c r="N5" s="83"/>
      <c r="O5" s="798" t="s">
        <v>55</v>
      </c>
      <c r="P5" s="799"/>
      <c r="Q5" s="800"/>
      <c r="R5" s="4"/>
    </row>
    <row r="6" spans="1:18" x14ac:dyDescent="0.3">
      <c r="A6" s="713"/>
      <c r="B6" s="46"/>
      <c r="C6" s="812"/>
      <c r="D6" s="812"/>
      <c r="E6" s="1188"/>
      <c r="F6" s="1188"/>
      <c r="G6" s="1188"/>
      <c r="H6" s="1188"/>
      <c r="I6" s="1188"/>
      <c r="J6" s="3"/>
      <c r="N6" s="84"/>
      <c r="O6" s="798" t="s">
        <v>56</v>
      </c>
      <c r="P6" s="799"/>
      <c r="Q6" s="800"/>
      <c r="R6" s="4"/>
    </row>
    <row r="7" spans="1:18" x14ac:dyDescent="0.3">
      <c r="A7" s="713"/>
      <c r="B7" s="46"/>
      <c r="C7" s="812"/>
      <c r="D7" s="812"/>
      <c r="E7" s="1188"/>
      <c r="F7" s="1188"/>
      <c r="G7" s="1188"/>
      <c r="H7" s="1188"/>
      <c r="I7" s="1188"/>
      <c r="J7" s="3"/>
      <c r="K7" s="3"/>
      <c r="L7" s="3"/>
      <c r="M7" s="4"/>
      <c r="N7" s="4"/>
      <c r="O7" s="4"/>
      <c r="P7" s="4"/>
      <c r="Q7" s="4"/>
      <c r="R7" s="4"/>
    </row>
    <row r="8" spans="1:18" ht="15" thickBot="1" x14ac:dyDescent="0.35">
      <c r="A8" s="43"/>
      <c r="B8" s="43"/>
      <c r="C8" s="43"/>
      <c r="D8" s="43"/>
      <c r="E8" s="43"/>
      <c r="F8" s="43"/>
      <c r="G8" s="44"/>
      <c r="H8" s="45"/>
      <c r="I8" s="44"/>
      <c r="J8" s="3"/>
      <c r="K8" s="3"/>
      <c r="L8" s="3"/>
      <c r="M8" s="4"/>
      <c r="N8" s="4"/>
      <c r="O8" s="4"/>
      <c r="P8" s="4"/>
      <c r="Q8" s="4"/>
      <c r="R8" s="4"/>
    </row>
    <row r="9" spans="1:18" ht="15" thickBot="1" x14ac:dyDescent="0.35">
      <c r="A9" s="1210" t="s">
        <v>0</v>
      </c>
      <c r="B9" s="1211"/>
      <c r="C9" s="1211"/>
      <c r="D9" s="1211"/>
      <c r="E9" s="1211"/>
      <c r="F9" s="1211"/>
      <c r="G9" s="1211"/>
      <c r="H9" s="1211"/>
      <c r="I9" s="1211"/>
      <c r="J9" s="3"/>
      <c r="K9" s="1196" t="s">
        <v>120</v>
      </c>
      <c r="L9" s="1196"/>
      <c r="M9" s="1196"/>
      <c r="N9" s="1196"/>
      <c r="O9" s="1196"/>
      <c r="P9" s="1196"/>
      <c r="Q9" s="1196"/>
      <c r="R9" s="1196"/>
    </row>
    <row r="10" spans="1:18" ht="15" thickBot="1" x14ac:dyDescent="0.35">
      <c r="A10" s="35" t="s">
        <v>111</v>
      </c>
      <c r="B10" s="1197" t="s">
        <v>3</v>
      </c>
      <c r="C10" s="1197"/>
      <c r="D10" s="35" t="s">
        <v>116</v>
      </c>
      <c r="E10" s="36" t="s">
        <v>117</v>
      </c>
      <c r="F10" s="37" t="s">
        <v>118</v>
      </c>
      <c r="G10" s="48" t="s">
        <v>39</v>
      </c>
      <c r="H10" s="28" t="s">
        <v>40</v>
      </c>
      <c r="I10" s="27" t="s">
        <v>119</v>
      </c>
      <c r="J10" s="3"/>
      <c r="K10" s="942" t="s">
        <v>41</v>
      </c>
      <c r="L10" s="69"/>
      <c r="M10" s="56" t="s">
        <v>124</v>
      </c>
      <c r="N10" s="56" t="s">
        <v>125</v>
      </c>
      <c r="O10" s="56" t="s">
        <v>126</v>
      </c>
      <c r="P10" s="56"/>
      <c r="Q10" s="56"/>
      <c r="R10" s="56"/>
    </row>
    <row r="11" spans="1:18" x14ac:dyDescent="0.3">
      <c r="A11" s="1198"/>
      <c r="B11" s="1199"/>
      <c r="C11" s="1199"/>
      <c r="D11" s="1199"/>
      <c r="E11" s="1199"/>
      <c r="F11" s="1199"/>
      <c r="G11" s="1199"/>
      <c r="H11" s="1199"/>
      <c r="I11" s="1199"/>
      <c r="J11" s="3"/>
      <c r="K11" s="1195"/>
      <c r="L11" s="70"/>
      <c r="M11" s="56" t="s">
        <v>127</v>
      </c>
      <c r="N11" s="56"/>
      <c r="O11" s="56" t="s">
        <v>584</v>
      </c>
      <c r="P11" s="56"/>
      <c r="Q11" s="56"/>
      <c r="R11" s="56"/>
    </row>
    <row r="12" spans="1:18" x14ac:dyDescent="0.3">
      <c r="A12" s="792" t="s">
        <v>123</v>
      </c>
      <c r="B12" s="798" t="s">
        <v>113</v>
      </c>
      <c r="C12" s="799"/>
      <c r="D12" s="1200">
        <v>37</v>
      </c>
      <c r="E12" s="1200">
        <v>34.9</v>
      </c>
      <c r="F12" s="1203"/>
      <c r="G12" s="1206">
        <v>-1.4</v>
      </c>
      <c r="H12" s="1206">
        <v>-45.78</v>
      </c>
      <c r="I12" s="942">
        <v>1000</v>
      </c>
      <c r="J12" s="11"/>
      <c r="K12" s="85"/>
      <c r="L12" s="64"/>
      <c r="M12" s="65"/>
      <c r="N12" s="65"/>
      <c r="O12" s="66"/>
      <c r="P12" s="67"/>
      <c r="Q12" s="67"/>
      <c r="R12" s="68"/>
    </row>
    <row r="13" spans="1:18" x14ac:dyDescent="0.3">
      <c r="A13" s="793"/>
      <c r="B13" s="798" t="s">
        <v>114</v>
      </c>
      <c r="C13" s="799"/>
      <c r="D13" s="1201"/>
      <c r="E13" s="1201"/>
      <c r="F13" s="1204"/>
      <c r="G13" s="1207"/>
      <c r="H13" s="1207"/>
      <c r="I13" s="1209"/>
      <c r="J13" s="11"/>
      <c r="K13" s="52" t="s">
        <v>123</v>
      </c>
      <c r="L13" s="52"/>
      <c r="M13" s="12">
        <v>32</v>
      </c>
      <c r="N13" s="12"/>
      <c r="O13" s="305">
        <v>4.4999999999999998E-2</v>
      </c>
      <c r="P13" s="12"/>
      <c r="Q13" s="12"/>
      <c r="R13" s="12"/>
    </row>
    <row r="14" spans="1:18" x14ac:dyDescent="0.3">
      <c r="A14" s="794"/>
      <c r="B14" s="798" t="s">
        <v>115</v>
      </c>
      <c r="C14" s="799"/>
      <c r="D14" s="1202"/>
      <c r="E14" s="1202"/>
      <c r="F14" s="1205"/>
      <c r="G14" s="1208"/>
      <c r="H14" s="1208"/>
      <c r="I14" s="1195"/>
      <c r="J14" s="11"/>
      <c r="K14" s="52" t="s">
        <v>615</v>
      </c>
      <c r="L14" s="52"/>
      <c r="M14" s="12"/>
      <c r="N14" s="12"/>
      <c r="O14" s="305">
        <v>4.4999999999999998E-2</v>
      </c>
      <c r="P14" s="12"/>
      <c r="Q14" s="12"/>
      <c r="R14" s="12"/>
    </row>
    <row r="15" spans="1:18" x14ac:dyDescent="0.3">
      <c r="A15" s="53"/>
      <c r="B15" s="1129" t="s">
        <v>7</v>
      </c>
      <c r="C15" s="1129"/>
      <c r="D15" s="53"/>
      <c r="E15" s="53"/>
      <c r="F15" s="53"/>
      <c r="G15" s="54"/>
      <c r="H15" s="55"/>
      <c r="I15" s="54"/>
      <c r="J15" s="11"/>
      <c r="K15" s="52" t="s">
        <v>601</v>
      </c>
      <c r="L15" s="52"/>
      <c r="M15" s="12"/>
      <c r="N15" s="12"/>
      <c r="O15" s="305">
        <v>3.5000000000000003E-2</v>
      </c>
      <c r="P15" s="12"/>
      <c r="Q15" s="12"/>
      <c r="R15" s="12"/>
    </row>
    <row r="16" spans="1:18" x14ac:dyDescent="0.3">
      <c r="A16" s="14"/>
      <c r="B16" s="713" t="s">
        <v>7</v>
      </c>
      <c r="C16" s="713"/>
      <c r="D16" s="14"/>
      <c r="E16" s="14"/>
      <c r="F16" s="14"/>
      <c r="G16" s="9"/>
      <c r="H16" s="10"/>
      <c r="I16" s="24"/>
      <c r="J16" s="11"/>
      <c r="K16" s="52" t="s">
        <v>600</v>
      </c>
      <c r="L16" s="52"/>
      <c r="M16" s="12"/>
      <c r="N16" s="12"/>
      <c r="O16" s="305">
        <v>3.5000000000000003E-2</v>
      </c>
      <c r="P16" s="12"/>
      <c r="Q16" s="12"/>
      <c r="R16" s="12"/>
    </row>
    <row r="17" spans="1:18" x14ac:dyDescent="0.3">
      <c r="A17" s="59"/>
      <c r="B17" s="59"/>
      <c r="C17" s="59"/>
      <c r="D17" s="59"/>
      <c r="K17" s="52" t="s">
        <v>585</v>
      </c>
      <c r="L17" s="52"/>
      <c r="M17" s="12"/>
      <c r="N17" s="12"/>
      <c r="O17" s="305">
        <v>0.48</v>
      </c>
      <c r="P17" s="12"/>
      <c r="Q17" s="12"/>
      <c r="R17" s="12"/>
    </row>
    <row r="18" spans="1:18" x14ac:dyDescent="0.3">
      <c r="A18" s="60"/>
      <c r="B18" s="61"/>
      <c r="C18" s="61"/>
      <c r="D18" s="61"/>
      <c r="K18" s="52" t="s">
        <v>602</v>
      </c>
      <c r="L18" s="52"/>
      <c r="M18" s="12"/>
      <c r="N18" s="12"/>
      <c r="O18" s="305">
        <v>0.03</v>
      </c>
      <c r="P18" s="12"/>
      <c r="Q18" s="12"/>
      <c r="R18" s="12"/>
    </row>
    <row r="19" spans="1:18" x14ac:dyDescent="0.3">
      <c r="A19" s="61"/>
      <c r="B19" s="49"/>
      <c r="C19" s="7"/>
      <c r="D19" s="7"/>
      <c r="K19" s="52" t="s">
        <v>604</v>
      </c>
      <c r="L19" s="52"/>
      <c r="M19" s="12"/>
      <c r="N19" s="12"/>
      <c r="O19" s="305">
        <v>0.17</v>
      </c>
      <c r="P19" s="12"/>
      <c r="Q19" s="12"/>
      <c r="R19" s="12"/>
    </row>
    <row r="20" spans="1:18" x14ac:dyDescent="0.3">
      <c r="A20" s="61"/>
      <c r="B20" s="49"/>
      <c r="C20" s="7"/>
      <c r="D20" s="7"/>
      <c r="K20" s="52" t="s">
        <v>603</v>
      </c>
      <c r="L20" s="52"/>
      <c r="M20" s="12"/>
      <c r="N20" s="12"/>
      <c r="O20" s="305">
        <v>0.04</v>
      </c>
      <c r="P20" s="12"/>
      <c r="Q20" s="12"/>
      <c r="R20" s="12"/>
    </row>
    <row r="21" spans="1:18" ht="15" customHeight="1" x14ac:dyDescent="0.3">
      <c r="A21" s="61"/>
      <c r="B21" s="49"/>
      <c r="C21" s="7"/>
      <c r="D21" s="7"/>
      <c r="K21" s="52" t="s">
        <v>605</v>
      </c>
      <c r="L21" s="52"/>
      <c r="M21" s="12"/>
      <c r="N21" s="12"/>
      <c r="O21" s="305">
        <v>0.3</v>
      </c>
      <c r="P21" s="12"/>
      <c r="Q21" s="12"/>
      <c r="R21" s="12"/>
    </row>
    <row r="22" spans="1:18" ht="15" customHeight="1" x14ac:dyDescent="0.3">
      <c r="A22" s="61"/>
      <c r="B22" s="49"/>
      <c r="C22" s="7"/>
      <c r="D22" s="7"/>
      <c r="K22" s="52" t="s">
        <v>598</v>
      </c>
      <c r="L22" s="52"/>
      <c r="M22" s="12"/>
      <c r="N22" s="12"/>
      <c r="O22" s="305">
        <v>204</v>
      </c>
      <c r="P22" s="12"/>
      <c r="Q22" s="12"/>
      <c r="R22" s="12"/>
    </row>
    <row r="23" spans="1:18" x14ac:dyDescent="0.3">
      <c r="A23" s="60"/>
      <c r="B23" s="49"/>
      <c r="C23" s="7"/>
      <c r="D23" s="7"/>
      <c r="K23" s="52" t="s">
        <v>599</v>
      </c>
      <c r="L23" s="14"/>
      <c r="M23" s="14"/>
      <c r="N23" s="14"/>
      <c r="O23" s="305">
        <v>372</v>
      </c>
      <c r="P23" s="14"/>
      <c r="Q23" s="14"/>
      <c r="R23" s="14"/>
    </row>
    <row r="24" spans="1:18" x14ac:dyDescent="0.3">
      <c r="K24" s="52" t="s">
        <v>606</v>
      </c>
      <c r="L24" s="14"/>
      <c r="M24" s="14"/>
      <c r="N24" s="14"/>
      <c r="O24" s="305">
        <v>52</v>
      </c>
      <c r="P24" s="14"/>
      <c r="Q24" s="14"/>
      <c r="R24" s="14"/>
    </row>
    <row r="25" spans="1:18" x14ac:dyDescent="0.3">
      <c r="A25" s="61"/>
      <c r="B25" s="62"/>
      <c r="C25" s="60"/>
      <c r="D25" s="60"/>
      <c r="E25" s="62"/>
      <c r="F25" s="62"/>
      <c r="G25" s="62"/>
      <c r="H25" s="59"/>
      <c r="I25" s="59"/>
      <c r="J25" s="60"/>
      <c r="K25" s="52" t="s">
        <v>607</v>
      </c>
      <c r="L25" s="14"/>
      <c r="M25" s="14"/>
      <c r="N25" s="14"/>
      <c r="O25" s="305">
        <v>14</v>
      </c>
      <c r="P25" s="14"/>
      <c r="Q25" s="14"/>
      <c r="R25" s="14"/>
    </row>
    <row r="26" spans="1:18" x14ac:dyDescent="0.3">
      <c r="A26" s="49"/>
      <c r="B26" s="49"/>
      <c r="C26" s="7"/>
      <c r="D26" s="63"/>
      <c r="E26" s="7"/>
      <c r="F26" s="7"/>
      <c r="G26" s="7"/>
      <c r="H26" s="7"/>
      <c r="I26" s="7"/>
      <c r="K26" s="52" t="s">
        <v>608</v>
      </c>
      <c r="L26" s="14"/>
      <c r="M26" s="14"/>
      <c r="N26" s="14"/>
      <c r="O26" s="305">
        <v>2.3E-2</v>
      </c>
      <c r="P26" s="14"/>
      <c r="Q26" s="14"/>
      <c r="R26" s="14"/>
    </row>
    <row r="27" spans="1:18" x14ac:dyDescent="0.3">
      <c r="A27" s="49"/>
      <c r="B27" s="49"/>
      <c r="C27" s="7"/>
      <c r="D27" s="63"/>
      <c r="E27" s="7"/>
      <c r="F27" s="7"/>
      <c r="G27" s="7"/>
      <c r="H27" s="7"/>
      <c r="I27" s="7"/>
      <c r="K27" s="52" t="s">
        <v>609</v>
      </c>
      <c r="L27" s="14"/>
      <c r="M27" s="14"/>
      <c r="N27" s="14"/>
      <c r="O27" s="305">
        <v>0.57999999999999996</v>
      </c>
      <c r="P27" s="14"/>
      <c r="Q27" s="14"/>
      <c r="R27" s="14"/>
    </row>
    <row r="28" spans="1:18" x14ac:dyDescent="0.3">
      <c r="A28" s="49"/>
      <c r="B28" s="49"/>
      <c r="C28" s="7"/>
      <c r="D28" s="63"/>
      <c r="E28" s="7"/>
      <c r="F28" s="7"/>
      <c r="G28" s="7"/>
      <c r="H28" s="7"/>
      <c r="I28" s="7"/>
      <c r="K28" s="52" t="s">
        <v>610</v>
      </c>
      <c r="L28" s="14"/>
      <c r="M28" s="14"/>
      <c r="N28" s="14"/>
      <c r="O28" s="14" t="s">
        <v>612</v>
      </c>
      <c r="P28" s="14"/>
      <c r="Q28" s="14"/>
      <c r="R28" s="14"/>
    </row>
    <row r="29" spans="1:18" x14ac:dyDescent="0.3">
      <c r="A29" s="49"/>
      <c r="B29" s="49"/>
      <c r="C29" s="7"/>
      <c r="D29" s="63"/>
      <c r="E29" s="7"/>
      <c r="F29" s="7"/>
      <c r="G29" s="7"/>
      <c r="H29" s="7"/>
      <c r="I29" s="7"/>
      <c r="K29" s="52" t="s">
        <v>611</v>
      </c>
      <c r="L29" s="14"/>
      <c r="M29" s="14"/>
      <c r="N29" s="14"/>
      <c r="O29" s="14" t="s">
        <v>613</v>
      </c>
      <c r="P29" s="14"/>
      <c r="Q29" s="14"/>
      <c r="R29" s="14"/>
    </row>
    <row r="30" spans="1:18" x14ac:dyDescent="0.3">
      <c r="K30" s="52" t="s">
        <v>614</v>
      </c>
      <c r="L30" s="14"/>
      <c r="M30" s="14"/>
      <c r="N30" s="14"/>
      <c r="O30" s="305">
        <v>0.9</v>
      </c>
      <c r="P30" s="14"/>
      <c r="Q30" s="14"/>
      <c r="R30" s="14"/>
    </row>
    <row r="31" spans="1:18" x14ac:dyDescent="0.3">
      <c r="A31" s="61"/>
      <c r="B31" s="62"/>
      <c r="C31" s="60"/>
      <c r="D31" s="60"/>
      <c r="E31" s="62"/>
      <c r="F31" s="62"/>
      <c r="G31" s="62"/>
      <c r="H31" s="59"/>
      <c r="I31" s="59"/>
      <c r="J31" s="60"/>
    </row>
    <row r="32" spans="1:18" x14ac:dyDescent="0.3">
      <c r="A32" s="49"/>
      <c r="B32" s="49"/>
      <c r="C32" s="7"/>
      <c r="D32" s="63"/>
      <c r="E32" s="7"/>
      <c r="F32" s="7"/>
      <c r="G32" s="7"/>
      <c r="H32" s="7"/>
      <c r="I32" s="7"/>
    </row>
    <row r="33" spans="1:11" x14ac:dyDescent="0.3">
      <c r="A33" s="49"/>
      <c r="B33" s="49"/>
      <c r="C33" s="7"/>
      <c r="D33" s="63"/>
      <c r="E33" s="7"/>
      <c r="F33" s="7"/>
      <c r="G33" s="7"/>
      <c r="H33" s="7"/>
      <c r="I33" s="7"/>
    </row>
    <row r="34" spans="1:11" x14ac:dyDescent="0.3">
      <c r="A34" s="49"/>
      <c r="B34" s="49"/>
      <c r="C34" s="7"/>
      <c r="D34" s="63"/>
      <c r="E34" s="7"/>
      <c r="F34" s="7"/>
      <c r="G34" s="7"/>
      <c r="H34" s="7"/>
      <c r="I34" s="7"/>
    </row>
    <row r="35" spans="1:11" x14ac:dyDescent="0.3">
      <c r="A35" s="49"/>
      <c r="B35" s="49"/>
      <c r="C35" s="7"/>
      <c r="D35" s="63"/>
      <c r="E35" s="7"/>
      <c r="F35" s="7"/>
      <c r="G35" s="7"/>
      <c r="H35" s="7"/>
      <c r="I35" s="7"/>
    </row>
    <row r="41" spans="1:11" ht="15" customHeight="1" x14ac:dyDescent="0.3">
      <c r="A41" s="1192" t="s">
        <v>87</v>
      </c>
      <c r="B41" s="1192"/>
      <c r="C41" s="1192"/>
      <c r="D41" s="1192"/>
      <c r="E41" s="1192"/>
      <c r="F41" s="1192"/>
      <c r="G41" s="1192"/>
      <c r="H41" s="1192"/>
      <c r="I41" s="1192"/>
      <c r="J41" s="1192"/>
      <c r="K41" s="1192"/>
    </row>
    <row r="42" spans="1:11" ht="15.75" customHeight="1" x14ac:dyDescent="0.3">
      <c r="A42" s="1192"/>
      <c r="B42" s="1192"/>
      <c r="C42" s="1192"/>
      <c r="D42" s="1192"/>
      <c r="E42" s="1192"/>
      <c r="F42" s="1192"/>
      <c r="G42" s="1192"/>
      <c r="H42" s="1192"/>
      <c r="I42" s="1192"/>
      <c r="J42" s="1192"/>
      <c r="K42" s="1192"/>
    </row>
    <row r="43" spans="1:11" x14ac:dyDescent="0.3">
      <c r="A43" s="1130"/>
      <c r="B43" s="1193"/>
      <c r="C43" s="1193"/>
      <c r="D43" s="1193"/>
      <c r="E43" s="1193"/>
      <c r="F43" s="1193"/>
      <c r="G43" s="1193"/>
      <c r="H43" s="1193"/>
      <c r="I43" s="1193"/>
      <c r="J43" s="1193"/>
      <c r="K43" s="1194"/>
    </row>
    <row r="44" spans="1:11" x14ac:dyDescent="0.3">
      <c r="A44" s="1190" t="s">
        <v>57</v>
      </c>
      <c r="B44" s="1190"/>
      <c r="C44" s="1191" t="s">
        <v>58</v>
      </c>
      <c r="D44" s="1191"/>
      <c r="E44" s="1191"/>
      <c r="F44" s="1191"/>
      <c r="G44" s="1191"/>
      <c r="H44" s="1191"/>
      <c r="I44" s="1191"/>
      <c r="J44" s="1191"/>
      <c r="K44" s="1191"/>
    </row>
    <row r="45" spans="1:11" x14ac:dyDescent="0.3">
      <c r="A45" s="30" t="s">
        <v>59</v>
      </c>
      <c r="B45" s="30" t="s">
        <v>60</v>
      </c>
      <c r="C45" s="31">
        <v>0.4</v>
      </c>
      <c r="D45" s="31">
        <v>0.65</v>
      </c>
      <c r="E45" s="31">
        <v>0.79</v>
      </c>
      <c r="F45" s="31">
        <v>1</v>
      </c>
      <c r="G45" s="31">
        <v>1.27</v>
      </c>
      <c r="H45" s="31">
        <v>1.4</v>
      </c>
      <c r="I45" s="31">
        <v>1.59</v>
      </c>
      <c r="J45" s="31">
        <v>2.0299999999999998</v>
      </c>
      <c r="K45" s="31">
        <v>2.38</v>
      </c>
    </row>
    <row r="46" spans="1:11" x14ac:dyDescent="0.3">
      <c r="A46" s="32" t="s">
        <v>61</v>
      </c>
      <c r="B46" s="32">
        <v>3.17</v>
      </c>
      <c r="C46" s="33">
        <f>0.02805*((B46-C45)*C45)</f>
        <v>3.10794E-2</v>
      </c>
      <c r="D46" s="34">
        <f>0.02805*((B46-D45)*D45)</f>
        <v>4.5945899999999998E-2</v>
      </c>
      <c r="E46" s="34">
        <f>0.02805*((B46-E45)*E45)</f>
        <v>5.2739609999999999E-2</v>
      </c>
      <c r="F46" s="34" t="s">
        <v>7</v>
      </c>
      <c r="G46" s="34" t="s">
        <v>7</v>
      </c>
      <c r="H46" s="34" t="s">
        <v>7</v>
      </c>
      <c r="I46" s="34" t="s">
        <v>7</v>
      </c>
      <c r="J46" s="34" t="s">
        <v>7</v>
      </c>
      <c r="K46" s="34" t="s">
        <v>7</v>
      </c>
    </row>
    <row r="47" spans="1:11" x14ac:dyDescent="0.3">
      <c r="A47" s="32" t="s">
        <v>62</v>
      </c>
      <c r="B47" s="32">
        <v>4.76</v>
      </c>
      <c r="C47" s="33">
        <f>0.02805*((B47-C45)*C45)</f>
        <v>4.8919199999999989E-2</v>
      </c>
      <c r="D47" s="34">
        <f>0.02805*((B47-D45)*D45)</f>
        <v>7.4935574999999977E-2</v>
      </c>
      <c r="E47" s="34">
        <f>0.02805*((B47-E45)*E45)</f>
        <v>8.7973214999999994E-2</v>
      </c>
      <c r="F47" s="34" t="s">
        <v>7</v>
      </c>
      <c r="G47" s="34" t="s">
        <v>7</v>
      </c>
      <c r="H47" s="34" t="s">
        <v>7</v>
      </c>
      <c r="I47" s="34" t="s">
        <v>7</v>
      </c>
      <c r="J47" s="34" t="s">
        <v>7</v>
      </c>
      <c r="K47" s="34" t="s">
        <v>7</v>
      </c>
    </row>
    <row r="48" spans="1:11" x14ac:dyDescent="0.3">
      <c r="A48" s="32" t="s">
        <v>63</v>
      </c>
      <c r="B48" s="32">
        <v>6.35</v>
      </c>
      <c r="C48" s="33">
        <f>0.02805*((B48-C45)*C45)</f>
        <v>6.6758999999999999E-2</v>
      </c>
      <c r="D48" s="34">
        <f>0.02805*((B48-D45)*D45)</f>
        <v>0.10392524999999998</v>
      </c>
      <c r="E48" s="34">
        <f>0.02805*((B48-E45)*E45)</f>
        <v>0.12320682000000001</v>
      </c>
      <c r="F48" s="34">
        <f>0.02805*((B48-F45)*F45)</f>
        <v>0.15006749999999999</v>
      </c>
      <c r="G48" s="34" t="s">
        <v>7</v>
      </c>
      <c r="H48" s="34" t="s">
        <v>7</v>
      </c>
      <c r="I48" s="34" t="s">
        <v>7</v>
      </c>
      <c r="J48" s="34" t="s">
        <v>7</v>
      </c>
      <c r="K48" s="34" t="s">
        <v>7</v>
      </c>
    </row>
    <row r="49" spans="1:11" x14ac:dyDescent="0.3">
      <c r="A49" s="32" t="s">
        <v>64</v>
      </c>
      <c r="B49" s="32">
        <v>7.93</v>
      </c>
      <c r="C49" s="33">
        <f>0.02805*((B49-C45)*C45)</f>
        <v>8.4486599999999995E-2</v>
      </c>
      <c r="D49" s="34">
        <f>0.02805*((B49-D45)*D45)</f>
        <v>0.13273259999999998</v>
      </c>
      <c r="E49" s="34">
        <f>0.02805*((B49-E45)*E45)</f>
        <v>0.15821883</v>
      </c>
      <c r="F49" s="34">
        <f>0.02805*((B49-F45)*F45)</f>
        <v>0.19438649999999999</v>
      </c>
      <c r="G49" s="34" t="s">
        <v>7</v>
      </c>
      <c r="H49" s="34" t="s">
        <v>7</v>
      </c>
      <c r="I49" s="34" t="s">
        <v>7</v>
      </c>
      <c r="J49" s="34" t="s">
        <v>7</v>
      </c>
      <c r="K49" s="34" t="s">
        <v>7</v>
      </c>
    </row>
    <row r="50" spans="1:11" x14ac:dyDescent="0.3">
      <c r="A50" s="32" t="s">
        <v>65</v>
      </c>
      <c r="B50" s="32">
        <v>9.52</v>
      </c>
      <c r="C50" s="33">
        <f>0.02805*((B50-C45)*C45)</f>
        <v>0.10232639999999998</v>
      </c>
      <c r="D50" s="34">
        <f>0.02805*((B50-D45)*D45)</f>
        <v>0.16172227499999997</v>
      </c>
      <c r="E50" s="34">
        <f>0.02805*((B50-E45)*E45)</f>
        <v>0.19345243500000001</v>
      </c>
      <c r="F50" s="34">
        <f>0.02805*((B50-F45)*F45)</f>
        <v>0.23898599999999998</v>
      </c>
      <c r="G50" s="34" t="s">
        <v>7</v>
      </c>
      <c r="H50" s="34" t="s">
        <v>7</v>
      </c>
      <c r="I50" s="34" t="s">
        <v>7</v>
      </c>
      <c r="J50" s="34" t="s">
        <v>7</v>
      </c>
      <c r="K50" s="34" t="s">
        <v>7</v>
      </c>
    </row>
    <row r="51" spans="1:11" x14ac:dyDescent="0.3">
      <c r="A51" s="32" t="s">
        <v>66</v>
      </c>
      <c r="B51" s="32">
        <v>11.11</v>
      </c>
      <c r="C51" s="33">
        <f>0.02805*((B51-C45)*C45)</f>
        <v>0.12016619999999999</v>
      </c>
      <c r="D51" s="34">
        <f>0.02805*((B51-D45)*D45)</f>
        <v>0.19071194999999996</v>
      </c>
      <c r="E51" s="34">
        <f>0.02805*((B51-E45)*E45)</f>
        <v>0.22868604000000001</v>
      </c>
      <c r="F51" s="34">
        <f>0.02805*((B51-F45)*F45)</f>
        <v>0.28358549999999999</v>
      </c>
      <c r="G51" s="34" t="s">
        <v>7</v>
      </c>
      <c r="H51" s="34" t="s">
        <v>7</v>
      </c>
      <c r="I51" s="34" t="s">
        <v>7</v>
      </c>
      <c r="J51" s="34" t="s">
        <v>7</v>
      </c>
      <c r="K51" s="34" t="s">
        <v>7</v>
      </c>
    </row>
    <row r="52" spans="1:11" x14ac:dyDescent="0.3">
      <c r="A52" s="32" t="s">
        <v>67</v>
      </c>
      <c r="B52" s="32">
        <v>12.7</v>
      </c>
      <c r="C52" s="33">
        <f>0.02805*((B52-C45)*C45)</f>
        <v>0.13800599999999999</v>
      </c>
      <c r="D52" s="34">
        <f>0.02805*((B52-D45)*D45)</f>
        <v>0.21970162499999998</v>
      </c>
      <c r="E52" s="34">
        <f>0.02805*((B52-E45)*E45)</f>
        <v>0.26391964500000004</v>
      </c>
      <c r="F52" s="34">
        <f>0.02805*((B52-F45)*F45)</f>
        <v>0.32818499999999995</v>
      </c>
      <c r="G52" s="34">
        <f>0.02805*((B52-G45)*G45)</f>
        <v>0.40717660499999997</v>
      </c>
      <c r="H52" s="34">
        <f>0.02805*((B52-H45)*H45)</f>
        <v>0.4437509999999999</v>
      </c>
      <c r="I52" s="34">
        <f>0.02805*((B52-I45)*I45)</f>
        <v>0.49550044499999996</v>
      </c>
      <c r="J52" s="34">
        <f>0.02805*((B52-J45)*J45)</f>
        <v>0.6075658049999999</v>
      </c>
      <c r="K52" s="34">
        <f>0.02805*((B52-K45)*K45)</f>
        <v>0.68895287999999988</v>
      </c>
    </row>
    <row r="53" spans="1:11" x14ac:dyDescent="0.3">
      <c r="A53" s="32" t="s">
        <v>68</v>
      </c>
      <c r="B53" s="32">
        <v>15.87</v>
      </c>
      <c r="C53" s="33">
        <f>0.02805*((B53-C45)*C45)</f>
        <v>0.17357339999999999</v>
      </c>
      <c r="D53" s="34">
        <f>0.02805*((B53-D45)*D45)</f>
        <v>0.27749864999999996</v>
      </c>
      <c r="E53" s="34">
        <f>0.02805*((B53-E45)*E45)</f>
        <v>0.33416525999999996</v>
      </c>
      <c r="F53" s="34">
        <f>0.02805*((B53-F45)*F45)</f>
        <v>0.41710349999999996</v>
      </c>
      <c r="G53" s="34">
        <f>0.02805*((B53-G45)*G45)</f>
        <v>0.52010309999999993</v>
      </c>
      <c r="H53" s="34">
        <f>0.02805*((B53-H45)*H45)</f>
        <v>0.56823689999999982</v>
      </c>
      <c r="I53" s="34">
        <f>0.02805*((B53-I45)*I45)</f>
        <v>0.63688085999999999</v>
      </c>
      <c r="J53" s="34">
        <f>0.02805*((B53-J45)*J45)</f>
        <v>0.78807035999999986</v>
      </c>
      <c r="K53" s="34">
        <f>0.02805*((B53-K45)*K45)</f>
        <v>0.90057890999999979</v>
      </c>
    </row>
    <row r="54" spans="1:11" x14ac:dyDescent="0.3">
      <c r="A54" s="32" t="s">
        <v>69</v>
      </c>
      <c r="B54" s="32">
        <v>19.05</v>
      </c>
      <c r="C54" s="33" t="s">
        <v>7</v>
      </c>
      <c r="D54" s="34">
        <f>0.02805*((B54-D45)*D45)</f>
        <v>0.33547800000000005</v>
      </c>
      <c r="E54" s="34">
        <f>0.02805*((B54-E45)*E45)</f>
        <v>0.40463247000000002</v>
      </c>
      <c r="F54" s="34">
        <f>0.02805*((B54-F45)*F45)</f>
        <v>0.50630249999999999</v>
      </c>
      <c r="G54" s="34">
        <f>0.02805*((B54-G45)*G45)</f>
        <v>0.63338582999999993</v>
      </c>
      <c r="H54" s="34">
        <f>0.02805*((B54-H45)*H45)</f>
        <v>0.6931155</v>
      </c>
      <c r="I54" s="34">
        <f>0.02805*((B54-I45)*I45)</f>
        <v>0.77870727000000006</v>
      </c>
      <c r="J54" s="34">
        <f>0.02805*((B54-J45)*J45)</f>
        <v>0.96914432999999978</v>
      </c>
      <c r="K54" s="34">
        <f>0.02805*((B54-K45)*K45)</f>
        <v>1.1128725300000002</v>
      </c>
    </row>
    <row r="55" spans="1:11" x14ac:dyDescent="0.3">
      <c r="A55" s="32" t="s">
        <v>70</v>
      </c>
      <c r="B55" s="32">
        <v>22.22</v>
      </c>
      <c r="C55" s="33" t="s">
        <v>7</v>
      </c>
      <c r="D55" s="34">
        <f>0.02805*((B55-D45)*D45)</f>
        <v>0.393275025</v>
      </c>
      <c r="E55" s="34">
        <f>0.02805*((B55-E45)*E45)</f>
        <v>0.47487808500000001</v>
      </c>
      <c r="F55" s="34">
        <f>0.02805*((B55-F45)*F45)</f>
        <v>0.59522099999999989</v>
      </c>
      <c r="G55" s="34">
        <f>0.02805*((B55-G45)*G45)</f>
        <v>0.746312325</v>
      </c>
      <c r="H55" s="34">
        <f>0.02805*((B55-H45)*H45)</f>
        <v>0.81760139999999992</v>
      </c>
      <c r="I55" s="34">
        <f>0.02805*((B55-I45)*I45)</f>
        <v>0.92008768499999982</v>
      </c>
      <c r="J55" s="34">
        <f>0.02805*((B55-J45)*J45)</f>
        <v>1.1496488849999997</v>
      </c>
      <c r="K55" s="34">
        <f>0.02805*((B55-K45)*K45)</f>
        <v>1.3244985599999999</v>
      </c>
    </row>
    <row r="56" spans="1:11" x14ac:dyDescent="0.3">
      <c r="A56" s="32" t="s">
        <v>71</v>
      </c>
      <c r="B56" s="32">
        <v>25.4</v>
      </c>
      <c r="C56" s="33" t="s">
        <v>7</v>
      </c>
      <c r="D56" s="34">
        <f>0.02805*((B56-D45)*D45)</f>
        <v>0.45125437500000004</v>
      </c>
      <c r="E56" s="34">
        <f>0.02805*((B56-E45)*E45)</f>
        <v>0.54534529499999995</v>
      </c>
      <c r="F56" s="34">
        <f>0.02805*((B56-F45)*F45)</f>
        <v>0.68441999999999992</v>
      </c>
      <c r="G56" s="34">
        <f>0.02805*((B56-G45)*G45)</f>
        <v>0.85959505499999989</v>
      </c>
      <c r="H56" s="34">
        <f>0.02805*((B56-H45)*H45)</f>
        <v>0.94247999999999976</v>
      </c>
      <c r="I56" s="34">
        <f>0.02805*((B56-I45)*I45)</f>
        <v>1.0619140949999999</v>
      </c>
      <c r="J56" s="34">
        <f>0.02805*((B56-J45)*J45)</f>
        <v>1.3307228549999996</v>
      </c>
      <c r="K56" s="34">
        <f>0.02805*((B56-K45)*K45)</f>
        <v>1.53679218</v>
      </c>
    </row>
    <row r="57" spans="1:11" x14ac:dyDescent="0.3">
      <c r="A57" s="32" t="s">
        <v>72</v>
      </c>
      <c r="B57" s="32">
        <v>28.57</v>
      </c>
      <c r="C57" s="33" t="s">
        <v>7</v>
      </c>
      <c r="D57" s="34">
        <f>0.02805*((B57-D45)*D45)</f>
        <v>0.50905140000000004</v>
      </c>
      <c r="E57" s="34">
        <f>0.02805*((B57-E45)*E45)</f>
        <v>0.61559090999999999</v>
      </c>
      <c r="F57" s="34">
        <f>0.02805*((B57-F45)*F45)</f>
        <v>0.77333849999999993</v>
      </c>
      <c r="G57" s="34">
        <f>0.02805*((B57-G45)*G45)</f>
        <v>0.97252154999999996</v>
      </c>
      <c r="H57" s="34">
        <f>0.02805*((B57-H45)*H45)</f>
        <v>1.0669658999999998</v>
      </c>
      <c r="I57" s="34">
        <f>0.02805*((B57-I45)*I45)</f>
        <v>1.2032945100000001</v>
      </c>
      <c r="J57" s="34">
        <f>0.02805*((B57-J45)*J45)</f>
        <v>1.5112274099999996</v>
      </c>
      <c r="K57" s="34">
        <f>0.02805*((B57-K45)*K45)</f>
        <v>1.7484182099999999</v>
      </c>
    </row>
    <row r="58" spans="1:11" x14ac:dyDescent="0.3">
      <c r="A58" s="32" t="s">
        <v>73</v>
      </c>
      <c r="B58" s="32">
        <v>31.75</v>
      </c>
      <c r="C58" s="33" t="s">
        <v>7</v>
      </c>
      <c r="D58" s="34">
        <f>0.02805*((B58-D45)*D45)</f>
        <v>0.56703074999999992</v>
      </c>
      <c r="E58" s="34">
        <f>0.02805*((B58-E45)*E45)</f>
        <v>0.68605811999999999</v>
      </c>
      <c r="F58" s="34">
        <f>0.02805*((B58-F45)*F45)</f>
        <v>0.86253749999999996</v>
      </c>
      <c r="G58" s="34">
        <f>0.02805*((B58-G45)*G45)</f>
        <v>1.0858042800000001</v>
      </c>
      <c r="H58" s="34">
        <f>0.02805*((B58-H45)*H45)</f>
        <v>1.1918445</v>
      </c>
      <c r="I58" s="34">
        <f>0.02805*((B58-I45)*I45)</f>
        <v>1.3451209199999998</v>
      </c>
      <c r="J58" s="34">
        <f>0.02805*((B58-J45)*J45)</f>
        <v>1.6923013799999997</v>
      </c>
      <c r="K58" s="34">
        <f>0.02805*((B58-K45)*K45)</f>
        <v>1.9607118299999997</v>
      </c>
    </row>
    <row r="59" spans="1:11" x14ac:dyDescent="0.3">
      <c r="A59" s="32" t="s">
        <v>74</v>
      </c>
      <c r="B59" s="32">
        <v>34.92</v>
      </c>
      <c r="C59" s="33" t="s">
        <v>7</v>
      </c>
      <c r="D59" s="34">
        <f>0.02805*((B59-D45)*D45)</f>
        <v>0.62482777500000009</v>
      </c>
      <c r="E59" s="34">
        <f>0.02805*((B59-E45)*E45)</f>
        <v>0.75630373500000003</v>
      </c>
      <c r="F59" s="34">
        <f>0.02805*((B59-F45)*F45)</f>
        <v>0.95145599999999997</v>
      </c>
      <c r="G59" s="34">
        <f>0.02805*((B59-G45)*G45)</f>
        <v>1.198730775</v>
      </c>
      <c r="H59" s="34">
        <f>0.02805*((B59-H45)*H45)</f>
        <v>1.3163304</v>
      </c>
      <c r="I59" s="34">
        <f>0.02805*((B59-I45)*I45)</f>
        <v>1.486501335</v>
      </c>
      <c r="J59" s="34">
        <f>0.02805*((B59-J45)*J45)</f>
        <v>1.8728059349999999</v>
      </c>
      <c r="K59" s="34">
        <f>0.02805*((B59-K45)*K45)</f>
        <v>2.1723378599999998</v>
      </c>
    </row>
    <row r="60" spans="1:11" x14ac:dyDescent="0.3">
      <c r="A60" s="32" t="s">
        <v>75</v>
      </c>
      <c r="B60" s="32">
        <v>38.1</v>
      </c>
      <c r="C60" s="33" t="s">
        <v>7</v>
      </c>
      <c r="D60" s="34">
        <f>0.02805*((B60-D45)*D45)</f>
        <v>0.68280712499999996</v>
      </c>
      <c r="E60" s="34">
        <f>0.02805*((B60-E45)*E45)</f>
        <v>0.82677094500000003</v>
      </c>
      <c r="F60" s="34">
        <f>0.02805*((B60-F45)*F45)</f>
        <v>1.0406549999999999</v>
      </c>
      <c r="G60" s="34">
        <f>0.02805*((B60-G45)*G45)</f>
        <v>1.3120135049999999</v>
      </c>
      <c r="H60" s="34">
        <f>0.02805*((B60-H45)*H45)</f>
        <v>1.441209</v>
      </c>
      <c r="I60" s="34">
        <f>0.02805*((B60-I45)*I45)</f>
        <v>1.6283277449999998</v>
      </c>
      <c r="J60" s="34">
        <f>0.02805*((B60-J45)*J45)</f>
        <v>2.0538799049999996</v>
      </c>
      <c r="K60" s="34">
        <f>0.02805*((B60-K45)*K45)</f>
        <v>2.3846314799999999</v>
      </c>
    </row>
    <row r="61" spans="1:11" x14ac:dyDescent="0.3">
      <c r="A61" s="32" t="s">
        <v>76</v>
      </c>
      <c r="B61" s="32">
        <v>41.27</v>
      </c>
      <c r="C61" s="33" t="s">
        <v>7</v>
      </c>
      <c r="D61" s="34">
        <f>0.02805*((B61-D45)*D45)</f>
        <v>0.74060415000000002</v>
      </c>
      <c r="E61" s="34">
        <f>0.02805*((B61-E45)*E45)</f>
        <v>0.89701656000000007</v>
      </c>
      <c r="F61" s="34">
        <f>0.02805*((B61-F45)*F45)</f>
        <v>1.1295735</v>
      </c>
      <c r="G61" s="34">
        <f>0.02805*((B61-G45)*G45)</f>
        <v>1.4249399999999999</v>
      </c>
      <c r="H61" s="34">
        <f>0.02805*((B61-H45)*H45)</f>
        <v>1.5656949</v>
      </c>
      <c r="I61" s="34">
        <f>0.02805*((B61-I45)*I45)</f>
        <v>1.76970816</v>
      </c>
      <c r="J61" s="34">
        <f>0.02805*((B61-J45)*J45)</f>
        <v>2.2343844599999998</v>
      </c>
      <c r="K61" s="34">
        <f>0.02805*((B61-K45)*K45)</f>
        <v>2.59625751</v>
      </c>
    </row>
    <row r="62" spans="1:11" x14ac:dyDescent="0.3">
      <c r="A62" s="32" t="s">
        <v>77</v>
      </c>
      <c r="B62" s="32">
        <v>44.45</v>
      </c>
      <c r="C62" s="33" t="s">
        <v>7</v>
      </c>
      <c r="D62" s="34">
        <f>0.02805*((B62-D45)*D45)</f>
        <v>0.7985835</v>
      </c>
      <c r="E62" s="34">
        <f>0.02805*((B62-E45)*E45)</f>
        <v>0.96748377000000008</v>
      </c>
      <c r="F62" s="34">
        <f>0.02805*((B62-F45)*F45)</f>
        <v>1.2187725</v>
      </c>
      <c r="G62" s="34">
        <f>0.02805*((B62-G45)*G45)</f>
        <v>1.53822273</v>
      </c>
      <c r="H62" s="34">
        <f>0.02805*((B62-H45)*H45)</f>
        <v>1.6905735</v>
      </c>
      <c r="I62" s="34">
        <f>0.02805*((B62-I45)*I45)</f>
        <v>1.9115345699999999</v>
      </c>
      <c r="J62" s="34">
        <f>0.02805*((B62-J45)*J45)</f>
        <v>2.4154584299999997</v>
      </c>
      <c r="K62" s="34">
        <f>0.02805*((B62-K45)*K45)</f>
        <v>2.8085511299999997</v>
      </c>
    </row>
    <row r="63" spans="1:11" x14ac:dyDescent="0.3">
      <c r="A63" s="32" t="s">
        <v>78</v>
      </c>
      <c r="B63" s="32">
        <v>50.8</v>
      </c>
      <c r="C63" s="33" t="s">
        <v>7</v>
      </c>
      <c r="D63" s="34">
        <f>0.02805*((B63-D45)*D45)</f>
        <v>0.91435987500000004</v>
      </c>
      <c r="E63" s="34">
        <f>0.02805*((B63-E45)*E45)</f>
        <v>1.1081965949999999</v>
      </c>
      <c r="F63" s="34">
        <f>0.02805*((B63-F62)*F62)</f>
        <v>1.695012036440487</v>
      </c>
      <c r="G63" s="34">
        <f>0.02805*((B63-G45)*G45)</f>
        <v>1.7644319549999998</v>
      </c>
      <c r="H63" s="34">
        <f>0.02805*((B63-H45)*H45)</f>
        <v>1.9399379999999997</v>
      </c>
      <c r="I63" s="34">
        <f>0.02805*((B63-I45)*I45)</f>
        <v>2.1947413949999999</v>
      </c>
      <c r="J63" s="34">
        <f>0.02805*((B63-J45)*J45)</f>
        <v>2.7770369549999994</v>
      </c>
      <c r="K63" s="34">
        <f>0.02805*((B63-K45)*K45)</f>
        <v>3.2324707799999994</v>
      </c>
    </row>
    <row r="64" spans="1:11" x14ac:dyDescent="0.3">
      <c r="A64" s="32" t="s">
        <v>79</v>
      </c>
      <c r="B64" s="32">
        <v>53.97</v>
      </c>
      <c r="C64" s="33" t="s">
        <v>7</v>
      </c>
      <c r="D64" s="34" t="s">
        <v>7</v>
      </c>
      <c r="E64" s="34" t="s">
        <v>7</v>
      </c>
      <c r="F64" s="34">
        <f>0.02805*((B64-F45)*F45)</f>
        <v>1.4858084999999999</v>
      </c>
      <c r="G64" s="34">
        <f>0.02805*((B64-G45)*G45)</f>
        <v>1.87735845</v>
      </c>
      <c r="H64" s="34">
        <f>0.02805*((B64-H45)*H45)</f>
        <v>2.0644239</v>
      </c>
      <c r="I64" s="34">
        <f>0.02805*((B64-I45)*I45)</f>
        <v>2.3361218099999999</v>
      </c>
      <c r="J64" s="34">
        <f>0.02805*((B64-J45)*J45)</f>
        <v>2.9575415099999991</v>
      </c>
      <c r="K64" s="34">
        <f>0.02805*((B64-K45)*K45)</f>
        <v>3.4440968099999996</v>
      </c>
    </row>
    <row r="65" spans="1:11" x14ac:dyDescent="0.3">
      <c r="A65" s="32" t="s">
        <v>80</v>
      </c>
      <c r="B65" s="32">
        <v>57.15</v>
      </c>
      <c r="C65" s="33" t="s">
        <v>7</v>
      </c>
      <c r="D65" s="34" t="s">
        <v>7</v>
      </c>
      <c r="E65" s="34" t="s">
        <v>7</v>
      </c>
      <c r="F65" s="34">
        <f>0.02805*((B65-F45)*F45)</f>
        <v>1.5750074999999999</v>
      </c>
      <c r="G65" s="34">
        <f>0.02805*((B65-G45)*G45)</f>
        <v>1.9906411799999997</v>
      </c>
      <c r="H65" s="34">
        <f>0.02805*((B65-H45)*H45)</f>
        <v>2.1893024999999997</v>
      </c>
      <c r="I65" s="34">
        <f>0.02805*((B65-I45)*I45)</f>
        <v>2.47794822</v>
      </c>
      <c r="J65" s="34">
        <f>0.02805*((B65-J45)*J45)</f>
        <v>3.138615479999999</v>
      </c>
      <c r="K65" s="34">
        <f>0.02805*((B65-K45)*K45)</f>
        <v>3.6563904299999996</v>
      </c>
    </row>
    <row r="66" spans="1:11" x14ac:dyDescent="0.3">
      <c r="A66" s="32" t="s">
        <v>81</v>
      </c>
      <c r="B66" s="32">
        <v>63.5</v>
      </c>
      <c r="C66" s="33" t="s">
        <v>7</v>
      </c>
      <c r="D66" s="34" t="s">
        <v>7</v>
      </c>
      <c r="E66" s="34" t="s">
        <v>7</v>
      </c>
      <c r="F66" s="34">
        <f>0.02805*((B66-F45)*F45)</f>
        <v>1.7531249999999998</v>
      </c>
      <c r="G66" s="34">
        <f>0.02805*((B66-G45)*G45)</f>
        <v>2.2168504049999997</v>
      </c>
      <c r="H66" s="34">
        <f>0.02805*((B66-H45)*H45)</f>
        <v>2.4386669999999997</v>
      </c>
      <c r="I66" s="34">
        <f>0.02805*((B66-I45)*I45)</f>
        <v>2.7611550449999998</v>
      </c>
      <c r="J66" s="34">
        <f>0.02805*((B66-J45)*J45)</f>
        <v>3.5001940049999991</v>
      </c>
      <c r="K66" s="34">
        <f>0.02805*((B66-K45)*K45)</f>
        <v>4.0803100799999994</v>
      </c>
    </row>
    <row r="67" spans="1:11" x14ac:dyDescent="0.3">
      <c r="A67" s="32" t="s">
        <v>82</v>
      </c>
      <c r="B67" s="32">
        <v>66.67</v>
      </c>
      <c r="C67" s="33" t="s">
        <v>7</v>
      </c>
      <c r="D67" s="34" t="s">
        <v>7</v>
      </c>
      <c r="E67" s="34" t="s">
        <v>7</v>
      </c>
      <c r="F67" s="34">
        <f>0.02805*((B67-F45)*F45)</f>
        <v>1.8420434999999999</v>
      </c>
      <c r="G67" s="34">
        <f>0.02805*((B67-G45)*G45)</f>
        <v>2.3297769000000002</v>
      </c>
      <c r="H67" s="34">
        <f>0.02805*((B67-H45)*H45)</f>
        <v>2.5631528999999995</v>
      </c>
      <c r="I67" s="34">
        <f>0.02805*((B67-I45)*I45)</f>
        <v>2.9025354599999997</v>
      </c>
      <c r="J67" s="34">
        <f>0.02805*((B67-J45)*J45)</f>
        <v>3.6806985599999997</v>
      </c>
      <c r="K67" s="34">
        <f>0.02805*((B67-K45)*K45)</f>
        <v>4.29193611</v>
      </c>
    </row>
    <row r="68" spans="1:11" x14ac:dyDescent="0.3">
      <c r="A68" s="32" t="s">
        <v>83</v>
      </c>
      <c r="B68" s="32">
        <v>76.2</v>
      </c>
      <c r="C68" s="33" t="s">
        <v>7</v>
      </c>
      <c r="D68" s="34" t="s">
        <v>7</v>
      </c>
      <c r="E68" s="34" t="s">
        <v>7</v>
      </c>
      <c r="F68" s="34">
        <f>0.02805*((B68-F45)*F45)</f>
        <v>2.1093600000000001</v>
      </c>
      <c r="G68" s="34">
        <f>0.02805*((B68-G45)*G45)</f>
        <v>2.6692688549999999</v>
      </c>
      <c r="H68" s="34">
        <f>0.02805*((B68-H45)*H45)</f>
        <v>2.9373959999999992</v>
      </c>
      <c r="I68" s="34">
        <f>0.02805*((B68-I45)*I45)</f>
        <v>3.3275686950000001</v>
      </c>
      <c r="J68" s="34">
        <f>0.02805*((B68-J45)*J45)</f>
        <v>4.2233510550000002</v>
      </c>
      <c r="K68" s="34">
        <f>0.02805*((B68-K45)*K45)</f>
        <v>4.9281493800000007</v>
      </c>
    </row>
    <row r="69" spans="1:11" x14ac:dyDescent="0.3">
      <c r="A69" s="32" t="s">
        <v>84</v>
      </c>
      <c r="B69" s="32">
        <v>79.37</v>
      </c>
      <c r="C69" s="33" t="s">
        <v>7</v>
      </c>
      <c r="D69" s="34" t="s">
        <v>7</v>
      </c>
      <c r="E69" s="34" t="s">
        <v>7</v>
      </c>
      <c r="F69" s="34" t="s">
        <v>7</v>
      </c>
      <c r="G69" s="34">
        <f>0.02805*((B69-G45)*G45)</f>
        <v>2.7821953500000003</v>
      </c>
      <c r="H69" s="34">
        <f>0.02805*((B69-H45)*H45)</f>
        <v>3.0618818999999995</v>
      </c>
      <c r="I69" s="34">
        <f>0.02805*((B69-I45)*I45)</f>
        <v>3.4689491100000001</v>
      </c>
      <c r="J69" s="34">
        <f>0.02805*((B69-J45)*J45)</f>
        <v>4.403855609999999</v>
      </c>
      <c r="K69" s="34">
        <f>0.02805*((B69-K45)*K45)</f>
        <v>5.1397754100000004</v>
      </c>
    </row>
    <row r="70" spans="1:11" x14ac:dyDescent="0.3">
      <c r="A70" s="32" t="s">
        <v>85</v>
      </c>
      <c r="B70" s="32">
        <v>92.07</v>
      </c>
      <c r="C70" s="33" t="s">
        <v>7</v>
      </c>
      <c r="D70" s="34" t="s">
        <v>7</v>
      </c>
      <c r="E70" s="34" t="s">
        <v>7</v>
      </c>
      <c r="F70" s="34" t="s">
        <v>7</v>
      </c>
      <c r="G70" s="34">
        <f>0.02805*((B70-G45)*G45)</f>
        <v>3.2346138</v>
      </c>
      <c r="H70" s="34">
        <f>0.02805*((B70-H45)*H45)</f>
        <v>3.560610899999999</v>
      </c>
      <c r="I70" s="34">
        <f>0.02805*((B70-I45)*I45)</f>
        <v>4.035362759999999</v>
      </c>
      <c r="J70" s="34">
        <f>0.02805*((B70-J45)*J45)</f>
        <v>5.1270126599999983</v>
      </c>
      <c r="K70" s="34">
        <f>0.02805*((B70-K45)*K45)</f>
        <v>5.9876147099999999</v>
      </c>
    </row>
    <row r="71" spans="1:11" x14ac:dyDescent="0.3">
      <c r="A71" s="32" t="s">
        <v>86</v>
      </c>
      <c r="B71" s="32">
        <v>104.77</v>
      </c>
      <c r="C71" s="33" t="s">
        <v>7</v>
      </c>
      <c r="D71" s="34" t="s">
        <v>7</v>
      </c>
      <c r="E71" s="34" t="s">
        <v>7</v>
      </c>
      <c r="F71" s="34" t="s">
        <v>7</v>
      </c>
      <c r="G71" s="34">
        <f>0.02805*((B71-G45)*G45)</f>
        <v>3.6870322499999997</v>
      </c>
      <c r="H71" s="34">
        <f>0.02805*((B71-H45)*H45)</f>
        <v>4.0593398999999994</v>
      </c>
      <c r="I71" s="34">
        <f>0.02805*((B71-I45)*I45)</f>
        <v>4.6017764099999994</v>
      </c>
      <c r="J71" s="34">
        <f>0.02805*((B71-J45)*J45)</f>
        <v>5.8501697099999985</v>
      </c>
      <c r="K71" s="34">
        <f>0.02805*((B71-K45)*K45)</f>
        <v>6.8354540099999994</v>
      </c>
    </row>
  </sheetData>
  <mergeCells count="35">
    <mergeCell ref="K10:K11"/>
    <mergeCell ref="K9:R9"/>
    <mergeCell ref="B10:C10"/>
    <mergeCell ref="A11:I11"/>
    <mergeCell ref="A12:A14"/>
    <mergeCell ref="B12:C12"/>
    <mergeCell ref="D12:D14"/>
    <mergeCell ref="E12:E14"/>
    <mergeCell ref="F12:F14"/>
    <mergeCell ref="G12:G14"/>
    <mergeCell ref="H12:H14"/>
    <mergeCell ref="I12:I14"/>
    <mergeCell ref="B13:C13"/>
    <mergeCell ref="B14:C14"/>
    <mergeCell ref="A9:I9"/>
    <mergeCell ref="A44:B44"/>
    <mergeCell ref="C44:K44"/>
    <mergeCell ref="A41:K42"/>
    <mergeCell ref="A43:K43"/>
    <mergeCell ref="B15:C15"/>
    <mergeCell ref="B16:C16"/>
    <mergeCell ref="N1:Q2"/>
    <mergeCell ref="O4:Q4"/>
    <mergeCell ref="O5:Q5"/>
    <mergeCell ref="O6:Q6"/>
    <mergeCell ref="A1:A7"/>
    <mergeCell ref="B1:I1"/>
    <mergeCell ref="C2:D2"/>
    <mergeCell ref="E2:I2"/>
    <mergeCell ref="C3:D3"/>
    <mergeCell ref="E3:I7"/>
    <mergeCell ref="C4:D4"/>
    <mergeCell ref="C5:D5"/>
    <mergeCell ref="C6:D6"/>
    <mergeCell ref="C7:D7"/>
  </mergeCells>
  <dataValidations count="3">
    <dataValidation type="list" allowBlank="1" showInputMessage="1" showErrorMessage="1" sqref="B12:C14" xr:uid="{874888A3-7BFA-4C24-80D7-ABC974D274D7}">
      <formula1>"-, Corrosivo, Salino, Poeirento, Sem Observações do Cliente,"</formula1>
    </dataValidation>
    <dataValidation type="list" allowBlank="1" showInputMessage="1" showErrorMessage="1" sqref="B15:C16" xr:uid="{230EE608-F1BB-45B4-834C-101205C928EC}">
      <formula1>"-, Sala de Painéis - Pressão Positiva, Sala de Automação - Pressão Positiva, Sala de Baterias - Pressão Neutra,"</formula1>
    </dataValidation>
    <dataValidation type="list" allowBlank="1" showInputMessage="1" showErrorMessage="1" sqref="A12:A14" xr:uid="{82B8F7C0-21DC-40CC-99AD-950F4211AC71}">
      <formula1>$K$13:$K$16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1E711-095F-4F60-B405-4D1470CC7C33}">
  <sheetPr codeName="Planilha9">
    <tabColor theme="0" tint="-0.499984740745262"/>
  </sheetPr>
  <dimension ref="A1:W61"/>
  <sheetViews>
    <sheetView topLeftCell="A3" zoomScale="90" zoomScaleNormal="90" workbookViewId="0">
      <selection activeCell="F20" sqref="F20"/>
    </sheetView>
  </sheetViews>
  <sheetFormatPr defaultRowHeight="14.4" x14ac:dyDescent="0.3"/>
  <cols>
    <col min="1" max="1" width="36.6640625" customWidth="1"/>
    <col min="2" max="11" width="12.6640625" customWidth="1"/>
    <col min="12" max="12" width="33.33203125" customWidth="1"/>
    <col min="13" max="22" width="12.6640625" customWidth="1"/>
  </cols>
  <sheetData>
    <row r="1" spans="1:23" ht="22.2" x14ac:dyDescent="0.3">
      <c r="A1" s="713"/>
      <c r="B1" s="1155" t="s">
        <v>122</v>
      </c>
      <c r="C1" s="1155"/>
      <c r="D1" s="1155"/>
      <c r="E1" s="1155"/>
      <c r="F1" s="1155"/>
      <c r="G1" s="1155"/>
      <c r="H1" s="1155"/>
      <c r="I1" s="1155"/>
      <c r="J1" s="1155"/>
      <c r="K1" s="3"/>
      <c r="L1" s="3"/>
      <c r="M1" s="4"/>
      <c r="N1" s="4"/>
      <c r="O1" s="4"/>
      <c r="P1" s="4"/>
      <c r="Q1" s="4"/>
      <c r="R1" s="4"/>
      <c r="S1" s="4"/>
      <c r="T1" s="4"/>
      <c r="U1" s="4"/>
      <c r="V1" s="4"/>
      <c r="W1" s="7"/>
    </row>
    <row r="2" spans="1:23" x14ac:dyDescent="0.3">
      <c r="A2" s="713"/>
      <c r="B2" s="47" t="s">
        <v>46</v>
      </c>
      <c r="C2" s="1187" t="s">
        <v>49</v>
      </c>
      <c r="D2" s="1187"/>
      <c r="E2" s="1187"/>
      <c r="F2" s="1041" t="s">
        <v>44</v>
      </c>
      <c r="G2" s="1041"/>
      <c r="H2" s="1041"/>
      <c r="I2" s="1041"/>
      <c r="J2" s="1041"/>
      <c r="K2" s="3"/>
      <c r="L2" s="3"/>
      <c r="M2" s="4"/>
      <c r="N2" s="4"/>
      <c r="O2" s="4"/>
      <c r="P2" s="4"/>
      <c r="Q2" s="4"/>
      <c r="R2" s="4"/>
      <c r="S2" s="4"/>
      <c r="T2" s="4"/>
      <c r="U2" s="4"/>
      <c r="V2" s="4"/>
      <c r="W2" s="7"/>
    </row>
    <row r="3" spans="1:23" ht="15" customHeight="1" x14ac:dyDescent="0.3">
      <c r="A3" s="713"/>
      <c r="B3" s="47" t="s">
        <v>47</v>
      </c>
      <c r="C3" s="1187"/>
      <c r="D3" s="1187"/>
      <c r="E3" s="1187"/>
      <c r="F3" s="1188"/>
      <c r="G3" s="1188"/>
      <c r="H3" s="1188"/>
      <c r="I3" s="1188"/>
      <c r="J3" s="1188"/>
      <c r="K3" s="3"/>
      <c r="L3" s="1196" t="s">
        <v>120</v>
      </c>
      <c r="M3" s="1196"/>
      <c r="N3" s="1196"/>
      <c r="O3" s="1196"/>
      <c r="P3" s="1196"/>
      <c r="Q3" s="1196"/>
      <c r="R3" s="1196"/>
      <c r="S3" s="1196"/>
      <c r="T3" s="1196"/>
      <c r="U3" s="1196"/>
      <c r="V3" s="1196"/>
      <c r="W3" s="7"/>
    </row>
    <row r="4" spans="1:23" x14ac:dyDescent="0.3">
      <c r="A4" s="713"/>
      <c r="B4" s="47" t="s">
        <v>48</v>
      </c>
      <c r="C4" s="1187"/>
      <c r="D4" s="1187"/>
      <c r="E4" s="1187"/>
      <c r="F4" s="1188"/>
      <c r="G4" s="1188"/>
      <c r="H4" s="1188"/>
      <c r="I4" s="1188"/>
      <c r="J4" s="1188"/>
      <c r="K4" s="3"/>
      <c r="L4" s="38" t="s">
        <v>111</v>
      </c>
      <c r="M4" s="56" t="s">
        <v>767</v>
      </c>
      <c r="N4" s="56" t="s">
        <v>765</v>
      </c>
      <c r="O4" s="56" t="s">
        <v>766</v>
      </c>
      <c r="P4" s="56" t="s">
        <v>117</v>
      </c>
      <c r="Q4" s="56"/>
      <c r="R4" s="56" t="s">
        <v>118</v>
      </c>
      <c r="S4" s="56"/>
      <c r="T4" s="56" t="s">
        <v>121</v>
      </c>
      <c r="U4" s="56" t="s">
        <v>40</v>
      </c>
      <c r="V4" s="56" t="s">
        <v>119</v>
      </c>
      <c r="W4" s="7"/>
    </row>
    <row r="5" spans="1:23" x14ac:dyDescent="0.3">
      <c r="A5" s="713"/>
      <c r="B5" s="47" t="s">
        <v>90</v>
      </c>
      <c r="C5" s="1213"/>
      <c r="D5" s="1156"/>
      <c r="E5" s="1156"/>
      <c r="F5" s="1188"/>
      <c r="G5" s="1188"/>
      <c r="H5" s="1188"/>
      <c r="I5" s="1188"/>
      <c r="J5" s="1188"/>
      <c r="K5" s="3"/>
      <c r="L5" s="57"/>
      <c r="M5" s="58"/>
      <c r="N5" s="58"/>
      <c r="O5" s="58"/>
      <c r="P5" s="58"/>
      <c r="Q5" s="58"/>
      <c r="R5" s="58"/>
      <c r="S5" s="58"/>
      <c r="T5" s="58"/>
      <c r="U5" s="58"/>
      <c r="V5" s="58"/>
      <c r="W5" s="7"/>
    </row>
    <row r="6" spans="1:23" x14ac:dyDescent="0.3">
      <c r="A6" s="713"/>
      <c r="B6" s="81" t="s">
        <v>91</v>
      </c>
      <c r="C6" s="1212"/>
      <c r="D6" s="812"/>
      <c r="E6" s="812"/>
      <c r="F6" s="1188"/>
      <c r="G6" s="1188"/>
      <c r="H6" s="1188"/>
      <c r="I6" s="1188"/>
      <c r="J6" s="1188"/>
      <c r="K6" s="3"/>
      <c r="L6" s="78" t="s">
        <v>164</v>
      </c>
      <c r="M6" s="306">
        <v>40</v>
      </c>
      <c r="N6" s="306"/>
      <c r="O6" s="306"/>
      <c r="P6" s="306">
        <v>38.299999999999997</v>
      </c>
      <c r="Q6" s="306"/>
      <c r="R6" s="307">
        <v>0.9</v>
      </c>
      <c r="S6" s="307"/>
      <c r="T6" s="50">
        <v>-2.5299999999999998</v>
      </c>
      <c r="U6" s="50">
        <v>-44.3</v>
      </c>
      <c r="V6" s="51">
        <v>40</v>
      </c>
      <c r="W6" s="7"/>
    </row>
    <row r="7" spans="1:23" x14ac:dyDescent="0.3">
      <c r="A7" s="713"/>
      <c r="B7" s="47" t="s">
        <v>110</v>
      </c>
      <c r="C7" s="1213">
        <f ca="1">NOW()</f>
        <v>45953.89526203704</v>
      </c>
      <c r="D7" s="1156"/>
      <c r="E7" s="1156"/>
      <c r="F7" s="1188"/>
      <c r="G7" s="1188"/>
      <c r="H7" s="1188"/>
      <c r="I7" s="1188"/>
      <c r="J7" s="1188"/>
      <c r="K7" s="3"/>
      <c r="L7" s="78" t="s">
        <v>112</v>
      </c>
      <c r="M7" s="306">
        <v>37</v>
      </c>
      <c r="N7" s="306"/>
      <c r="O7" s="306"/>
      <c r="P7" s="306">
        <v>34.9</v>
      </c>
      <c r="Q7" s="306"/>
      <c r="R7" s="307">
        <v>0.85</v>
      </c>
      <c r="S7" s="307"/>
      <c r="T7" s="50">
        <v>-1.4</v>
      </c>
      <c r="U7" s="50">
        <v>-45.78</v>
      </c>
      <c r="V7" s="51">
        <v>10</v>
      </c>
      <c r="W7" s="7"/>
    </row>
    <row r="8" spans="1:23" ht="15" thickBot="1" x14ac:dyDescent="0.35">
      <c r="A8" s="43"/>
      <c r="B8" s="43"/>
      <c r="C8" s="43"/>
      <c r="D8" s="43"/>
      <c r="E8" s="43"/>
      <c r="F8" s="43"/>
      <c r="G8" s="43"/>
      <c r="H8" s="44"/>
      <c r="I8" s="45"/>
      <c r="J8" s="44"/>
      <c r="K8" s="3"/>
      <c r="L8" s="205" t="s">
        <v>128</v>
      </c>
      <c r="M8" s="306">
        <v>34.5</v>
      </c>
      <c r="N8" s="306"/>
      <c r="O8" s="306"/>
      <c r="P8" s="306">
        <v>31.4</v>
      </c>
      <c r="Q8" s="306"/>
      <c r="R8" s="307"/>
      <c r="S8" s="307"/>
      <c r="T8" s="50">
        <v>-20.5</v>
      </c>
      <c r="U8" s="50">
        <v>-43.9</v>
      </c>
      <c r="V8" s="51">
        <v>870</v>
      </c>
      <c r="W8" s="7"/>
    </row>
    <row r="9" spans="1:23" x14ac:dyDescent="0.3">
      <c r="A9" s="1214" t="s">
        <v>0</v>
      </c>
      <c r="B9" s="1215"/>
      <c r="C9" s="1215"/>
      <c r="D9" s="1215"/>
      <c r="E9" s="1215"/>
      <c r="F9" s="1215"/>
      <c r="G9" s="1215"/>
      <c r="H9" s="1215"/>
      <c r="I9" s="1215"/>
      <c r="J9" s="1215"/>
      <c r="K9" s="3"/>
      <c r="L9" s="78" t="s">
        <v>165</v>
      </c>
      <c r="M9" s="306"/>
      <c r="N9" s="306"/>
      <c r="O9" s="306"/>
      <c r="P9" s="306"/>
      <c r="Q9" s="306"/>
      <c r="R9" s="307"/>
      <c r="S9" s="307"/>
      <c r="T9" s="50"/>
      <c r="U9" s="50"/>
      <c r="V9" s="51"/>
      <c r="W9" s="7"/>
    </row>
    <row r="10" spans="1:23" x14ac:dyDescent="0.3">
      <c r="A10" s="38" t="s">
        <v>111</v>
      </c>
      <c r="B10" s="930" t="s">
        <v>3</v>
      </c>
      <c r="C10" s="930"/>
      <c r="D10" s="930"/>
      <c r="E10" s="38" t="s">
        <v>116</v>
      </c>
      <c r="F10" s="38" t="s">
        <v>117</v>
      </c>
      <c r="G10" s="38" t="s">
        <v>118</v>
      </c>
      <c r="H10" s="76" t="s">
        <v>39</v>
      </c>
      <c r="I10" s="76" t="s">
        <v>40</v>
      </c>
      <c r="J10" s="77" t="s">
        <v>119</v>
      </c>
      <c r="K10" s="3"/>
      <c r="L10" s="78" t="s">
        <v>166</v>
      </c>
      <c r="M10" s="306">
        <v>40</v>
      </c>
      <c r="N10" s="306"/>
      <c r="O10" s="306"/>
      <c r="P10" s="306">
        <v>36.799999999999997</v>
      </c>
      <c r="Q10" s="306"/>
      <c r="R10" s="307">
        <v>0.8</v>
      </c>
      <c r="S10" s="307"/>
      <c r="T10" s="50">
        <v>-23</v>
      </c>
      <c r="U10" s="50">
        <v>-44</v>
      </c>
      <c r="V10" s="51">
        <v>10</v>
      </c>
      <c r="W10" s="3"/>
    </row>
    <row r="11" spans="1:23" x14ac:dyDescent="0.3">
      <c r="A11" s="1216"/>
      <c r="B11" s="1216"/>
      <c r="C11" s="1216"/>
      <c r="D11" s="1216"/>
      <c r="E11" s="1216"/>
      <c r="F11" s="1216"/>
      <c r="G11" s="1216"/>
      <c r="H11" s="1216"/>
      <c r="I11" s="1216"/>
      <c r="J11" s="1216"/>
      <c r="K11" s="3"/>
      <c r="L11" s="79" t="s">
        <v>167</v>
      </c>
      <c r="M11" s="306"/>
      <c r="N11" s="306"/>
      <c r="O11" s="306"/>
      <c r="P11" s="306"/>
      <c r="Q11" s="306"/>
      <c r="R11" s="307"/>
      <c r="S11" s="307"/>
      <c r="T11" s="50"/>
      <c r="U11" s="50"/>
      <c r="V11" s="51"/>
      <c r="W11" s="7"/>
    </row>
    <row r="12" spans="1:23" x14ac:dyDescent="0.3">
      <c r="A12" s="930" t="s">
        <v>170</v>
      </c>
      <c r="B12" s="713" t="s">
        <v>113</v>
      </c>
      <c r="C12" s="713"/>
      <c r="D12" s="713"/>
      <c r="E12" s="1217">
        <f>VLOOKUP(A12,L6:V14,2,)</f>
        <v>37.5</v>
      </c>
      <c r="F12" s="1217">
        <f>VLOOKUP(A12,L6:V14,3,)</f>
        <v>0</v>
      </c>
      <c r="G12" s="1218">
        <f>VLOOKUP(A12,L6:V14,4,)</f>
        <v>0</v>
      </c>
      <c r="H12" s="1219">
        <f>VLOOKUP(A12,L6:V14,5,)</f>
        <v>33.299999999999997</v>
      </c>
      <c r="I12" s="1219">
        <f>VLOOKUP(A12,L6:V14,6,)</f>
        <v>0</v>
      </c>
      <c r="J12" s="930">
        <f>VLOOKUP(A12,L6:V14,7,)</f>
        <v>0.75</v>
      </c>
      <c r="K12" s="11"/>
      <c r="L12" s="79" t="s">
        <v>168</v>
      </c>
      <c r="M12" s="306">
        <v>40</v>
      </c>
      <c r="N12" s="306"/>
      <c r="O12" s="306"/>
      <c r="P12" s="306">
        <v>37.700000000000003</v>
      </c>
      <c r="Q12" s="306"/>
      <c r="R12" s="307">
        <v>0.86</v>
      </c>
      <c r="S12" s="307"/>
      <c r="T12" s="50">
        <v>-3.66</v>
      </c>
      <c r="U12" s="50">
        <v>-45.38</v>
      </c>
      <c r="V12" s="51"/>
      <c r="W12" s="7"/>
    </row>
    <row r="13" spans="1:23" x14ac:dyDescent="0.3">
      <c r="A13" s="930"/>
      <c r="B13" s="713" t="s">
        <v>114</v>
      </c>
      <c r="C13" s="713"/>
      <c r="D13" s="713"/>
      <c r="E13" s="1217"/>
      <c r="F13" s="1217"/>
      <c r="G13" s="1218"/>
      <c r="H13" s="1219"/>
      <c r="I13" s="1219"/>
      <c r="J13" s="930"/>
      <c r="K13" s="11"/>
      <c r="L13" s="14" t="s">
        <v>169</v>
      </c>
      <c r="M13" s="306">
        <v>40</v>
      </c>
      <c r="N13" s="306"/>
      <c r="O13" s="306"/>
      <c r="P13" s="306">
        <v>37.700000000000003</v>
      </c>
      <c r="Q13" s="306"/>
      <c r="R13" s="307">
        <v>0.86</v>
      </c>
      <c r="S13" s="307"/>
      <c r="T13" s="50">
        <v>-5.37</v>
      </c>
      <c r="U13" s="50">
        <v>-49.12</v>
      </c>
      <c r="V13" s="51"/>
      <c r="W13" s="7"/>
    </row>
    <row r="14" spans="1:23" x14ac:dyDescent="0.3">
      <c r="A14" s="930"/>
      <c r="B14" s="713" t="s">
        <v>115</v>
      </c>
      <c r="C14" s="713"/>
      <c r="D14" s="713"/>
      <c r="E14" s="1217"/>
      <c r="F14" s="1217"/>
      <c r="G14" s="1218"/>
      <c r="H14" s="1219"/>
      <c r="I14" s="1219"/>
      <c r="J14" s="930"/>
      <c r="K14" s="11"/>
      <c r="L14" s="14" t="s">
        <v>170</v>
      </c>
      <c r="M14" s="306">
        <v>37.5</v>
      </c>
      <c r="N14" s="306"/>
      <c r="O14" s="306"/>
      <c r="P14" s="306">
        <v>33.299999999999997</v>
      </c>
      <c r="Q14" s="306"/>
      <c r="R14" s="307">
        <v>0.75</v>
      </c>
      <c r="S14" s="307"/>
      <c r="T14" s="50">
        <v>-19.75</v>
      </c>
      <c r="U14" s="50">
        <v>-47.93</v>
      </c>
      <c r="V14" s="51">
        <v>800</v>
      </c>
      <c r="W14" s="7"/>
    </row>
    <row r="15" spans="1:23" x14ac:dyDescent="0.3">
      <c r="A15" s="53"/>
      <c r="B15" s="1129" t="s">
        <v>7</v>
      </c>
      <c r="C15" s="1129"/>
      <c r="D15" s="1129"/>
      <c r="E15" s="53"/>
      <c r="F15" s="53"/>
      <c r="G15" s="53"/>
      <c r="H15" s="54"/>
      <c r="I15" s="55"/>
      <c r="J15" s="54"/>
      <c r="K15" s="11"/>
      <c r="L15" s="78" t="s">
        <v>377</v>
      </c>
      <c r="M15" s="306">
        <v>40</v>
      </c>
      <c r="N15" s="306"/>
      <c r="O15" s="306"/>
      <c r="P15" s="306">
        <v>37.5</v>
      </c>
      <c r="Q15" s="306"/>
      <c r="R15" s="307">
        <v>0.82199999999999995</v>
      </c>
      <c r="S15" s="307"/>
      <c r="T15" s="50">
        <v>-2.15</v>
      </c>
      <c r="U15" s="50">
        <v>-56.1</v>
      </c>
      <c r="V15" s="51">
        <v>100</v>
      </c>
      <c r="W15" s="7"/>
    </row>
    <row r="16" spans="1:23" ht="15" thickBot="1" x14ac:dyDescent="0.35">
      <c r="A16" s="7"/>
      <c r="B16" s="7"/>
      <c r="C16" s="7"/>
      <c r="D16" s="7"/>
      <c r="E16" s="7"/>
      <c r="F16" s="7"/>
      <c r="G16" s="7"/>
      <c r="H16" s="1"/>
      <c r="I16" s="2"/>
      <c r="J16" s="1"/>
      <c r="K16" s="3"/>
      <c r="L16" s="1222"/>
      <c r="M16" s="1222"/>
      <c r="N16" s="1222"/>
      <c r="O16" s="1222"/>
      <c r="P16" s="1222"/>
      <c r="Q16" s="1222"/>
      <c r="R16" s="1222"/>
      <c r="S16" s="1222"/>
      <c r="T16" s="1222"/>
      <c r="U16" s="1222"/>
      <c r="V16" s="1222"/>
      <c r="W16" s="7"/>
    </row>
    <row r="17" spans="8:22" x14ac:dyDescent="0.3">
      <c r="L17" s="1223" t="s">
        <v>725</v>
      </c>
      <c r="M17" s="1224"/>
      <c r="N17" s="1224"/>
      <c r="O17" s="1224"/>
      <c r="P17" s="1224"/>
      <c r="Q17" s="1224"/>
      <c r="R17" s="1224"/>
      <c r="S17" s="1224"/>
      <c r="T17" s="1224"/>
      <c r="U17" s="1224"/>
      <c r="V17" s="1225"/>
    </row>
    <row r="18" spans="8:22" x14ac:dyDescent="0.3">
      <c r="L18" s="177" t="s">
        <v>111</v>
      </c>
      <c r="M18" s="404" t="s">
        <v>767</v>
      </c>
      <c r="N18" s="404" t="s">
        <v>765</v>
      </c>
      <c r="O18" s="404" t="s">
        <v>766</v>
      </c>
      <c r="P18" s="404" t="s">
        <v>770</v>
      </c>
      <c r="Q18" s="404" t="s">
        <v>769</v>
      </c>
      <c r="R18" s="404" t="s">
        <v>118</v>
      </c>
      <c r="S18" s="404" t="s">
        <v>768</v>
      </c>
      <c r="T18" s="404" t="s">
        <v>121</v>
      </c>
      <c r="U18" s="404" t="s">
        <v>40</v>
      </c>
      <c r="V18" s="405" t="s">
        <v>119</v>
      </c>
    </row>
    <row r="19" spans="8:22" x14ac:dyDescent="0.3">
      <c r="L19" s="1226" t="s">
        <v>726</v>
      </c>
      <c r="M19" s="956"/>
      <c r="N19" s="956"/>
      <c r="O19" s="956"/>
      <c r="P19" s="956"/>
      <c r="Q19" s="956"/>
      <c r="R19" s="956"/>
      <c r="S19" s="956"/>
      <c r="T19" s="956"/>
      <c r="U19" s="956"/>
      <c r="V19" s="1227"/>
    </row>
    <row r="20" spans="8:22" x14ac:dyDescent="0.3">
      <c r="K20" s="88" t="s">
        <v>727</v>
      </c>
      <c r="L20" s="88" t="s">
        <v>727</v>
      </c>
      <c r="M20" s="3">
        <v>35.4</v>
      </c>
      <c r="N20" s="3">
        <v>34.799999999999997</v>
      </c>
      <c r="O20" s="3">
        <v>33.9</v>
      </c>
      <c r="P20" s="3">
        <v>25.1</v>
      </c>
      <c r="Q20" s="3">
        <v>37.700000000000003</v>
      </c>
      <c r="R20" s="3" t="s">
        <v>7</v>
      </c>
      <c r="S20" s="3">
        <v>10.7</v>
      </c>
      <c r="T20" s="3">
        <v>-10</v>
      </c>
      <c r="U20" s="3">
        <v>-67.8</v>
      </c>
      <c r="V20" s="97">
        <v>143</v>
      </c>
    </row>
    <row r="21" spans="8:22" x14ac:dyDescent="0.3">
      <c r="K21" s="88" t="s">
        <v>728</v>
      </c>
      <c r="L21" s="88" t="s">
        <v>728</v>
      </c>
      <c r="M21" s="3">
        <v>34.799999999999997</v>
      </c>
      <c r="N21" s="3">
        <v>34</v>
      </c>
      <c r="O21" s="3">
        <v>33.200000000000003</v>
      </c>
      <c r="P21" s="3">
        <v>25.9</v>
      </c>
      <c r="Q21" s="3">
        <v>36.700000000000003</v>
      </c>
      <c r="R21" s="3" t="s">
        <v>7</v>
      </c>
      <c r="S21" s="3">
        <v>8</v>
      </c>
      <c r="T21" s="3">
        <v>-3.15</v>
      </c>
      <c r="U21" s="3">
        <v>-59.98</v>
      </c>
      <c r="V21" s="97">
        <v>84</v>
      </c>
    </row>
    <row r="22" spans="8:22" x14ac:dyDescent="0.3">
      <c r="K22" s="88" t="s">
        <v>729</v>
      </c>
      <c r="L22" s="88" t="s">
        <v>729</v>
      </c>
      <c r="M22" s="3">
        <v>36</v>
      </c>
      <c r="N22" s="3">
        <v>35.1</v>
      </c>
      <c r="O22" s="3">
        <v>34.4</v>
      </c>
      <c r="P22" s="3">
        <v>26.5</v>
      </c>
      <c r="Q22" s="3">
        <v>37.6</v>
      </c>
      <c r="R22" s="3" t="s">
        <v>7</v>
      </c>
      <c r="S22" s="3">
        <v>10.5</v>
      </c>
      <c r="T22" s="3">
        <v>-3.03</v>
      </c>
      <c r="U22" s="3">
        <v>-60.05</v>
      </c>
      <c r="V22" s="97">
        <v>2</v>
      </c>
    </row>
    <row r="23" spans="8:22" x14ac:dyDescent="0.3">
      <c r="K23" s="88" t="s">
        <v>730</v>
      </c>
      <c r="L23" s="88" t="s">
        <v>730</v>
      </c>
      <c r="M23" s="3">
        <v>34</v>
      </c>
      <c r="N23" s="3">
        <v>33.200000000000003</v>
      </c>
      <c r="O23" s="3">
        <v>33</v>
      </c>
      <c r="P23" s="3">
        <v>26.1</v>
      </c>
      <c r="Q23" s="3">
        <v>35</v>
      </c>
      <c r="R23" s="3" t="s">
        <v>7</v>
      </c>
      <c r="S23" s="3">
        <v>8.5</v>
      </c>
      <c r="T23" s="3">
        <v>0.03</v>
      </c>
      <c r="U23" s="3">
        <v>-51.5</v>
      </c>
      <c r="V23" s="97">
        <v>15</v>
      </c>
    </row>
    <row r="24" spans="8:22" x14ac:dyDescent="0.3">
      <c r="H24" t="s">
        <v>129</v>
      </c>
      <c r="K24" s="88" t="s">
        <v>731</v>
      </c>
      <c r="L24" s="88" t="s">
        <v>731</v>
      </c>
      <c r="M24" s="3">
        <v>33.1</v>
      </c>
      <c r="N24" s="3">
        <v>32.799999999999997</v>
      </c>
      <c r="O24" s="3">
        <v>32.1</v>
      </c>
      <c r="P24" s="3">
        <v>26.1</v>
      </c>
      <c r="Q24" s="3">
        <v>35.200000000000003</v>
      </c>
      <c r="R24" s="3" t="s">
        <v>7</v>
      </c>
      <c r="S24" s="3">
        <v>8.1999999999999993</v>
      </c>
      <c r="T24" s="3">
        <v>-1.38</v>
      </c>
      <c r="U24" s="3">
        <v>-48.48</v>
      </c>
      <c r="V24" s="97">
        <v>16</v>
      </c>
    </row>
    <row r="25" spans="8:22" x14ac:dyDescent="0.3">
      <c r="K25" s="88" t="s">
        <v>732</v>
      </c>
      <c r="L25" s="88" t="s">
        <v>732</v>
      </c>
      <c r="M25" s="3">
        <v>34</v>
      </c>
      <c r="N25" s="3">
        <v>33.200000000000003</v>
      </c>
      <c r="O25" s="3">
        <v>33</v>
      </c>
      <c r="P25" s="3">
        <v>25.5</v>
      </c>
      <c r="Q25" s="3">
        <v>35.6</v>
      </c>
      <c r="R25" s="3" t="s">
        <v>7</v>
      </c>
      <c r="S25" s="3">
        <v>7.6</v>
      </c>
      <c r="T25" s="3">
        <v>-2.4300000000000002</v>
      </c>
      <c r="U25" s="3">
        <v>-54.72</v>
      </c>
      <c r="V25" s="97">
        <v>72</v>
      </c>
    </row>
    <row r="26" spans="8:22" x14ac:dyDescent="0.3">
      <c r="K26" s="88" t="s">
        <v>733</v>
      </c>
      <c r="L26" s="88" t="s">
        <v>733</v>
      </c>
      <c r="M26" s="3">
        <v>35.5</v>
      </c>
      <c r="N26" s="3">
        <v>34.799999999999997</v>
      </c>
      <c r="O26" s="3">
        <v>34</v>
      </c>
      <c r="P26" s="3">
        <v>25.7</v>
      </c>
      <c r="Q26" s="3" t="s">
        <v>7</v>
      </c>
      <c r="R26" s="3" t="s">
        <v>7</v>
      </c>
      <c r="S26" s="3">
        <v>10.4</v>
      </c>
      <c r="T26" s="3">
        <v>-8.77</v>
      </c>
      <c r="U26" s="3">
        <v>-63.92</v>
      </c>
      <c r="V26" s="97">
        <v>88</v>
      </c>
    </row>
    <row r="27" spans="8:22" x14ac:dyDescent="0.3">
      <c r="K27" s="88" t="s">
        <v>734</v>
      </c>
      <c r="L27" s="88" t="s">
        <v>734</v>
      </c>
      <c r="M27" s="3">
        <v>36.200000000000003</v>
      </c>
      <c r="N27" s="3">
        <v>35.700000000000003</v>
      </c>
      <c r="O27" s="3">
        <v>35.1</v>
      </c>
      <c r="P27" s="3">
        <v>25.1</v>
      </c>
      <c r="Q27" s="3" t="s">
        <v>7</v>
      </c>
      <c r="R27" s="3" t="s">
        <v>7</v>
      </c>
      <c r="S27" s="3">
        <v>9.6999999999999993</v>
      </c>
      <c r="T27" s="3">
        <v>2.83</v>
      </c>
      <c r="U27" s="3">
        <v>-60.7</v>
      </c>
      <c r="V27" s="97">
        <v>140</v>
      </c>
    </row>
    <row r="28" spans="8:22" x14ac:dyDescent="0.3">
      <c r="K28" s="88" t="s">
        <v>736</v>
      </c>
      <c r="L28" s="1220" t="s">
        <v>735</v>
      </c>
      <c r="M28" s="1166"/>
      <c r="N28" s="1166"/>
      <c r="O28" s="1166"/>
      <c r="P28" s="1166"/>
      <c r="Q28" s="1166"/>
      <c r="R28" s="1166"/>
      <c r="S28" s="1166"/>
      <c r="T28" s="1166"/>
      <c r="U28" s="1166"/>
      <c r="V28" s="1221"/>
    </row>
    <row r="29" spans="8:22" x14ac:dyDescent="0.3">
      <c r="K29" s="406" t="s">
        <v>737</v>
      </c>
      <c r="L29" s="88" t="s">
        <v>736</v>
      </c>
      <c r="M29" s="1">
        <v>32.6</v>
      </c>
      <c r="N29" s="1">
        <v>32</v>
      </c>
      <c r="O29" s="1">
        <v>31.3</v>
      </c>
      <c r="P29" s="1">
        <v>25.1</v>
      </c>
      <c r="Q29" s="1">
        <v>35.299999999999997</v>
      </c>
      <c r="R29" s="1" t="s">
        <v>7</v>
      </c>
      <c r="S29" s="1">
        <v>7.7</v>
      </c>
      <c r="T29" s="1">
        <v>-9.52</v>
      </c>
      <c r="U29" s="1">
        <v>-35.76</v>
      </c>
      <c r="V29" s="400">
        <v>115</v>
      </c>
    </row>
    <row r="30" spans="8:22" x14ac:dyDescent="0.3">
      <c r="K30" s="406" t="s">
        <v>738</v>
      </c>
      <c r="L30" s="406" t="s">
        <v>737</v>
      </c>
      <c r="M30" s="399">
        <v>31.8</v>
      </c>
      <c r="N30" s="399">
        <v>31.2</v>
      </c>
      <c r="O30" s="399">
        <v>30.9</v>
      </c>
      <c r="P30" s="399">
        <v>25.2</v>
      </c>
      <c r="Q30" s="399">
        <v>34.6</v>
      </c>
      <c r="R30" s="1" t="s">
        <v>7</v>
      </c>
      <c r="S30" s="399">
        <v>7.8</v>
      </c>
      <c r="T30" s="399">
        <v>-17.63</v>
      </c>
      <c r="U30" s="399">
        <v>-39.25</v>
      </c>
      <c r="V30" s="401">
        <v>4</v>
      </c>
    </row>
    <row r="31" spans="8:22" x14ac:dyDescent="0.3">
      <c r="K31" s="406" t="s">
        <v>739</v>
      </c>
      <c r="L31" s="406" t="s">
        <v>738</v>
      </c>
      <c r="M31" s="399">
        <v>32.700000000000003</v>
      </c>
      <c r="N31" s="399">
        <v>32</v>
      </c>
      <c r="O31" s="399">
        <v>31.2</v>
      </c>
      <c r="P31" s="399">
        <v>26.7</v>
      </c>
      <c r="Q31" s="399">
        <v>34.799999999999997</v>
      </c>
      <c r="R31" s="1" t="s">
        <v>7</v>
      </c>
      <c r="S31" s="399">
        <v>5.9</v>
      </c>
      <c r="T31" s="399">
        <v>-12.9</v>
      </c>
      <c r="U31" s="399">
        <v>-38.33</v>
      </c>
      <c r="V31" s="401">
        <v>6</v>
      </c>
    </row>
    <row r="32" spans="8:22" x14ac:dyDescent="0.3">
      <c r="K32" s="406" t="s">
        <v>164</v>
      </c>
      <c r="L32" s="406" t="s">
        <v>739</v>
      </c>
      <c r="M32" s="399">
        <v>32.200000000000003</v>
      </c>
      <c r="N32" s="399">
        <v>32.1</v>
      </c>
      <c r="O32" s="399">
        <v>31.9</v>
      </c>
      <c r="P32" s="399">
        <v>25.3</v>
      </c>
      <c r="Q32" s="399">
        <v>35</v>
      </c>
      <c r="R32" s="1" t="s">
        <v>7</v>
      </c>
      <c r="S32" s="399">
        <v>5.9</v>
      </c>
      <c r="T32" s="399">
        <v>-3.78</v>
      </c>
      <c r="U32" s="399">
        <v>-38.53</v>
      </c>
      <c r="V32" s="401">
        <v>25</v>
      </c>
    </row>
    <row r="33" spans="11:22" x14ac:dyDescent="0.3">
      <c r="K33" s="406" t="s">
        <v>740</v>
      </c>
      <c r="L33" s="406" t="s">
        <v>164</v>
      </c>
      <c r="M33" s="399">
        <v>34.1</v>
      </c>
      <c r="N33" s="399">
        <v>33.799999999999997</v>
      </c>
      <c r="O33" s="399">
        <v>33.1</v>
      </c>
      <c r="P33" s="399">
        <v>26.3</v>
      </c>
      <c r="Q33" s="399">
        <v>35.799999999999997</v>
      </c>
      <c r="R33" s="1" t="s">
        <v>7</v>
      </c>
      <c r="S33" s="399">
        <v>7.4</v>
      </c>
      <c r="T33" s="399">
        <v>-2.6</v>
      </c>
      <c r="U33" s="399">
        <v>-44.23</v>
      </c>
      <c r="V33" s="401">
        <v>53</v>
      </c>
    </row>
    <row r="34" spans="11:22" x14ac:dyDescent="0.3">
      <c r="K34" s="88" t="s">
        <v>741</v>
      </c>
      <c r="L34" s="406" t="s">
        <v>740</v>
      </c>
      <c r="M34" s="399">
        <v>31.1</v>
      </c>
      <c r="N34" s="399">
        <v>30.7</v>
      </c>
      <c r="O34" s="399">
        <v>30.2</v>
      </c>
      <c r="P34" s="399">
        <v>25.7</v>
      </c>
      <c r="Q34" s="399">
        <v>35</v>
      </c>
      <c r="R34" s="1" t="s">
        <v>7</v>
      </c>
      <c r="S34" s="399">
        <v>4.7</v>
      </c>
      <c r="T34" s="399">
        <v>-3.85</v>
      </c>
      <c r="U34" s="399">
        <v>-32.42</v>
      </c>
      <c r="V34" s="401">
        <v>56</v>
      </c>
    </row>
    <row r="35" spans="11:22" x14ac:dyDescent="0.3">
      <c r="K35" s="88" t="s">
        <v>742</v>
      </c>
      <c r="L35" s="88" t="s">
        <v>741</v>
      </c>
      <c r="M35" s="399">
        <v>34.1</v>
      </c>
      <c r="N35" s="399">
        <v>33.5</v>
      </c>
      <c r="O35" s="399">
        <v>33</v>
      </c>
      <c r="P35" s="399">
        <v>27.1</v>
      </c>
      <c r="Q35" s="399">
        <v>35.9</v>
      </c>
      <c r="R35" s="1" t="s">
        <v>7</v>
      </c>
      <c r="S35" s="399">
        <v>6.7</v>
      </c>
      <c r="T35" s="399">
        <v>-8.07</v>
      </c>
      <c r="U35" s="399">
        <v>-34.85</v>
      </c>
      <c r="V35" s="401">
        <v>19</v>
      </c>
    </row>
    <row r="36" spans="11:22" x14ac:dyDescent="0.3">
      <c r="K36" s="406" t="s">
        <v>743</v>
      </c>
      <c r="L36" s="88" t="s">
        <v>742</v>
      </c>
      <c r="M36" s="399">
        <v>37.9</v>
      </c>
      <c r="N36" s="399">
        <v>37.200000000000003</v>
      </c>
      <c r="O36" s="399">
        <v>36.799999999999997</v>
      </c>
      <c r="P36" s="399">
        <v>24.7</v>
      </c>
      <c r="Q36" s="399">
        <v>39.5</v>
      </c>
      <c r="R36" s="1" t="s">
        <v>7</v>
      </c>
      <c r="S36" s="399">
        <v>12.2</v>
      </c>
      <c r="T36" s="399">
        <v>-5.05</v>
      </c>
      <c r="U36" s="399">
        <v>-42.82</v>
      </c>
      <c r="V36" s="401">
        <v>69</v>
      </c>
    </row>
    <row r="37" spans="11:22" x14ac:dyDescent="0.3">
      <c r="K37" s="406" t="s">
        <v>744</v>
      </c>
      <c r="L37" s="406" t="s">
        <v>743</v>
      </c>
      <c r="M37" s="399">
        <v>32.200000000000003</v>
      </c>
      <c r="N37" s="399">
        <v>32</v>
      </c>
      <c r="O37" s="399">
        <v>31.6</v>
      </c>
      <c r="P37" s="399">
        <v>25.3</v>
      </c>
      <c r="Q37" s="399">
        <v>34.700000000000003</v>
      </c>
      <c r="R37" s="1" t="s">
        <v>7</v>
      </c>
      <c r="S37" s="399">
        <v>7</v>
      </c>
      <c r="T37" s="399">
        <v>-5.92</v>
      </c>
      <c r="U37" s="399">
        <v>35.25</v>
      </c>
      <c r="V37" s="401">
        <v>52</v>
      </c>
    </row>
    <row r="38" spans="11:22" x14ac:dyDescent="0.3">
      <c r="K38" s="88" t="s">
        <v>746</v>
      </c>
      <c r="L38" s="406" t="s">
        <v>744</v>
      </c>
      <c r="M38" s="399">
        <v>32.1</v>
      </c>
      <c r="N38" s="399">
        <v>31.8</v>
      </c>
      <c r="O38" s="399">
        <v>31.1</v>
      </c>
      <c r="P38" s="399">
        <v>26.6</v>
      </c>
      <c r="Q38" s="399">
        <v>35.4</v>
      </c>
      <c r="R38" s="1" t="s">
        <v>7</v>
      </c>
      <c r="S38" s="399">
        <v>5.2</v>
      </c>
      <c r="T38" s="399">
        <v>-10.98</v>
      </c>
      <c r="U38" s="399">
        <v>-37.07</v>
      </c>
      <c r="V38" s="401">
        <v>9</v>
      </c>
    </row>
    <row r="39" spans="11:22" x14ac:dyDescent="0.3">
      <c r="K39" s="88" t="s">
        <v>747</v>
      </c>
      <c r="L39" s="1220" t="s">
        <v>745</v>
      </c>
      <c r="M39" s="1166"/>
      <c r="N39" s="1166"/>
      <c r="O39" s="1166"/>
      <c r="P39" s="1166"/>
      <c r="Q39" s="1166"/>
      <c r="R39" s="1166"/>
      <c r="S39" s="1166"/>
      <c r="T39" s="1166"/>
      <c r="U39" s="1166"/>
      <c r="V39" s="1221"/>
    </row>
    <row r="40" spans="11:22" x14ac:dyDescent="0.3">
      <c r="K40" s="88" t="s">
        <v>748</v>
      </c>
      <c r="L40" s="88" t="s">
        <v>746</v>
      </c>
      <c r="M40" s="399">
        <v>32.1</v>
      </c>
      <c r="N40" s="399">
        <v>31.1</v>
      </c>
      <c r="O40" s="399">
        <v>30.2</v>
      </c>
      <c r="P40" s="399">
        <v>18</v>
      </c>
      <c r="Q40" s="399">
        <v>34.200000000000003</v>
      </c>
      <c r="R40" s="3" t="s">
        <v>7</v>
      </c>
      <c r="S40" s="399">
        <v>11.3</v>
      </c>
      <c r="T40" s="399">
        <v>-15.87</v>
      </c>
      <c r="U40" s="399">
        <v>-47.93</v>
      </c>
      <c r="V40" s="401">
        <v>1061</v>
      </c>
    </row>
    <row r="41" spans="11:22" x14ac:dyDescent="0.3">
      <c r="K41" s="88" t="s">
        <v>749</v>
      </c>
      <c r="L41" s="88" t="s">
        <v>747</v>
      </c>
      <c r="M41" s="399">
        <v>31.7</v>
      </c>
      <c r="N41" s="399">
        <v>30.7</v>
      </c>
      <c r="O41" s="399">
        <v>29.8</v>
      </c>
      <c r="P41" s="399">
        <v>20.6</v>
      </c>
      <c r="Q41" s="3" t="s">
        <v>7</v>
      </c>
      <c r="R41" s="3" t="s">
        <v>7</v>
      </c>
      <c r="S41" s="399">
        <v>10.7</v>
      </c>
      <c r="T41" s="399">
        <v>-16.23</v>
      </c>
      <c r="U41" s="399">
        <v>-48.79</v>
      </c>
      <c r="V41" s="401">
        <v>1137</v>
      </c>
    </row>
    <row r="42" spans="11:22" x14ac:dyDescent="0.3">
      <c r="K42" s="88" t="s">
        <v>750</v>
      </c>
      <c r="L42" s="88" t="s">
        <v>748</v>
      </c>
      <c r="M42" s="399">
        <v>35</v>
      </c>
      <c r="N42" s="399">
        <v>34</v>
      </c>
      <c r="O42" s="399">
        <v>33.1</v>
      </c>
      <c r="P42" s="399">
        <v>20.3</v>
      </c>
      <c r="Q42" s="399">
        <v>36.6</v>
      </c>
      <c r="R42" s="3" t="s">
        <v>7</v>
      </c>
      <c r="S42" s="399">
        <v>11.7</v>
      </c>
      <c r="T42" s="399">
        <v>-16.63</v>
      </c>
      <c r="U42" s="399">
        <v>-49.22</v>
      </c>
      <c r="V42" s="401">
        <v>747</v>
      </c>
    </row>
    <row r="43" spans="11:22" x14ac:dyDescent="0.3">
      <c r="K43" s="88" t="s">
        <v>752</v>
      </c>
      <c r="L43" s="88" t="s">
        <v>749</v>
      </c>
      <c r="M43" s="399">
        <v>35.799999999999997</v>
      </c>
      <c r="N43" s="399">
        <v>34.799999999999997</v>
      </c>
      <c r="O43" s="399">
        <v>33.9</v>
      </c>
      <c r="P43" s="399">
        <v>22.6</v>
      </c>
      <c r="Q43" s="399">
        <v>37.6</v>
      </c>
      <c r="R43" s="3" t="s">
        <v>7</v>
      </c>
      <c r="S43" s="399">
        <v>10.4</v>
      </c>
      <c r="T43" s="399">
        <v>-20.47</v>
      </c>
      <c r="U43" s="399">
        <v>-54.67</v>
      </c>
      <c r="V43" s="401">
        <v>556</v>
      </c>
    </row>
    <row r="44" spans="11:22" x14ac:dyDescent="0.3">
      <c r="K44" s="88" t="s">
        <v>753</v>
      </c>
      <c r="L44" s="88" t="s">
        <v>750</v>
      </c>
      <c r="M44" s="399">
        <v>38</v>
      </c>
      <c r="N44" s="399">
        <v>36.9</v>
      </c>
      <c r="O44" s="399">
        <v>36</v>
      </c>
      <c r="P44" s="399">
        <v>23.4</v>
      </c>
      <c r="Q44" s="3" t="s">
        <v>7</v>
      </c>
      <c r="R44" s="3" t="s">
        <v>7</v>
      </c>
      <c r="S44" s="399">
        <v>10.4</v>
      </c>
      <c r="T44" s="399">
        <v>-15.65</v>
      </c>
      <c r="U44" s="399">
        <v>-56.1</v>
      </c>
      <c r="V44" s="401">
        <v>182</v>
      </c>
    </row>
    <row r="45" spans="11:22" x14ac:dyDescent="0.3">
      <c r="K45" s="88" t="s">
        <v>754</v>
      </c>
      <c r="L45" s="1220" t="s">
        <v>751</v>
      </c>
      <c r="M45" s="1166"/>
      <c r="N45" s="1166"/>
      <c r="O45" s="1166"/>
      <c r="P45" s="1166"/>
      <c r="Q45" s="1166"/>
      <c r="R45" s="1166"/>
      <c r="S45" s="1166"/>
      <c r="T45" s="1166"/>
      <c r="U45" s="1166"/>
      <c r="V45" s="1221"/>
    </row>
    <row r="46" spans="11:22" x14ac:dyDescent="0.3">
      <c r="K46" s="88" t="s">
        <v>170</v>
      </c>
      <c r="L46" s="88" t="s">
        <v>752</v>
      </c>
      <c r="M46" s="399">
        <v>34</v>
      </c>
      <c r="N46" s="399">
        <v>33.1</v>
      </c>
      <c r="O46" s="399">
        <v>32.200000000000003</v>
      </c>
      <c r="P46" s="399">
        <v>25.5</v>
      </c>
      <c r="Q46" s="399">
        <v>36.799999999999997</v>
      </c>
      <c r="R46" s="3" t="s">
        <v>7</v>
      </c>
      <c r="S46" s="399">
        <v>8</v>
      </c>
      <c r="T46" s="399">
        <v>-20.27</v>
      </c>
      <c r="U46" s="399">
        <v>-40.28</v>
      </c>
      <c r="V46" s="401">
        <v>4</v>
      </c>
    </row>
    <row r="47" spans="11:22" x14ac:dyDescent="0.3">
      <c r="K47" s="88" t="s">
        <v>755</v>
      </c>
      <c r="L47" s="88" t="s">
        <v>753</v>
      </c>
      <c r="M47" s="399">
        <v>33</v>
      </c>
      <c r="N47" s="399">
        <v>32</v>
      </c>
      <c r="O47" s="399">
        <v>31.1</v>
      </c>
      <c r="P47" s="399">
        <v>20.7</v>
      </c>
      <c r="Q47" s="3" t="s">
        <v>7</v>
      </c>
      <c r="R47" s="3" t="s">
        <v>7</v>
      </c>
      <c r="S47" s="399">
        <v>9.6</v>
      </c>
      <c r="T47" s="399">
        <v>-19.850000000000001</v>
      </c>
      <c r="U47" s="399">
        <v>-43.95</v>
      </c>
      <c r="V47" s="401">
        <v>785</v>
      </c>
    </row>
    <row r="48" spans="11:22" x14ac:dyDescent="0.3">
      <c r="K48" s="88" t="s">
        <v>756</v>
      </c>
      <c r="L48" s="88" t="s">
        <v>754</v>
      </c>
      <c r="M48" s="399">
        <v>32.1</v>
      </c>
      <c r="N48" s="399">
        <v>31.1</v>
      </c>
      <c r="O48" s="399">
        <v>30.2</v>
      </c>
      <c r="P48" s="399">
        <v>20.5</v>
      </c>
      <c r="Q48" s="399">
        <v>34.6</v>
      </c>
      <c r="R48" s="3" t="s">
        <v>7</v>
      </c>
      <c r="S48" s="399">
        <v>9.6999999999999993</v>
      </c>
      <c r="T48" s="399">
        <v>-19.829999999999998</v>
      </c>
      <c r="U48" s="399">
        <v>-43.93</v>
      </c>
      <c r="V48" s="401">
        <v>917</v>
      </c>
    </row>
    <row r="49" spans="11:22" x14ac:dyDescent="0.3">
      <c r="K49" s="88" t="s">
        <v>757</v>
      </c>
      <c r="L49" s="88" t="s">
        <v>170</v>
      </c>
      <c r="M49" s="399">
        <v>33.6</v>
      </c>
      <c r="N49" s="399">
        <v>32.700000000000003</v>
      </c>
      <c r="O49" s="399">
        <v>31.9</v>
      </c>
      <c r="P49" s="399">
        <v>19.3</v>
      </c>
      <c r="Q49" s="399">
        <v>35.9</v>
      </c>
      <c r="R49" s="3" t="s">
        <v>7</v>
      </c>
      <c r="S49" s="399">
        <v>10.9</v>
      </c>
      <c r="T49" s="399">
        <v>-19.78</v>
      </c>
      <c r="U49" s="399">
        <v>-47.97</v>
      </c>
      <c r="V49" s="401">
        <v>807</v>
      </c>
    </row>
    <row r="50" spans="11:22" x14ac:dyDescent="0.3">
      <c r="K50" s="88" t="s">
        <v>758</v>
      </c>
      <c r="L50" s="88" t="s">
        <v>755</v>
      </c>
      <c r="M50" s="399">
        <v>34</v>
      </c>
      <c r="N50" s="399">
        <v>32.700000000000003</v>
      </c>
      <c r="O50" s="399">
        <v>31.8</v>
      </c>
      <c r="P50" s="399">
        <v>25.2</v>
      </c>
      <c r="Q50" s="3" t="s">
        <v>7</v>
      </c>
      <c r="R50" s="3" t="s">
        <v>7</v>
      </c>
      <c r="S50" s="399">
        <v>6.1</v>
      </c>
      <c r="T50" s="399">
        <v>-22.9</v>
      </c>
      <c r="U50" s="399">
        <v>-43.17</v>
      </c>
      <c r="V50" s="401">
        <v>3</v>
      </c>
    </row>
    <row r="51" spans="11:22" x14ac:dyDescent="0.3">
      <c r="K51" s="88" t="s">
        <v>984</v>
      </c>
      <c r="L51" s="88" t="s">
        <v>984</v>
      </c>
      <c r="M51" s="399">
        <f t="shared" ref="M51:V51" si="0">M50</f>
        <v>34</v>
      </c>
      <c r="N51" s="399">
        <f t="shared" si="0"/>
        <v>32.700000000000003</v>
      </c>
      <c r="O51" s="399">
        <f t="shared" si="0"/>
        <v>31.8</v>
      </c>
      <c r="P51" s="399">
        <f t="shared" si="0"/>
        <v>25.2</v>
      </c>
      <c r="Q51" s="3" t="str">
        <f t="shared" si="0"/>
        <v>-</v>
      </c>
      <c r="R51" s="3" t="str">
        <f t="shared" si="0"/>
        <v>-</v>
      </c>
      <c r="S51" s="399">
        <f t="shared" si="0"/>
        <v>6.1</v>
      </c>
      <c r="T51" s="399">
        <f t="shared" si="0"/>
        <v>-22.9</v>
      </c>
      <c r="U51" s="399">
        <f t="shared" si="0"/>
        <v>-43.17</v>
      </c>
      <c r="V51" s="401">
        <f t="shared" si="0"/>
        <v>3</v>
      </c>
    </row>
    <row r="52" spans="11:22" x14ac:dyDescent="0.3">
      <c r="K52" s="88" t="s">
        <v>759</v>
      </c>
      <c r="L52" s="88" t="s">
        <v>756</v>
      </c>
      <c r="M52" s="399">
        <v>38.1</v>
      </c>
      <c r="N52" s="399">
        <v>36.200000000000003</v>
      </c>
      <c r="O52" s="399">
        <v>35</v>
      </c>
      <c r="P52" s="399">
        <v>25.6</v>
      </c>
      <c r="Q52" s="399">
        <v>40.200000000000003</v>
      </c>
      <c r="R52" s="3" t="s">
        <v>7</v>
      </c>
      <c r="S52" s="399">
        <v>9.8000000000000007</v>
      </c>
      <c r="T52" s="399">
        <v>-22.82</v>
      </c>
      <c r="U52" s="399">
        <v>-43.25</v>
      </c>
      <c r="V52" s="401">
        <v>6</v>
      </c>
    </row>
    <row r="53" spans="11:22" x14ac:dyDescent="0.3">
      <c r="K53" s="88" t="s">
        <v>760</v>
      </c>
      <c r="L53" s="88" t="s">
        <v>757</v>
      </c>
      <c r="M53" s="399">
        <v>33.200000000000003</v>
      </c>
      <c r="N53" s="399">
        <v>32.200000000000003</v>
      </c>
      <c r="O53" s="399">
        <v>31.3</v>
      </c>
      <c r="P53" s="399">
        <v>21.9</v>
      </c>
      <c r="Q53" s="399">
        <v>35.799999999999997</v>
      </c>
      <c r="R53" s="3" t="s">
        <v>7</v>
      </c>
      <c r="S53" s="399">
        <v>9.8000000000000007</v>
      </c>
      <c r="T53" s="399">
        <v>-23</v>
      </c>
      <c r="U53" s="399">
        <v>-47.13</v>
      </c>
      <c r="V53" s="401">
        <v>661</v>
      </c>
    </row>
    <row r="54" spans="11:22" x14ac:dyDescent="0.3">
      <c r="K54" s="88" t="s">
        <v>761</v>
      </c>
      <c r="L54" s="88" t="s">
        <v>758</v>
      </c>
      <c r="M54" s="399">
        <v>32</v>
      </c>
      <c r="N54" s="399">
        <v>31</v>
      </c>
      <c r="O54" s="399">
        <v>30</v>
      </c>
      <c r="P54" s="399">
        <v>20.3</v>
      </c>
      <c r="Q54" s="399">
        <v>34.299999999999997</v>
      </c>
      <c r="R54" s="3" t="s">
        <v>7</v>
      </c>
      <c r="S54" s="399">
        <v>8.3000000000000007</v>
      </c>
      <c r="T54" s="399">
        <v>-23.62</v>
      </c>
      <c r="U54" s="399">
        <v>-46.65</v>
      </c>
      <c r="V54" s="401">
        <v>803</v>
      </c>
    </row>
    <row r="55" spans="11:22" x14ac:dyDescent="0.3">
      <c r="K55" s="88" t="s">
        <v>762</v>
      </c>
      <c r="L55" s="88" t="s">
        <v>759</v>
      </c>
      <c r="M55" s="399">
        <v>32.9</v>
      </c>
      <c r="N55" s="399">
        <v>31.8</v>
      </c>
      <c r="O55" s="399">
        <v>30.8</v>
      </c>
      <c r="P55" s="399">
        <v>22.3</v>
      </c>
      <c r="Q55" s="399">
        <v>34.799999999999997</v>
      </c>
      <c r="R55" s="3" t="s">
        <v>7</v>
      </c>
      <c r="S55" s="399">
        <v>8.9</v>
      </c>
      <c r="T55" s="399">
        <v>-23.43</v>
      </c>
      <c r="U55" s="399">
        <v>-46.47</v>
      </c>
      <c r="V55" s="401">
        <v>750</v>
      </c>
    </row>
    <row r="56" spans="11:22" x14ac:dyDescent="0.3">
      <c r="K56" s="88" t="s">
        <v>763</v>
      </c>
      <c r="L56" s="1220" t="s">
        <v>771</v>
      </c>
      <c r="M56" s="1166"/>
      <c r="N56" s="1166"/>
      <c r="O56" s="1166"/>
      <c r="P56" s="1166"/>
      <c r="Q56" s="1166"/>
      <c r="R56" s="1166"/>
      <c r="S56" s="1166"/>
      <c r="T56" s="1166"/>
      <c r="U56" s="1166"/>
      <c r="V56" s="1221"/>
    </row>
    <row r="57" spans="11:22" ht="15" thickBot="1" x14ac:dyDescent="0.35">
      <c r="K57" s="114" t="s">
        <v>764</v>
      </c>
      <c r="L57" s="88" t="s">
        <v>760</v>
      </c>
      <c r="M57" s="399">
        <v>30.9</v>
      </c>
      <c r="N57" s="399">
        <v>29.8</v>
      </c>
      <c r="O57" s="399">
        <v>28.7</v>
      </c>
      <c r="P57" s="399">
        <v>20.2</v>
      </c>
      <c r="Q57" s="399">
        <v>32.9</v>
      </c>
      <c r="R57" s="3" t="s">
        <v>7</v>
      </c>
      <c r="S57" s="399">
        <v>9.5</v>
      </c>
      <c r="T57" s="399">
        <v>-25.52</v>
      </c>
      <c r="U57" s="399">
        <v>-49.17</v>
      </c>
      <c r="V57" s="401">
        <v>908</v>
      </c>
    </row>
    <row r="58" spans="11:22" x14ac:dyDescent="0.3">
      <c r="L58" s="88" t="s">
        <v>761</v>
      </c>
      <c r="M58" s="399">
        <v>35.1</v>
      </c>
      <c r="N58" s="399">
        <v>34.1</v>
      </c>
      <c r="O58" s="399">
        <v>33.1</v>
      </c>
      <c r="P58" s="399">
        <v>23.6</v>
      </c>
      <c r="Q58" s="399">
        <v>37.200000000000003</v>
      </c>
      <c r="R58" s="3" t="s">
        <v>7</v>
      </c>
      <c r="S58" s="399">
        <v>11.1</v>
      </c>
      <c r="T58" s="399">
        <v>-25.52</v>
      </c>
      <c r="U58" s="399">
        <v>-54.58</v>
      </c>
      <c r="V58" s="401">
        <v>243</v>
      </c>
    </row>
    <row r="59" spans="11:22" x14ac:dyDescent="0.3">
      <c r="L59" s="88" t="s">
        <v>762</v>
      </c>
      <c r="M59" s="399">
        <v>33.9</v>
      </c>
      <c r="N59" s="399">
        <v>32.799999999999997</v>
      </c>
      <c r="O59" s="399">
        <v>31.9</v>
      </c>
      <c r="P59" s="399">
        <v>21.7</v>
      </c>
      <c r="Q59" s="399">
        <v>35.700000000000003</v>
      </c>
      <c r="R59" s="3" t="s">
        <v>7</v>
      </c>
      <c r="S59" s="399">
        <v>10</v>
      </c>
      <c r="T59" s="399">
        <v>-23.33</v>
      </c>
      <c r="U59" s="399">
        <v>-51.13</v>
      </c>
      <c r="V59" s="401">
        <v>570</v>
      </c>
    </row>
    <row r="60" spans="11:22" x14ac:dyDescent="0.3">
      <c r="L60" s="88" t="s">
        <v>763</v>
      </c>
      <c r="M60" s="399">
        <v>34.799999999999997</v>
      </c>
      <c r="N60" s="399">
        <v>33.200000000000003</v>
      </c>
      <c r="O60" s="399">
        <v>31.8</v>
      </c>
      <c r="P60" s="3" t="s">
        <v>7</v>
      </c>
      <c r="Q60" s="399">
        <v>37.9</v>
      </c>
      <c r="R60" s="3" t="s">
        <v>7</v>
      </c>
      <c r="S60" s="399">
        <v>9.6999999999999993</v>
      </c>
      <c r="T60" s="399">
        <v>-30</v>
      </c>
      <c r="U60" s="399">
        <v>-51.18</v>
      </c>
      <c r="V60" s="401">
        <v>3</v>
      </c>
    </row>
    <row r="61" spans="11:22" ht="15" thickBot="1" x14ac:dyDescent="0.35">
      <c r="L61" s="114" t="s">
        <v>764</v>
      </c>
      <c r="M61" s="402">
        <v>32.200000000000003</v>
      </c>
      <c r="N61" s="402">
        <v>31</v>
      </c>
      <c r="O61" s="402">
        <v>29.9</v>
      </c>
      <c r="P61" s="402">
        <v>25.5</v>
      </c>
      <c r="Q61" s="402">
        <v>35.200000000000003</v>
      </c>
      <c r="R61" s="407" t="s">
        <v>7</v>
      </c>
      <c r="S61" s="402">
        <v>6.7</v>
      </c>
      <c r="T61" s="402">
        <v>-27.67</v>
      </c>
      <c r="U61" s="402">
        <v>-48.55</v>
      </c>
      <c r="V61" s="403">
        <v>5</v>
      </c>
    </row>
  </sheetData>
  <mergeCells count="32">
    <mergeCell ref="L45:V45"/>
    <mergeCell ref="L56:V56"/>
    <mergeCell ref="L16:V16"/>
    <mergeCell ref="L17:V17"/>
    <mergeCell ref="L19:V19"/>
    <mergeCell ref="L28:V28"/>
    <mergeCell ref="L39:V39"/>
    <mergeCell ref="B13:D13"/>
    <mergeCell ref="B14:D14"/>
    <mergeCell ref="B15:D15"/>
    <mergeCell ref="B10:D10"/>
    <mergeCell ref="J12:J14"/>
    <mergeCell ref="A11:J11"/>
    <mergeCell ref="B12:D12"/>
    <mergeCell ref="A12:A14"/>
    <mergeCell ref="E12:E14"/>
    <mergeCell ref="F12:F14"/>
    <mergeCell ref="G12:G14"/>
    <mergeCell ref="H12:H14"/>
    <mergeCell ref="I12:I14"/>
    <mergeCell ref="L3:V3"/>
    <mergeCell ref="F3:J7"/>
    <mergeCell ref="C6:E6"/>
    <mergeCell ref="C7:E7"/>
    <mergeCell ref="A9:J9"/>
    <mergeCell ref="A1:A7"/>
    <mergeCell ref="B1:J1"/>
    <mergeCell ref="C2:E2"/>
    <mergeCell ref="F2:J2"/>
    <mergeCell ref="C3:E3"/>
    <mergeCell ref="C4:E4"/>
    <mergeCell ref="C5:E5"/>
  </mergeCells>
  <dataValidations count="4">
    <dataValidation type="list" allowBlank="1" showInputMessage="1" showErrorMessage="1" sqref="B15:D15" xr:uid="{E2046D34-DFFB-4EAC-BBDA-3C781FEA7B54}">
      <formula1>"-, Sala de Painéis - Pressão Positiva, Sala de Automação - Pressão Positiva, Sala de Baterias - Pressão Neutra,"</formula1>
    </dataValidation>
    <dataValidation type="list" allowBlank="1" showInputMessage="1" showErrorMessage="1" sqref="B12:D14" xr:uid="{598069EC-B6CC-4716-8B3C-8165906FE6B2}">
      <formula1>"-, Corrosivo, Salino, Poeirento, Sem Observações do Cliente,"</formula1>
    </dataValidation>
    <dataValidation type="list" allowBlank="1" showInputMessage="1" showErrorMessage="1" sqref="A26" xr:uid="{57B6E92B-C396-4D64-9485-8E7B61FB3CA9}">
      <formula1>"item 1, item 2, item 3,"</formula1>
    </dataValidation>
    <dataValidation type="list" allowBlank="1" showInputMessage="1" showErrorMessage="1" sqref="A12:A14" xr:uid="{5D88EDD9-5309-40E3-BBB6-9A4AF0FBDAB3}">
      <formula1>$L$6:$L$14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C7551A-4606-495F-A5CA-A56EA261CBDA}">
  <sheetPr codeName="Planilha19">
    <tabColor theme="0" tint="-0.499984740745262"/>
  </sheetPr>
  <dimension ref="A1:Y66"/>
  <sheetViews>
    <sheetView zoomScale="90" zoomScaleNormal="90" workbookViewId="0">
      <selection activeCell="G21" sqref="G21"/>
    </sheetView>
  </sheetViews>
  <sheetFormatPr defaultRowHeight="14.4" x14ac:dyDescent="0.3"/>
  <cols>
    <col min="1" max="1" width="36.6640625" customWidth="1"/>
    <col min="2" max="13" width="12.6640625" customWidth="1"/>
    <col min="14" max="14" width="33.33203125" customWidth="1"/>
    <col min="15" max="24" width="12.6640625" customWidth="1"/>
  </cols>
  <sheetData>
    <row r="1" spans="1:25" ht="22.2" x14ac:dyDescent="0.3">
      <c r="A1" s="713"/>
      <c r="B1" s="1155" t="s">
        <v>122</v>
      </c>
      <c r="C1" s="1155"/>
      <c r="D1" s="1155"/>
      <c r="E1" s="1155"/>
      <c r="F1" s="1155"/>
      <c r="G1" s="1155"/>
      <c r="H1" s="1155"/>
      <c r="I1" s="1155"/>
      <c r="J1" s="1155"/>
      <c r="K1" s="1155"/>
      <c r="L1" s="1155"/>
      <c r="M1" s="3"/>
      <c r="N1" s="3"/>
      <c r="O1" s="4"/>
      <c r="P1" s="4"/>
      <c r="Q1" s="4"/>
      <c r="R1" s="4"/>
      <c r="S1" s="4"/>
      <c r="T1" s="4"/>
      <c r="U1" s="4"/>
      <c r="V1" s="4"/>
      <c r="W1" s="4"/>
      <c r="X1" s="4"/>
      <c r="Y1" s="7"/>
    </row>
    <row r="2" spans="1:25" x14ac:dyDescent="0.3">
      <c r="A2" s="713"/>
      <c r="B2" s="47" t="s">
        <v>46</v>
      </c>
      <c r="C2" s="1187"/>
      <c r="D2" s="1187"/>
      <c r="E2" s="1187"/>
      <c r="F2" s="488"/>
      <c r="G2" s="488"/>
      <c r="H2" s="1041" t="s">
        <v>44</v>
      </c>
      <c r="I2" s="1041"/>
      <c r="J2" s="1041"/>
      <c r="K2" s="1041"/>
      <c r="L2" s="1041"/>
      <c r="M2" s="3"/>
      <c r="N2" s="3"/>
      <c r="O2" s="4"/>
      <c r="P2" s="4"/>
      <c r="Q2" s="4"/>
      <c r="R2" s="4"/>
      <c r="S2" s="4"/>
      <c r="T2" s="4"/>
      <c r="U2" s="4"/>
      <c r="V2" s="4"/>
      <c r="W2" s="4"/>
      <c r="X2" s="4"/>
      <c r="Y2" s="7"/>
    </row>
    <row r="3" spans="1:25" ht="15" customHeight="1" x14ac:dyDescent="0.3">
      <c r="A3" s="713"/>
      <c r="B3" s="47" t="s">
        <v>47</v>
      </c>
      <c r="C3" s="1187"/>
      <c r="D3" s="1187"/>
      <c r="E3" s="1187"/>
      <c r="F3" s="488"/>
      <c r="G3" s="488"/>
      <c r="H3" s="1188"/>
      <c r="I3" s="1188"/>
      <c r="J3" s="1188"/>
      <c r="K3" s="1188"/>
      <c r="L3" s="1188"/>
      <c r="M3" s="3"/>
      <c r="N3" s="1229"/>
      <c r="O3" s="1229"/>
      <c r="P3" s="1229"/>
      <c r="Q3" s="1229"/>
      <c r="R3" s="1229"/>
      <c r="S3" s="1229"/>
      <c r="T3" s="1229"/>
      <c r="U3" s="1229"/>
      <c r="V3" s="1229"/>
      <c r="W3" s="1229"/>
      <c r="X3" s="1229"/>
      <c r="Y3" s="7"/>
    </row>
    <row r="4" spans="1:25" x14ac:dyDescent="0.3">
      <c r="A4" s="713"/>
      <c r="B4" s="47" t="s">
        <v>48</v>
      </c>
      <c r="C4" s="1187"/>
      <c r="D4" s="1187"/>
      <c r="E4" s="1187"/>
      <c r="F4" s="488"/>
      <c r="G4" s="488"/>
      <c r="H4" s="1188"/>
      <c r="I4" s="1188"/>
      <c r="J4" s="1188"/>
      <c r="K4" s="1188"/>
      <c r="L4" s="1188"/>
      <c r="M4" s="3"/>
      <c r="N4" s="3"/>
      <c r="O4" s="501"/>
      <c r="P4" s="501"/>
      <c r="Q4" s="501"/>
      <c r="R4" s="501"/>
      <c r="S4" s="501"/>
      <c r="T4" s="501"/>
      <c r="U4" s="501"/>
      <c r="V4" s="501"/>
      <c r="W4" s="501"/>
      <c r="X4" s="501"/>
      <c r="Y4" s="7"/>
    </row>
    <row r="5" spans="1:25" x14ac:dyDescent="0.3">
      <c r="A5" s="713"/>
      <c r="B5" s="47" t="s">
        <v>90</v>
      </c>
      <c r="C5" s="1213"/>
      <c r="D5" s="1156"/>
      <c r="E5" s="1156"/>
      <c r="F5" s="487"/>
      <c r="G5" s="487"/>
      <c r="H5" s="1188"/>
      <c r="I5" s="1188"/>
      <c r="J5" s="1188"/>
      <c r="K5" s="1188"/>
      <c r="L5" s="1188"/>
      <c r="M5" s="3"/>
      <c r="N5" s="3"/>
      <c r="O5" s="501"/>
      <c r="P5" s="501"/>
      <c r="Q5" s="501"/>
      <c r="R5" s="501"/>
      <c r="S5" s="501"/>
      <c r="T5" s="501"/>
      <c r="U5" s="501"/>
      <c r="V5" s="501"/>
      <c r="W5" s="501"/>
      <c r="X5" s="501"/>
      <c r="Y5" s="7"/>
    </row>
    <row r="6" spans="1:25" x14ac:dyDescent="0.3">
      <c r="A6" s="713"/>
      <c r="B6" s="81" t="s">
        <v>91</v>
      </c>
      <c r="C6" s="1212"/>
      <c r="D6" s="812"/>
      <c r="E6" s="812"/>
      <c r="F6" s="486"/>
      <c r="G6" s="486"/>
      <c r="H6" s="1188"/>
      <c r="I6" s="1188"/>
      <c r="J6" s="1188"/>
      <c r="K6" s="1188"/>
      <c r="L6" s="1188"/>
      <c r="M6" s="3"/>
      <c r="N6" s="11"/>
      <c r="O6" s="502"/>
      <c r="P6" s="502"/>
      <c r="Q6" s="502"/>
      <c r="R6" s="502"/>
      <c r="S6" s="502"/>
      <c r="T6" s="503"/>
      <c r="U6" s="503"/>
      <c r="V6" s="504"/>
      <c r="W6" s="504"/>
      <c r="X6" s="505"/>
      <c r="Y6" s="7"/>
    </row>
    <row r="7" spans="1:25" x14ac:dyDescent="0.3">
      <c r="A7" s="713"/>
      <c r="B7" s="47" t="s">
        <v>110</v>
      </c>
      <c r="C7" s="1213">
        <f ca="1">NOW()</f>
        <v>45953.89526203704</v>
      </c>
      <c r="D7" s="1156"/>
      <c r="E7" s="1156"/>
      <c r="F7" s="487"/>
      <c r="G7" s="487"/>
      <c r="H7" s="1188"/>
      <c r="I7" s="1188"/>
      <c r="J7" s="1188"/>
      <c r="K7" s="1188"/>
      <c r="L7" s="1188"/>
      <c r="M7" s="3"/>
      <c r="N7" s="11"/>
      <c r="O7" s="502"/>
      <c r="P7" s="502"/>
      <c r="Q7" s="502"/>
      <c r="R7" s="502"/>
      <c r="S7" s="502"/>
      <c r="T7" s="503"/>
      <c r="U7" s="503"/>
      <c r="V7" s="504"/>
      <c r="W7" s="504"/>
      <c r="X7" s="505"/>
      <c r="Y7" s="7"/>
    </row>
    <row r="8" spans="1:25" ht="15" thickBot="1" x14ac:dyDescent="0.35">
      <c r="A8" s="43"/>
      <c r="B8" s="43"/>
      <c r="C8" s="43"/>
      <c r="D8" s="43"/>
      <c r="E8" s="43"/>
      <c r="F8" s="43"/>
      <c r="G8" s="43"/>
      <c r="H8" s="43"/>
      <c r="I8" s="43"/>
      <c r="J8" s="44"/>
      <c r="K8" s="45"/>
      <c r="L8" s="44"/>
      <c r="M8" s="3"/>
      <c r="N8" s="11"/>
      <c r="O8" s="502"/>
      <c r="P8" s="502"/>
      <c r="Q8" s="502"/>
      <c r="R8" s="502"/>
      <c r="S8" s="502"/>
      <c r="T8" s="503"/>
      <c r="U8" s="503"/>
      <c r="V8" s="504"/>
      <c r="W8" s="504"/>
      <c r="X8" s="505"/>
      <c r="Y8" s="7"/>
    </row>
    <row r="9" spans="1:25" x14ac:dyDescent="0.3">
      <c r="A9" s="1214" t="s">
        <v>0</v>
      </c>
      <c r="B9" s="1215"/>
      <c r="C9" s="1215"/>
      <c r="D9" s="1215"/>
      <c r="E9" s="1215"/>
      <c r="F9" s="1215"/>
      <c r="G9" s="1215"/>
      <c r="H9" s="1215"/>
      <c r="I9" s="1215"/>
      <c r="J9" s="1215"/>
      <c r="K9" s="1215"/>
      <c r="L9" s="1215"/>
      <c r="M9" s="3"/>
      <c r="N9" s="11"/>
      <c r="O9" s="502"/>
      <c r="P9" s="502"/>
      <c r="Q9" s="502"/>
      <c r="R9" s="502"/>
      <c r="S9" s="502"/>
      <c r="T9" s="503"/>
      <c r="U9" s="503"/>
      <c r="V9" s="504"/>
      <c r="W9" s="504"/>
      <c r="X9" s="505"/>
      <c r="Y9" s="7"/>
    </row>
    <row r="10" spans="1:25" x14ac:dyDescent="0.3">
      <c r="A10" s="38" t="s">
        <v>111</v>
      </c>
      <c r="B10" s="930" t="s">
        <v>3</v>
      </c>
      <c r="C10" s="930"/>
      <c r="D10" s="930"/>
      <c r="E10" s="38" t="s">
        <v>767</v>
      </c>
      <c r="F10" s="38" t="s">
        <v>765</v>
      </c>
      <c r="G10" s="38" t="s">
        <v>858</v>
      </c>
      <c r="H10" s="38" t="s">
        <v>857</v>
      </c>
      <c r="I10" s="38" t="s">
        <v>768</v>
      </c>
      <c r="J10" s="76" t="s">
        <v>39</v>
      </c>
      <c r="K10" s="76" t="s">
        <v>40</v>
      </c>
      <c r="L10" s="77" t="s">
        <v>119</v>
      </c>
      <c r="M10" s="3"/>
      <c r="N10" s="11"/>
      <c r="O10" s="502"/>
      <c r="P10" s="502"/>
      <c r="Q10" s="502"/>
      <c r="R10" s="502"/>
      <c r="S10" s="502"/>
      <c r="T10" s="503"/>
      <c r="U10" s="503"/>
      <c r="V10" s="504"/>
      <c r="W10" s="504"/>
      <c r="X10" s="505"/>
      <c r="Y10" s="3"/>
    </row>
    <row r="11" spans="1:25" x14ac:dyDescent="0.3">
      <c r="A11" s="1216"/>
      <c r="B11" s="1216"/>
      <c r="C11" s="1216"/>
      <c r="D11" s="1216"/>
      <c r="E11" s="1216"/>
      <c r="F11" s="1216"/>
      <c r="G11" s="1216"/>
      <c r="H11" s="1216"/>
      <c r="I11" s="1216"/>
      <c r="J11" s="1216"/>
      <c r="K11" s="1216"/>
      <c r="L11" s="1216"/>
      <c r="M11" s="3"/>
      <c r="N11" s="409"/>
      <c r="O11" s="502"/>
      <c r="P11" s="502"/>
      <c r="Q11" s="502"/>
      <c r="R11" s="502"/>
      <c r="S11" s="502"/>
      <c r="T11" s="503"/>
      <c r="U11" s="503"/>
      <c r="V11" s="504"/>
      <c r="W11" s="504"/>
      <c r="X11" s="505"/>
      <c r="Y11" s="7"/>
    </row>
    <row r="12" spans="1:25" x14ac:dyDescent="0.3">
      <c r="A12" s="86" t="str">
        <f>FD!D11</f>
        <v>Macapá/AP</v>
      </c>
      <c r="B12" s="713" t="s">
        <v>113</v>
      </c>
      <c r="C12" s="713"/>
      <c r="D12" s="713"/>
      <c r="E12" s="511">
        <f>VLOOKUP(A12,N20:X66,2,)</f>
        <v>34</v>
      </c>
      <c r="F12" s="511">
        <f>VLOOKUP(A12,N20:X66,3,)</f>
        <v>33.200000000000003</v>
      </c>
      <c r="G12" s="511">
        <f>VLOOKUP(A12,N20:X66,4,)</f>
        <v>33</v>
      </c>
      <c r="H12" s="511">
        <f>VLOOKUP(A12,N20:X66,5,)</f>
        <v>26.1</v>
      </c>
      <c r="I12" s="511">
        <f>VLOOKUP(A12,N20:X66,8,)</f>
        <v>8.5</v>
      </c>
      <c r="J12" s="512">
        <f>VLOOKUP(A12,N20:X66,9,)</f>
        <v>0.03</v>
      </c>
      <c r="K12" s="512">
        <f>VLOOKUP(A12,N20:X66,10,)</f>
        <v>-51.5</v>
      </c>
      <c r="L12" s="86">
        <f>VLOOKUP(A12,N20:X66,11,)</f>
        <v>15</v>
      </c>
      <c r="M12" s="11"/>
      <c r="N12" s="409"/>
      <c r="O12" s="502"/>
      <c r="P12" s="502"/>
      <c r="Q12" s="502"/>
      <c r="R12" s="502"/>
      <c r="S12" s="502"/>
      <c r="T12" s="503"/>
      <c r="U12" s="503"/>
      <c r="V12" s="504"/>
      <c r="W12" s="504"/>
      <c r="X12" s="505"/>
      <c r="Y12" s="7"/>
    </row>
    <row r="13" spans="1:25" x14ac:dyDescent="0.3">
      <c r="A13" s="86"/>
      <c r="B13" s="713" t="s">
        <v>114</v>
      </c>
      <c r="C13" s="713"/>
      <c r="D13" s="713"/>
      <c r="E13" s="511"/>
      <c r="F13" s="511"/>
      <c r="G13" s="511"/>
      <c r="H13" s="511"/>
      <c r="I13" s="511"/>
      <c r="J13" s="512"/>
      <c r="K13" s="512"/>
      <c r="L13" s="86"/>
      <c r="M13" s="11"/>
      <c r="O13" s="502"/>
      <c r="P13" s="502"/>
      <c r="Q13" s="502"/>
      <c r="R13" s="502"/>
      <c r="S13" s="502"/>
      <c r="T13" s="503"/>
      <c r="U13" s="503"/>
      <c r="V13" s="504"/>
      <c r="W13" s="504"/>
      <c r="X13" s="505"/>
      <c r="Y13" s="7"/>
    </row>
    <row r="14" spans="1:25" x14ac:dyDescent="0.3">
      <c r="A14" s="86"/>
      <c r="B14" s="713" t="s">
        <v>115</v>
      </c>
      <c r="C14" s="713"/>
      <c r="D14" s="713"/>
      <c r="E14" s="511"/>
      <c r="F14" s="511"/>
      <c r="G14" s="511"/>
      <c r="H14" s="511"/>
      <c r="I14" s="511"/>
      <c r="J14" s="512"/>
      <c r="K14" s="512"/>
      <c r="L14" s="86"/>
      <c r="M14" s="11"/>
      <c r="O14" s="502"/>
      <c r="P14" s="502"/>
      <c r="Q14" s="502"/>
      <c r="R14" s="502"/>
      <c r="S14" s="502"/>
      <c r="T14" s="503"/>
      <c r="U14" s="503"/>
      <c r="V14" s="504"/>
      <c r="W14" s="504"/>
      <c r="X14" s="505"/>
      <c r="Y14" s="7"/>
    </row>
    <row r="15" spans="1:25" x14ac:dyDescent="0.3">
      <c r="A15" s="53"/>
      <c r="B15" s="1129" t="s">
        <v>7</v>
      </c>
      <c r="C15" s="1129"/>
      <c r="D15" s="1129"/>
      <c r="E15" s="53"/>
      <c r="F15" s="53"/>
      <c r="G15" s="53"/>
      <c r="H15" s="53"/>
      <c r="I15" s="53"/>
      <c r="J15" s="54"/>
      <c r="K15" s="55"/>
      <c r="L15" s="54"/>
      <c r="M15" s="11"/>
      <c r="N15" s="11"/>
      <c r="O15" s="502"/>
      <c r="P15" s="502"/>
      <c r="Q15" s="502"/>
      <c r="R15" s="502"/>
      <c r="S15" s="502"/>
      <c r="T15" s="503"/>
      <c r="U15" s="503"/>
      <c r="V15" s="504"/>
      <c r="W15" s="504"/>
      <c r="X15" s="505"/>
      <c r="Y15" s="7"/>
    </row>
    <row r="16" spans="1:25" ht="15" thickBot="1" x14ac:dyDescent="0.35">
      <c r="A16" s="7"/>
      <c r="B16" s="7"/>
      <c r="C16" s="7"/>
      <c r="D16" s="7"/>
      <c r="E16" s="7"/>
      <c r="F16" s="7"/>
      <c r="G16" s="7"/>
      <c r="H16" s="7"/>
      <c r="I16" s="7"/>
      <c r="J16" s="1"/>
      <c r="K16" s="2"/>
      <c r="L16" s="1"/>
      <c r="M16" s="3"/>
      <c r="N16" s="1228"/>
      <c r="O16" s="1228"/>
      <c r="P16" s="1228"/>
      <c r="Q16" s="1228"/>
      <c r="R16" s="1228"/>
      <c r="S16" s="1228"/>
      <c r="T16" s="1228"/>
      <c r="U16" s="1228"/>
      <c r="V16" s="1228"/>
      <c r="W16" s="1228"/>
      <c r="X16" s="1228"/>
      <c r="Y16" s="7"/>
    </row>
    <row r="17" spans="10:24" x14ac:dyDescent="0.3">
      <c r="N17" s="1223" t="s">
        <v>725</v>
      </c>
      <c r="O17" s="1224"/>
      <c r="P17" s="1224"/>
      <c r="Q17" s="1224"/>
      <c r="R17" s="1224"/>
      <c r="S17" s="1224"/>
      <c r="T17" s="1224"/>
      <c r="U17" s="1224"/>
      <c r="V17" s="1224"/>
      <c r="W17" s="1224"/>
      <c r="X17" s="1225"/>
    </row>
    <row r="18" spans="10:24" x14ac:dyDescent="0.3">
      <c r="N18" s="177" t="s">
        <v>111</v>
      </c>
      <c r="O18" s="404" t="s">
        <v>767</v>
      </c>
      <c r="P18" s="404" t="s">
        <v>765</v>
      </c>
      <c r="Q18" s="404" t="s">
        <v>766</v>
      </c>
      <c r="R18" s="404" t="s">
        <v>770</v>
      </c>
      <c r="S18" s="404" t="s">
        <v>769</v>
      </c>
      <c r="T18" s="404" t="s">
        <v>118</v>
      </c>
      <c r="U18" s="404" t="s">
        <v>768</v>
      </c>
      <c r="V18" s="404" t="s">
        <v>121</v>
      </c>
      <c r="W18" s="404" t="s">
        <v>40</v>
      </c>
      <c r="X18" s="405" t="s">
        <v>119</v>
      </c>
    </row>
    <row r="19" spans="10:24" x14ac:dyDescent="0.3">
      <c r="N19" s="925" t="s">
        <v>726</v>
      </c>
      <c r="O19" s="910"/>
      <c r="P19" s="910"/>
      <c r="Q19" s="910"/>
      <c r="R19" s="910"/>
      <c r="S19" s="910"/>
      <c r="T19" s="910"/>
      <c r="U19" s="910"/>
      <c r="V19" s="910"/>
      <c r="W19" s="910"/>
      <c r="X19" s="926"/>
    </row>
    <row r="20" spans="10:24" x14ac:dyDescent="0.3">
      <c r="N20" s="559" t="s">
        <v>1170</v>
      </c>
      <c r="O20" s="540">
        <v>35</v>
      </c>
      <c r="P20" s="540">
        <v>35</v>
      </c>
      <c r="Q20" s="540">
        <v>35</v>
      </c>
      <c r="R20" s="540">
        <v>24</v>
      </c>
      <c r="S20" s="540"/>
      <c r="T20" s="540"/>
      <c r="U20" s="540">
        <v>10</v>
      </c>
      <c r="V20" s="540">
        <v>-6</v>
      </c>
      <c r="W20" s="540">
        <v>-50</v>
      </c>
      <c r="X20" s="560">
        <v>1100</v>
      </c>
    </row>
    <row r="21" spans="10:24" x14ac:dyDescent="0.3">
      <c r="M21" s="3"/>
      <c r="N21" s="88" t="s">
        <v>727</v>
      </c>
      <c r="O21" s="3">
        <v>35.4</v>
      </c>
      <c r="P21" s="3">
        <v>34.799999999999997</v>
      </c>
      <c r="Q21" s="3">
        <v>33.9</v>
      </c>
      <c r="R21" s="3">
        <v>25.1</v>
      </c>
      <c r="S21" s="3">
        <v>37.700000000000003</v>
      </c>
      <c r="T21" s="3" t="s">
        <v>7</v>
      </c>
      <c r="U21" s="3">
        <v>10.7</v>
      </c>
      <c r="V21" s="3">
        <v>-10</v>
      </c>
      <c r="W21" s="3">
        <v>-67.8</v>
      </c>
      <c r="X21" s="97">
        <v>143</v>
      </c>
    </row>
    <row r="22" spans="10:24" x14ac:dyDescent="0.3">
      <c r="M22" s="3"/>
      <c r="N22" s="88" t="s">
        <v>728</v>
      </c>
      <c r="O22" s="3">
        <v>34.799999999999997</v>
      </c>
      <c r="P22" s="3">
        <v>34</v>
      </c>
      <c r="Q22" s="3">
        <v>33.200000000000003</v>
      </c>
      <c r="R22" s="3">
        <v>25.9</v>
      </c>
      <c r="S22" s="3">
        <v>36.700000000000003</v>
      </c>
      <c r="T22" s="3" t="s">
        <v>7</v>
      </c>
      <c r="U22" s="3">
        <v>8</v>
      </c>
      <c r="V22" s="3">
        <v>-3.15</v>
      </c>
      <c r="W22" s="3">
        <v>-59.98</v>
      </c>
      <c r="X22" s="97">
        <v>84</v>
      </c>
    </row>
    <row r="23" spans="10:24" x14ac:dyDescent="0.3">
      <c r="M23" s="3"/>
      <c r="N23" s="88" t="s">
        <v>729</v>
      </c>
      <c r="O23" s="3">
        <v>36</v>
      </c>
      <c r="P23" s="3">
        <v>35.1</v>
      </c>
      <c r="Q23" s="3">
        <v>34.4</v>
      </c>
      <c r="R23" s="3">
        <v>26.5</v>
      </c>
      <c r="S23" s="3">
        <v>37.6</v>
      </c>
      <c r="T23" s="3" t="s">
        <v>7</v>
      </c>
      <c r="U23" s="3">
        <v>10.5</v>
      </c>
      <c r="V23" s="3">
        <v>-3.03</v>
      </c>
      <c r="W23" s="3">
        <v>-60.05</v>
      </c>
      <c r="X23" s="97">
        <v>2</v>
      </c>
    </row>
    <row r="24" spans="10:24" x14ac:dyDescent="0.3">
      <c r="M24" s="3"/>
      <c r="N24" s="88" t="s">
        <v>730</v>
      </c>
      <c r="O24" s="3">
        <v>34</v>
      </c>
      <c r="P24" s="3">
        <v>33.200000000000003</v>
      </c>
      <c r="Q24" s="3">
        <v>33</v>
      </c>
      <c r="R24" s="3">
        <v>26.1</v>
      </c>
      <c r="S24" s="3">
        <v>35</v>
      </c>
      <c r="T24" s="3" t="s">
        <v>7</v>
      </c>
      <c r="U24" s="3">
        <v>8.5</v>
      </c>
      <c r="V24" s="3">
        <v>0.03</v>
      </c>
      <c r="W24" s="3">
        <v>-51.5</v>
      </c>
      <c r="X24" s="97">
        <v>15</v>
      </c>
    </row>
    <row r="25" spans="10:24" x14ac:dyDescent="0.3">
      <c r="M25" s="3"/>
      <c r="N25" s="498" t="s">
        <v>169</v>
      </c>
      <c r="O25" s="490">
        <v>36</v>
      </c>
      <c r="P25" s="490"/>
      <c r="Q25" s="490"/>
      <c r="R25" s="490">
        <v>26</v>
      </c>
      <c r="S25" s="490"/>
      <c r="T25" s="491">
        <v>0.86</v>
      </c>
      <c r="U25" s="491"/>
      <c r="V25" s="492">
        <v>-5.37</v>
      </c>
      <c r="W25" s="492">
        <v>-49.12</v>
      </c>
      <c r="X25" s="497"/>
    </row>
    <row r="26" spans="10:24" x14ac:dyDescent="0.3">
      <c r="J26" t="s">
        <v>129</v>
      </c>
      <c r="M26" s="3"/>
      <c r="N26" s="88" t="s">
        <v>731</v>
      </c>
      <c r="O26" s="3">
        <v>33.1</v>
      </c>
      <c r="P26" s="3">
        <v>32.799999999999997</v>
      </c>
      <c r="Q26" s="3">
        <v>32.1</v>
      </c>
      <c r="R26" s="3">
        <v>26.1</v>
      </c>
      <c r="S26" s="3">
        <v>35.200000000000003</v>
      </c>
      <c r="T26" s="3" t="s">
        <v>7</v>
      </c>
      <c r="U26" s="3">
        <v>8.1999999999999993</v>
      </c>
      <c r="V26" s="3">
        <v>-1.38</v>
      </c>
      <c r="W26" s="3">
        <v>-48.48</v>
      </c>
      <c r="X26" s="97">
        <v>16</v>
      </c>
    </row>
    <row r="27" spans="10:24" x14ac:dyDescent="0.3">
      <c r="M27" s="3"/>
      <c r="N27" s="499" t="s">
        <v>377</v>
      </c>
      <c r="O27" s="490">
        <v>40</v>
      </c>
      <c r="P27" s="490"/>
      <c r="Q27" s="490"/>
      <c r="R27" s="490">
        <v>37.5</v>
      </c>
      <c r="S27" s="490"/>
      <c r="T27" s="491">
        <v>0.82199999999999995</v>
      </c>
      <c r="U27" s="491"/>
      <c r="V27" s="492">
        <v>-2.15</v>
      </c>
      <c r="W27" s="492">
        <v>-56.1</v>
      </c>
      <c r="X27" s="497">
        <v>100</v>
      </c>
    </row>
    <row r="28" spans="10:24" x14ac:dyDescent="0.3">
      <c r="M28" s="3"/>
      <c r="N28" s="88" t="s">
        <v>732</v>
      </c>
      <c r="O28" s="3">
        <v>34</v>
      </c>
      <c r="P28" s="3">
        <v>33.200000000000003</v>
      </c>
      <c r="Q28" s="3">
        <v>33</v>
      </c>
      <c r="R28" s="3">
        <v>25.5</v>
      </c>
      <c r="S28" s="3">
        <v>35.6</v>
      </c>
      <c r="T28" s="3" t="s">
        <v>7</v>
      </c>
      <c r="U28" s="3">
        <v>7.6</v>
      </c>
      <c r="V28" s="3">
        <v>-2.4300000000000002</v>
      </c>
      <c r="W28" s="3">
        <v>-54.72</v>
      </c>
      <c r="X28" s="97">
        <v>72</v>
      </c>
    </row>
    <row r="29" spans="10:24" x14ac:dyDescent="0.3">
      <c r="M29" s="3"/>
      <c r="N29" s="500" t="s">
        <v>1098</v>
      </c>
      <c r="O29" s="285">
        <v>36.5</v>
      </c>
      <c r="P29" s="285">
        <v>36</v>
      </c>
      <c r="Q29" s="285">
        <v>36</v>
      </c>
      <c r="R29" s="285">
        <v>24</v>
      </c>
      <c r="S29" s="285"/>
      <c r="T29" s="285"/>
      <c r="U29" s="285"/>
      <c r="V29" s="285"/>
      <c r="W29" s="285"/>
      <c r="X29" s="539"/>
    </row>
    <row r="30" spans="10:24" x14ac:dyDescent="0.3">
      <c r="M30" s="3"/>
      <c r="N30" s="88" t="s">
        <v>733</v>
      </c>
      <c r="O30" s="3">
        <v>35.5</v>
      </c>
      <c r="P30" s="3">
        <v>34.799999999999997</v>
      </c>
      <c r="Q30" s="3">
        <v>34</v>
      </c>
      <c r="R30" s="3">
        <v>25.7</v>
      </c>
      <c r="S30" s="3" t="s">
        <v>7</v>
      </c>
      <c r="T30" s="3" t="s">
        <v>7</v>
      </c>
      <c r="U30" s="3">
        <v>10.4</v>
      </c>
      <c r="V30" s="3">
        <v>-8.77</v>
      </c>
      <c r="W30" s="3">
        <v>-63.92</v>
      </c>
      <c r="X30" s="97">
        <v>88</v>
      </c>
    </row>
    <row r="31" spans="10:24" x14ac:dyDescent="0.3">
      <c r="M31" s="3"/>
      <c r="N31" s="88" t="s">
        <v>734</v>
      </c>
      <c r="O31" s="3">
        <v>36.200000000000003</v>
      </c>
      <c r="P31" s="3">
        <v>35.700000000000003</v>
      </c>
      <c r="Q31" s="3">
        <v>35.1</v>
      </c>
      <c r="R31" s="3">
        <v>25.1</v>
      </c>
      <c r="S31" s="3" t="s">
        <v>7</v>
      </c>
      <c r="T31" s="3" t="s">
        <v>7</v>
      </c>
      <c r="U31" s="3">
        <v>9.6999999999999993</v>
      </c>
      <c r="V31" s="3">
        <v>2.83</v>
      </c>
      <c r="W31" s="3">
        <v>-60.7</v>
      </c>
      <c r="X31" s="97">
        <v>140</v>
      </c>
    </row>
    <row r="32" spans="10:24" x14ac:dyDescent="0.3">
      <c r="M32" s="489"/>
      <c r="N32" s="88" t="s">
        <v>736</v>
      </c>
      <c r="O32" s="493">
        <v>32.6</v>
      </c>
      <c r="P32" s="493">
        <v>32</v>
      </c>
      <c r="Q32" s="493">
        <v>31.3</v>
      </c>
      <c r="R32" s="493">
        <v>25.1</v>
      </c>
      <c r="S32" s="493">
        <v>35.299999999999997</v>
      </c>
      <c r="T32" s="493" t="s">
        <v>7</v>
      </c>
      <c r="U32" s="493">
        <v>7.7</v>
      </c>
      <c r="V32" s="493">
        <v>-9.52</v>
      </c>
      <c r="W32" s="493">
        <v>-35.76</v>
      </c>
      <c r="X32" s="400">
        <v>115</v>
      </c>
    </row>
    <row r="33" spans="13:24" x14ac:dyDescent="0.3">
      <c r="M33" s="489"/>
      <c r="N33" s="406" t="s">
        <v>737</v>
      </c>
      <c r="O33" s="494">
        <v>31.8</v>
      </c>
      <c r="P33" s="494">
        <v>31.2</v>
      </c>
      <c r="Q33" s="494">
        <v>30.9</v>
      </c>
      <c r="R33" s="494">
        <v>25.2</v>
      </c>
      <c r="S33" s="494">
        <v>34.6</v>
      </c>
      <c r="T33" s="493" t="s">
        <v>7</v>
      </c>
      <c r="U33" s="494">
        <v>7.8</v>
      </c>
      <c r="V33" s="494">
        <v>-17.63</v>
      </c>
      <c r="W33" s="494">
        <v>-39.25</v>
      </c>
      <c r="X33" s="401">
        <v>4</v>
      </c>
    </row>
    <row r="34" spans="13:24" x14ac:dyDescent="0.3">
      <c r="M34" s="489"/>
      <c r="N34" s="406" t="s">
        <v>738</v>
      </c>
      <c r="O34" s="494">
        <v>32.700000000000003</v>
      </c>
      <c r="P34" s="494">
        <v>32</v>
      </c>
      <c r="Q34" s="494">
        <v>31.2</v>
      </c>
      <c r="R34" s="494">
        <v>26.7</v>
      </c>
      <c r="S34" s="494">
        <v>34.799999999999997</v>
      </c>
      <c r="T34" s="493" t="s">
        <v>7</v>
      </c>
      <c r="U34" s="494">
        <v>5.9</v>
      </c>
      <c r="V34" s="494">
        <v>-12.9</v>
      </c>
      <c r="W34" s="494">
        <v>-38.33</v>
      </c>
      <c r="X34" s="401">
        <v>6</v>
      </c>
    </row>
    <row r="35" spans="13:24" x14ac:dyDescent="0.3">
      <c r="M35" s="489"/>
      <c r="N35" s="406" t="s">
        <v>739</v>
      </c>
      <c r="O35" s="494">
        <v>32.200000000000003</v>
      </c>
      <c r="P35" s="494">
        <v>32.1</v>
      </c>
      <c r="Q35" s="494">
        <v>31.9</v>
      </c>
      <c r="R35" s="494">
        <v>25.3</v>
      </c>
      <c r="S35" s="494">
        <v>35</v>
      </c>
      <c r="T35" s="493" t="s">
        <v>7</v>
      </c>
      <c r="U35" s="494">
        <v>5.9</v>
      </c>
      <c r="V35" s="494">
        <v>-3.78</v>
      </c>
      <c r="W35" s="494">
        <v>-38.53</v>
      </c>
      <c r="X35" s="401">
        <v>25</v>
      </c>
    </row>
    <row r="36" spans="13:24" x14ac:dyDescent="0.3">
      <c r="M36" s="489"/>
      <c r="N36" s="499" t="s">
        <v>112</v>
      </c>
      <c r="O36" s="495">
        <v>37</v>
      </c>
      <c r="P36" s="495"/>
      <c r="Q36" s="495"/>
      <c r="R36" s="495">
        <v>26</v>
      </c>
      <c r="S36" s="495"/>
      <c r="T36" s="496">
        <v>85</v>
      </c>
      <c r="U36" s="495"/>
      <c r="V36" s="492">
        <v>-1.4</v>
      </c>
      <c r="W36" s="492">
        <v>-45.78</v>
      </c>
      <c r="X36" s="497">
        <v>10</v>
      </c>
    </row>
    <row r="37" spans="13:24" x14ac:dyDescent="0.3">
      <c r="M37" s="489"/>
      <c r="N37" s="500" t="s">
        <v>168</v>
      </c>
      <c r="O37" s="490">
        <v>37</v>
      </c>
      <c r="P37" s="490"/>
      <c r="Q37" s="490"/>
      <c r="R37" s="490">
        <v>26</v>
      </c>
      <c r="S37" s="490"/>
      <c r="T37" s="491">
        <v>0.86</v>
      </c>
      <c r="U37" s="491"/>
      <c r="V37" s="492">
        <v>-3.66</v>
      </c>
      <c r="W37" s="492">
        <v>-45.38</v>
      </c>
      <c r="X37" s="497"/>
    </row>
    <row r="38" spans="13:24" x14ac:dyDescent="0.3">
      <c r="M38" s="489"/>
      <c r="N38" s="406" t="s">
        <v>164</v>
      </c>
      <c r="O38" s="494">
        <v>34.1</v>
      </c>
      <c r="P38" s="494">
        <v>33.799999999999997</v>
      </c>
      <c r="Q38" s="494">
        <v>33.1</v>
      </c>
      <c r="R38" s="494">
        <v>26.3</v>
      </c>
      <c r="S38" s="494">
        <v>35.799999999999997</v>
      </c>
      <c r="T38" s="493" t="s">
        <v>7</v>
      </c>
      <c r="U38" s="494">
        <v>7.4</v>
      </c>
      <c r="V38" s="494">
        <v>-2.6</v>
      </c>
      <c r="W38" s="494">
        <v>-44.23</v>
      </c>
      <c r="X38" s="401">
        <v>53</v>
      </c>
    </row>
    <row r="39" spans="13:24" x14ac:dyDescent="0.3">
      <c r="M39" s="3"/>
      <c r="N39" s="406" t="s">
        <v>740</v>
      </c>
      <c r="O39" s="494">
        <v>31.1</v>
      </c>
      <c r="P39" s="494">
        <v>30.7</v>
      </c>
      <c r="Q39" s="494">
        <v>30.2</v>
      </c>
      <c r="R39" s="494">
        <v>25.7</v>
      </c>
      <c r="S39" s="494">
        <v>35</v>
      </c>
      <c r="T39" s="493" t="s">
        <v>7</v>
      </c>
      <c r="U39" s="494">
        <v>4.7</v>
      </c>
      <c r="V39" s="494">
        <v>-3.85</v>
      </c>
      <c r="W39" s="494">
        <v>-32.42</v>
      </c>
      <c r="X39" s="401">
        <v>56</v>
      </c>
    </row>
    <row r="40" spans="13:24" x14ac:dyDescent="0.3">
      <c r="M40" s="3"/>
      <c r="N40" s="88" t="s">
        <v>741</v>
      </c>
      <c r="O40" s="494">
        <v>34.1</v>
      </c>
      <c r="P40" s="494">
        <v>33.5</v>
      </c>
      <c r="Q40" s="494">
        <v>33</v>
      </c>
      <c r="R40" s="494">
        <v>27.1</v>
      </c>
      <c r="S40" s="494">
        <v>35.9</v>
      </c>
      <c r="T40" s="493" t="s">
        <v>7</v>
      </c>
      <c r="U40" s="494">
        <v>6.7</v>
      </c>
      <c r="V40" s="494">
        <v>-8.07</v>
      </c>
      <c r="W40" s="494">
        <v>-34.85</v>
      </c>
      <c r="X40" s="401">
        <v>19</v>
      </c>
    </row>
    <row r="41" spans="13:24" x14ac:dyDescent="0.3">
      <c r="M41" s="489"/>
      <c r="N41" s="88" t="s">
        <v>742</v>
      </c>
      <c r="O41" s="494">
        <v>37.9</v>
      </c>
      <c r="P41" s="494">
        <v>37.200000000000003</v>
      </c>
      <c r="Q41" s="494">
        <v>36.799999999999997</v>
      </c>
      <c r="R41" s="494">
        <v>24.7</v>
      </c>
      <c r="S41" s="494">
        <v>39.5</v>
      </c>
      <c r="T41" s="493" t="s">
        <v>7</v>
      </c>
      <c r="U41" s="494">
        <v>12.2</v>
      </c>
      <c r="V41" s="494">
        <v>-5.05</v>
      </c>
      <c r="W41" s="494">
        <v>-42.82</v>
      </c>
      <c r="X41" s="401">
        <v>69</v>
      </c>
    </row>
    <row r="42" spans="13:24" x14ac:dyDescent="0.3">
      <c r="M42" s="489"/>
      <c r="N42" s="406" t="s">
        <v>743</v>
      </c>
      <c r="O42" s="494">
        <v>32.200000000000003</v>
      </c>
      <c r="P42" s="494">
        <v>32</v>
      </c>
      <c r="Q42" s="494">
        <v>31.6</v>
      </c>
      <c r="R42" s="494">
        <v>25.3</v>
      </c>
      <c r="S42" s="494">
        <v>34.700000000000003</v>
      </c>
      <c r="T42" s="493" t="s">
        <v>7</v>
      </c>
      <c r="U42" s="494">
        <v>7</v>
      </c>
      <c r="V42" s="494">
        <v>-5.92</v>
      </c>
      <c r="W42" s="494">
        <v>35.25</v>
      </c>
      <c r="X42" s="401">
        <v>52</v>
      </c>
    </row>
    <row r="43" spans="13:24" x14ac:dyDescent="0.3">
      <c r="M43" s="3"/>
      <c r="N43" s="406" t="s">
        <v>744</v>
      </c>
      <c r="O43" s="494">
        <v>32.1</v>
      </c>
      <c r="P43" s="494">
        <v>31.8</v>
      </c>
      <c r="Q43" s="494">
        <v>31.1</v>
      </c>
      <c r="R43" s="494">
        <v>26.6</v>
      </c>
      <c r="S43" s="494">
        <v>35.4</v>
      </c>
      <c r="T43" s="493" t="s">
        <v>7</v>
      </c>
      <c r="U43" s="494">
        <v>5.2</v>
      </c>
      <c r="V43" s="494">
        <v>-10.98</v>
      </c>
      <c r="W43" s="494">
        <v>-37.07</v>
      </c>
      <c r="X43" s="401">
        <v>9</v>
      </c>
    </row>
    <row r="44" spans="13:24" x14ac:dyDescent="0.3">
      <c r="M44" s="3"/>
      <c r="N44" s="88" t="s">
        <v>746</v>
      </c>
      <c r="O44" s="494">
        <v>32.1</v>
      </c>
      <c r="P44" s="494">
        <v>31.1</v>
      </c>
      <c r="Q44" s="494">
        <v>30.2</v>
      </c>
      <c r="R44" s="494">
        <v>18</v>
      </c>
      <c r="S44" s="494">
        <v>34.200000000000003</v>
      </c>
      <c r="T44" s="3" t="s">
        <v>7</v>
      </c>
      <c r="U44" s="494">
        <v>11.3</v>
      </c>
      <c r="V44" s="494">
        <v>-15.87</v>
      </c>
      <c r="W44" s="494">
        <v>-47.93</v>
      </c>
      <c r="X44" s="401">
        <v>1061</v>
      </c>
    </row>
    <row r="45" spans="13:24" x14ac:dyDescent="0.3">
      <c r="M45" s="3"/>
      <c r="N45" s="88" t="s">
        <v>747</v>
      </c>
      <c r="O45" s="494">
        <v>31.7</v>
      </c>
      <c r="P45" s="494">
        <v>30.7</v>
      </c>
      <c r="Q45" s="494">
        <v>29.8</v>
      </c>
      <c r="R45" s="494">
        <v>20.6</v>
      </c>
      <c r="S45" s="3" t="s">
        <v>7</v>
      </c>
      <c r="T45" s="3" t="s">
        <v>7</v>
      </c>
      <c r="U45" s="494">
        <v>10.7</v>
      </c>
      <c r="V45" s="494">
        <v>-16.23</v>
      </c>
      <c r="W45" s="494">
        <v>-48.79</v>
      </c>
      <c r="X45" s="401">
        <v>1137</v>
      </c>
    </row>
    <row r="46" spans="13:24" x14ac:dyDescent="0.3">
      <c r="M46" s="3"/>
      <c r="N46" s="88" t="s">
        <v>748</v>
      </c>
      <c r="O46" s="494">
        <v>35</v>
      </c>
      <c r="P46" s="494">
        <v>34</v>
      </c>
      <c r="Q46" s="494">
        <v>33.1</v>
      </c>
      <c r="R46" s="494">
        <v>20.3</v>
      </c>
      <c r="S46" s="494">
        <v>36.6</v>
      </c>
      <c r="T46" s="3" t="s">
        <v>7</v>
      </c>
      <c r="U46" s="494">
        <v>11.7</v>
      </c>
      <c r="V46" s="494">
        <v>-16.63</v>
      </c>
      <c r="W46" s="494">
        <v>-49.22</v>
      </c>
      <c r="X46" s="401">
        <v>747</v>
      </c>
    </row>
    <row r="47" spans="13:24" x14ac:dyDescent="0.3">
      <c r="M47" s="3"/>
      <c r="N47" s="500" t="s">
        <v>1068</v>
      </c>
      <c r="O47" s="495">
        <f>O46</f>
        <v>35</v>
      </c>
      <c r="P47" s="495">
        <f>P46</f>
        <v>34</v>
      </c>
      <c r="Q47" s="495">
        <f>Q46</f>
        <v>33.1</v>
      </c>
      <c r="R47" s="495">
        <f>R46+2</f>
        <v>22.3</v>
      </c>
      <c r="S47" s="495">
        <f>S46</f>
        <v>36.6</v>
      </c>
      <c r="T47" s="285"/>
      <c r="U47" s="495">
        <f>U46-1</f>
        <v>10.7</v>
      </c>
      <c r="V47" s="495">
        <v>-14.02</v>
      </c>
      <c r="W47" s="495">
        <v>-49.18</v>
      </c>
      <c r="X47" s="536">
        <v>550</v>
      </c>
    </row>
    <row r="48" spans="13:24" x14ac:dyDescent="0.3">
      <c r="M48" s="3"/>
      <c r="N48" s="500" t="s">
        <v>1069</v>
      </c>
      <c r="O48" s="495">
        <f>O46</f>
        <v>35</v>
      </c>
      <c r="P48" s="495">
        <f>P46</f>
        <v>34</v>
      </c>
      <c r="Q48" s="495">
        <f>Q46</f>
        <v>33.1</v>
      </c>
      <c r="R48" s="495">
        <f>R46+2</f>
        <v>22.3</v>
      </c>
      <c r="S48" s="495">
        <f>S46</f>
        <v>36.6</v>
      </c>
      <c r="T48" s="285"/>
      <c r="U48" s="495">
        <f>U46-1</f>
        <v>10.7</v>
      </c>
      <c r="V48" s="495">
        <v>-14.19</v>
      </c>
      <c r="W48" s="495">
        <v>-49.33</v>
      </c>
      <c r="X48" s="536">
        <v>400</v>
      </c>
    </row>
    <row r="49" spans="13:24" x14ac:dyDescent="0.3">
      <c r="M49" s="3"/>
      <c r="N49" s="88" t="s">
        <v>749</v>
      </c>
      <c r="O49" s="494">
        <v>35.799999999999997</v>
      </c>
      <c r="P49" s="494">
        <v>34.799999999999997</v>
      </c>
      <c r="Q49" s="494">
        <v>33.9</v>
      </c>
      <c r="R49" s="494">
        <v>22.6</v>
      </c>
      <c r="S49" s="494">
        <v>37.6</v>
      </c>
      <c r="T49" s="3" t="s">
        <v>7</v>
      </c>
      <c r="U49" s="494">
        <v>10.4</v>
      </c>
      <c r="V49" s="494">
        <v>-20.47</v>
      </c>
      <c r="W49" s="494">
        <v>-54.67</v>
      </c>
      <c r="X49" s="401">
        <v>556</v>
      </c>
    </row>
    <row r="50" spans="13:24" x14ac:dyDescent="0.3">
      <c r="M50" s="3"/>
      <c r="N50" s="88" t="s">
        <v>750</v>
      </c>
      <c r="O50" s="494">
        <v>38</v>
      </c>
      <c r="P50" s="494">
        <v>36.9</v>
      </c>
      <c r="Q50" s="494">
        <v>36</v>
      </c>
      <c r="R50" s="494">
        <v>23.4</v>
      </c>
      <c r="S50" s="3" t="s">
        <v>7</v>
      </c>
      <c r="T50" s="3" t="s">
        <v>7</v>
      </c>
      <c r="U50" s="494">
        <v>10.4</v>
      </c>
      <c r="V50" s="494">
        <v>-15.65</v>
      </c>
      <c r="W50" s="494">
        <v>-56.1</v>
      </c>
      <c r="X50" s="401">
        <v>182</v>
      </c>
    </row>
    <row r="51" spans="13:24" x14ac:dyDescent="0.3">
      <c r="M51" s="3"/>
      <c r="N51" s="88" t="s">
        <v>752</v>
      </c>
      <c r="O51" s="494">
        <v>34</v>
      </c>
      <c r="P51" s="494">
        <v>33.1</v>
      </c>
      <c r="Q51" s="494">
        <v>32.200000000000003</v>
      </c>
      <c r="R51" s="494">
        <v>25.5</v>
      </c>
      <c r="S51" s="494">
        <v>36.799999999999997</v>
      </c>
      <c r="T51" s="3" t="s">
        <v>7</v>
      </c>
      <c r="U51" s="494">
        <v>8</v>
      </c>
      <c r="V51" s="494">
        <v>-20.27</v>
      </c>
      <c r="W51" s="494">
        <v>-40.28</v>
      </c>
      <c r="X51" s="401">
        <v>4</v>
      </c>
    </row>
    <row r="52" spans="13:24" x14ac:dyDescent="0.3">
      <c r="M52" s="3"/>
      <c r="N52" s="88" t="s">
        <v>753</v>
      </c>
      <c r="O52" s="494">
        <v>33</v>
      </c>
      <c r="P52" s="494">
        <v>32</v>
      </c>
      <c r="Q52" s="494">
        <v>31.1</v>
      </c>
      <c r="R52" s="494">
        <v>20.7</v>
      </c>
      <c r="S52" s="3" t="s">
        <v>7</v>
      </c>
      <c r="T52" s="3" t="s">
        <v>7</v>
      </c>
      <c r="U52" s="494">
        <v>9.6</v>
      </c>
      <c r="V52" s="494">
        <v>-19.850000000000001</v>
      </c>
      <c r="W52" s="494">
        <v>-43.95</v>
      </c>
      <c r="X52" s="401">
        <v>785</v>
      </c>
    </row>
    <row r="53" spans="13:24" x14ac:dyDescent="0.3">
      <c r="M53" s="3"/>
      <c r="N53" s="88" t="s">
        <v>754</v>
      </c>
      <c r="O53" s="494">
        <v>32.1</v>
      </c>
      <c r="P53" s="494">
        <v>31.1</v>
      </c>
      <c r="Q53" s="494">
        <v>30.2</v>
      </c>
      <c r="R53" s="494">
        <v>20.5</v>
      </c>
      <c r="S53" s="494">
        <v>34.6</v>
      </c>
      <c r="T53" s="3" t="s">
        <v>7</v>
      </c>
      <c r="U53" s="494">
        <v>9.6999999999999993</v>
      </c>
      <c r="V53" s="494">
        <v>-19.829999999999998</v>
      </c>
      <c r="W53" s="494">
        <v>-43.93</v>
      </c>
      <c r="X53" s="401">
        <v>917</v>
      </c>
    </row>
    <row r="54" spans="13:24" x14ac:dyDescent="0.3">
      <c r="M54" s="3"/>
      <c r="N54" s="499" t="s">
        <v>128</v>
      </c>
      <c r="O54" s="490">
        <v>34.5</v>
      </c>
      <c r="P54" s="490"/>
      <c r="Q54" s="490"/>
      <c r="R54" s="490">
        <v>24</v>
      </c>
      <c r="S54" s="490"/>
      <c r="T54" s="491"/>
      <c r="U54" s="491"/>
      <c r="V54" s="492">
        <v>-20.5</v>
      </c>
      <c r="W54" s="492">
        <v>-43.9</v>
      </c>
      <c r="X54" s="497">
        <v>870</v>
      </c>
    </row>
    <row r="55" spans="13:24" x14ac:dyDescent="0.3">
      <c r="M55" s="3"/>
      <c r="N55" s="88" t="s">
        <v>170</v>
      </c>
      <c r="O55" s="494">
        <v>33.6</v>
      </c>
      <c r="P55" s="494">
        <v>32.700000000000003</v>
      </c>
      <c r="Q55" s="494">
        <v>31.9</v>
      </c>
      <c r="R55" s="494">
        <v>19.3</v>
      </c>
      <c r="S55" s="494">
        <v>35.9</v>
      </c>
      <c r="T55" s="3" t="s">
        <v>7</v>
      </c>
      <c r="U55" s="494">
        <v>10.9</v>
      </c>
      <c r="V55" s="494">
        <v>-19.78</v>
      </c>
      <c r="W55" s="494">
        <v>-47.97</v>
      </c>
      <c r="X55" s="401">
        <v>807</v>
      </c>
    </row>
    <row r="56" spans="13:24" x14ac:dyDescent="0.3">
      <c r="M56" s="3"/>
      <c r="N56" s="88" t="s">
        <v>755</v>
      </c>
      <c r="O56" s="494">
        <v>34</v>
      </c>
      <c r="P56" s="494">
        <v>32.700000000000003</v>
      </c>
      <c r="Q56" s="494">
        <v>31.8</v>
      </c>
      <c r="R56" s="494">
        <v>25.2</v>
      </c>
      <c r="S56" s="3" t="s">
        <v>7</v>
      </c>
      <c r="T56" s="3" t="s">
        <v>7</v>
      </c>
      <c r="U56" s="494">
        <v>6.1</v>
      </c>
      <c r="V56" s="494">
        <v>-22.9</v>
      </c>
      <c r="W56" s="494">
        <v>-43.17</v>
      </c>
      <c r="X56" s="401">
        <v>3</v>
      </c>
    </row>
    <row r="57" spans="13:24" x14ac:dyDescent="0.3">
      <c r="M57" s="3"/>
      <c r="N57" s="500" t="s">
        <v>984</v>
      </c>
      <c r="O57" s="535">
        <f t="shared" ref="O57:X57" si="0">O56</f>
        <v>34</v>
      </c>
      <c r="P57" s="535">
        <f t="shared" si="0"/>
        <v>32.700000000000003</v>
      </c>
      <c r="Q57" s="535">
        <f t="shared" si="0"/>
        <v>31.8</v>
      </c>
      <c r="R57" s="535">
        <f t="shared" si="0"/>
        <v>25.2</v>
      </c>
      <c r="S57" s="285" t="str">
        <f t="shared" si="0"/>
        <v>-</v>
      </c>
      <c r="T57" s="285" t="str">
        <f t="shared" si="0"/>
        <v>-</v>
      </c>
      <c r="U57" s="535">
        <f t="shared" si="0"/>
        <v>6.1</v>
      </c>
      <c r="V57" s="535">
        <f t="shared" si="0"/>
        <v>-22.9</v>
      </c>
      <c r="W57" s="535">
        <f t="shared" si="0"/>
        <v>-43.17</v>
      </c>
      <c r="X57" s="536">
        <f t="shared" si="0"/>
        <v>3</v>
      </c>
    </row>
    <row r="58" spans="13:24" x14ac:dyDescent="0.3">
      <c r="M58" s="3"/>
      <c r="N58" s="88" t="s">
        <v>756</v>
      </c>
      <c r="O58" s="494">
        <v>38.1</v>
      </c>
      <c r="P58" s="494">
        <v>36.200000000000003</v>
      </c>
      <c r="Q58" s="494">
        <v>35</v>
      </c>
      <c r="R58" s="494">
        <v>25.6</v>
      </c>
      <c r="S58" s="494">
        <v>40.200000000000003</v>
      </c>
      <c r="T58" s="3" t="s">
        <v>7</v>
      </c>
      <c r="U58" s="494">
        <v>9.8000000000000007</v>
      </c>
      <c r="V58" s="494">
        <v>-22.82</v>
      </c>
      <c r="W58" s="494">
        <v>-43.25</v>
      </c>
      <c r="X58" s="401">
        <v>6</v>
      </c>
    </row>
    <row r="59" spans="13:24" x14ac:dyDescent="0.3">
      <c r="M59" s="3"/>
      <c r="N59" s="88" t="s">
        <v>757</v>
      </c>
      <c r="O59" s="494">
        <v>33.200000000000003</v>
      </c>
      <c r="P59" s="494">
        <v>32.200000000000003</v>
      </c>
      <c r="Q59" s="494">
        <v>31.3</v>
      </c>
      <c r="R59" s="494">
        <v>21.9</v>
      </c>
      <c r="S59" s="494">
        <v>35.799999999999997</v>
      </c>
      <c r="T59" s="3" t="s">
        <v>7</v>
      </c>
      <c r="U59" s="494">
        <v>9.8000000000000007</v>
      </c>
      <c r="V59" s="494">
        <v>-23</v>
      </c>
      <c r="W59" s="494">
        <v>-47.13</v>
      </c>
      <c r="X59" s="401">
        <v>661</v>
      </c>
    </row>
    <row r="60" spans="13:24" x14ac:dyDescent="0.3">
      <c r="M60" s="3"/>
      <c r="N60" s="88" t="s">
        <v>758</v>
      </c>
      <c r="O60" s="494">
        <v>32</v>
      </c>
      <c r="P60" s="494">
        <v>31</v>
      </c>
      <c r="Q60" s="494">
        <v>30</v>
      </c>
      <c r="R60" s="494">
        <v>20.3</v>
      </c>
      <c r="S60" s="494">
        <v>34.299999999999997</v>
      </c>
      <c r="T60" s="3" t="s">
        <v>7</v>
      </c>
      <c r="U60" s="494">
        <v>8.3000000000000007</v>
      </c>
      <c r="V60" s="494">
        <v>-23.62</v>
      </c>
      <c r="W60" s="494">
        <v>-46.65</v>
      </c>
      <c r="X60" s="401">
        <v>803</v>
      </c>
    </row>
    <row r="61" spans="13:24" x14ac:dyDescent="0.3">
      <c r="M61" s="3"/>
      <c r="N61" s="88" t="s">
        <v>759</v>
      </c>
      <c r="O61" s="494">
        <v>32.9</v>
      </c>
      <c r="P61" s="494">
        <v>31.8</v>
      </c>
      <c r="Q61" s="494">
        <v>30.8</v>
      </c>
      <c r="R61" s="494">
        <v>22.3</v>
      </c>
      <c r="S61" s="494">
        <v>34.799999999999997</v>
      </c>
      <c r="T61" s="3" t="s">
        <v>7</v>
      </c>
      <c r="U61" s="494">
        <v>8.9</v>
      </c>
      <c r="V61" s="494">
        <v>-23.43</v>
      </c>
      <c r="W61" s="494">
        <v>-46.47</v>
      </c>
      <c r="X61" s="401">
        <v>750</v>
      </c>
    </row>
    <row r="62" spans="13:24" x14ac:dyDescent="0.3">
      <c r="M62" s="3"/>
      <c r="N62" s="88" t="s">
        <v>760</v>
      </c>
      <c r="O62" s="494">
        <v>30.9</v>
      </c>
      <c r="P62" s="494">
        <v>29.8</v>
      </c>
      <c r="Q62" s="494">
        <v>28.7</v>
      </c>
      <c r="R62" s="494">
        <v>20.2</v>
      </c>
      <c r="S62" s="494">
        <v>32.9</v>
      </c>
      <c r="T62" s="3" t="s">
        <v>7</v>
      </c>
      <c r="U62" s="494">
        <v>9.5</v>
      </c>
      <c r="V62" s="494">
        <v>-25.52</v>
      </c>
      <c r="W62" s="494">
        <v>-49.17</v>
      </c>
      <c r="X62" s="401">
        <v>908</v>
      </c>
    </row>
    <row r="63" spans="13:24" x14ac:dyDescent="0.3">
      <c r="N63" s="88" t="s">
        <v>761</v>
      </c>
      <c r="O63" s="494">
        <v>35.1</v>
      </c>
      <c r="P63" s="494">
        <v>34.1</v>
      </c>
      <c r="Q63" s="494">
        <v>33.1</v>
      </c>
      <c r="R63" s="494">
        <v>23.6</v>
      </c>
      <c r="S63" s="494">
        <v>37.200000000000003</v>
      </c>
      <c r="T63" s="3" t="s">
        <v>7</v>
      </c>
      <c r="U63" s="494">
        <v>11.1</v>
      </c>
      <c r="V63" s="494">
        <v>-25.52</v>
      </c>
      <c r="W63" s="494">
        <v>-54.58</v>
      </c>
      <c r="X63" s="401">
        <v>243</v>
      </c>
    </row>
    <row r="64" spans="13:24" x14ac:dyDescent="0.3">
      <c r="N64" s="88" t="s">
        <v>762</v>
      </c>
      <c r="O64" s="494">
        <v>33.9</v>
      </c>
      <c r="P64" s="494">
        <v>32.799999999999997</v>
      </c>
      <c r="Q64" s="494">
        <v>31.9</v>
      </c>
      <c r="R64" s="494">
        <v>21.7</v>
      </c>
      <c r="S64" s="494">
        <v>35.700000000000003</v>
      </c>
      <c r="T64" s="3" t="s">
        <v>7</v>
      </c>
      <c r="U64" s="494">
        <v>10</v>
      </c>
      <c r="V64" s="494">
        <v>-23.33</v>
      </c>
      <c r="W64" s="494">
        <v>-51.13</v>
      </c>
      <c r="X64" s="401">
        <v>570</v>
      </c>
    </row>
    <row r="65" spans="14:24" x14ac:dyDescent="0.3">
      <c r="N65" s="88" t="s">
        <v>763</v>
      </c>
      <c r="O65" s="494">
        <v>34.799999999999997</v>
      </c>
      <c r="P65" s="494">
        <v>33.200000000000003</v>
      </c>
      <c r="Q65" s="494">
        <v>31.8</v>
      </c>
      <c r="R65" s="3" t="s">
        <v>7</v>
      </c>
      <c r="S65" s="494">
        <v>37.9</v>
      </c>
      <c r="T65" s="3" t="s">
        <v>7</v>
      </c>
      <c r="U65" s="494">
        <v>9.6999999999999993</v>
      </c>
      <c r="V65" s="494">
        <v>-30</v>
      </c>
      <c r="W65" s="494">
        <v>-51.18</v>
      </c>
      <c r="X65" s="401">
        <v>3</v>
      </c>
    </row>
    <row r="66" spans="14:24" ht="15" thickBot="1" x14ac:dyDescent="0.35">
      <c r="N66" s="114" t="s">
        <v>764</v>
      </c>
      <c r="O66" s="402">
        <v>32.200000000000003</v>
      </c>
      <c r="P66" s="402">
        <v>31</v>
      </c>
      <c r="Q66" s="402">
        <v>29.9</v>
      </c>
      <c r="R66" s="402">
        <v>25.5</v>
      </c>
      <c r="S66" s="402">
        <v>35.200000000000003</v>
      </c>
      <c r="T66" s="407" t="s">
        <v>7</v>
      </c>
      <c r="U66" s="402">
        <v>6.7</v>
      </c>
      <c r="V66" s="402">
        <v>-27.67</v>
      </c>
      <c r="W66" s="402">
        <v>-48.55</v>
      </c>
      <c r="X66" s="403">
        <v>5</v>
      </c>
    </row>
  </sheetData>
  <mergeCells count="21">
    <mergeCell ref="A9:L9"/>
    <mergeCell ref="A1:A7"/>
    <mergeCell ref="B1:L1"/>
    <mergeCell ref="C2:E2"/>
    <mergeCell ref="H2:L2"/>
    <mergeCell ref="C3:E3"/>
    <mergeCell ref="H3:L7"/>
    <mergeCell ref="N3:X3"/>
    <mergeCell ref="C4:E4"/>
    <mergeCell ref="C5:E5"/>
    <mergeCell ref="C6:E6"/>
    <mergeCell ref="C7:E7"/>
    <mergeCell ref="B15:D15"/>
    <mergeCell ref="N16:X16"/>
    <mergeCell ref="N17:X17"/>
    <mergeCell ref="N19:X19"/>
    <mergeCell ref="B10:D10"/>
    <mergeCell ref="A11:L11"/>
    <mergeCell ref="B12:D12"/>
    <mergeCell ref="B13:D13"/>
    <mergeCell ref="B14:D14"/>
  </mergeCells>
  <dataValidations disablePrompts="1" count="3">
    <dataValidation type="list" allowBlank="1" showInputMessage="1" showErrorMessage="1" sqref="A30" xr:uid="{791B4983-9331-4AE3-97E7-DFEF6BD8EEEF}">
      <formula1>"item 1, item 2, item 3,"</formula1>
    </dataValidation>
    <dataValidation type="list" allowBlank="1" showInputMessage="1" showErrorMessage="1" sqref="B12:D14" xr:uid="{633A85C3-FF19-4C7F-9F79-EEF67A0FED43}">
      <formula1>"-, Corrosivo, Salino, Poeirento, Sem Observações do Cliente,"</formula1>
    </dataValidation>
    <dataValidation type="list" allowBlank="1" showInputMessage="1" showErrorMessage="1" sqref="B15:D15" xr:uid="{68059E25-632D-4CA1-B047-535624B9A245}">
      <formula1>"-, Sala de Painéis - Pressão Positiva, Sala de Automação - Pressão Positiva, Sala de Baterias - Pressão Neutra,"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7C1BE-346C-4E2F-86A0-6E682FFAF9F5}">
  <sheetPr codeName="Planilha30"/>
  <dimension ref="A1:L33"/>
  <sheetViews>
    <sheetView workbookViewId="0">
      <selection activeCell="D23" sqref="D23"/>
    </sheetView>
  </sheetViews>
  <sheetFormatPr defaultRowHeight="14.4" x14ac:dyDescent="0.3"/>
  <cols>
    <col min="1" max="12" width="20.6640625" customWidth="1"/>
  </cols>
  <sheetData>
    <row r="1" spans="1:12" x14ac:dyDescent="0.3">
      <c r="A1" s="514" t="s">
        <v>96</v>
      </c>
      <c r="B1" s="514" t="s">
        <v>1070</v>
      </c>
      <c r="C1" s="514" t="s">
        <v>518</v>
      </c>
      <c r="D1" s="514" t="s">
        <v>1071</v>
      </c>
      <c r="E1" s="514" t="s">
        <v>544</v>
      </c>
      <c r="F1" s="514" t="s">
        <v>1072</v>
      </c>
      <c r="G1" s="514" t="s">
        <v>1077</v>
      </c>
      <c r="H1" s="514" t="s">
        <v>1073</v>
      </c>
      <c r="I1" s="514" t="s">
        <v>114</v>
      </c>
      <c r="J1" s="514" t="s">
        <v>1074</v>
      </c>
      <c r="K1" s="514" t="s">
        <v>1075</v>
      </c>
      <c r="L1" s="514" t="s">
        <v>1076</v>
      </c>
    </row>
    <row r="2" spans="1:12" x14ac:dyDescent="0.3">
      <c r="A2" s="515"/>
      <c r="B2" s="515"/>
      <c r="C2" s="515"/>
      <c r="D2" s="515"/>
      <c r="E2" s="515"/>
      <c r="F2" s="515"/>
      <c r="G2" s="515"/>
      <c r="H2" s="515"/>
      <c r="I2" s="515"/>
      <c r="J2" s="515"/>
      <c r="K2" s="515"/>
      <c r="L2" s="515"/>
    </row>
    <row r="3" spans="1:12" x14ac:dyDescent="0.3">
      <c r="A3" s="520"/>
      <c r="B3" s="520"/>
      <c r="C3" s="520"/>
      <c r="D3" s="520"/>
      <c r="E3" s="520"/>
      <c r="F3" s="520"/>
      <c r="G3" s="14"/>
      <c r="H3" s="14"/>
      <c r="I3" s="14"/>
      <c r="J3" s="14"/>
      <c r="K3" s="14"/>
      <c r="L3" s="14"/>
    </row>
    <row r="4" spans="1:12" x14ac:dyDescent="0.3">
      <c r="A4" s="520"/>
      <c r="B4" s="520"/>
      <c r="C4" s="520"/>
      <c r="D4" s="520"/>
      <c r="E4" s="520"/>
      <c r="F4" s="520"/>
      <c r="G4" s="14"/>
      <c r="H4" s="14"/>
      <c r="I4" s="14"/>
      <c r="J4" s="14"/>
      <c r="K4" s="14"/>
      <c r="L4" s="14"/>
    </row>
    <row r="5" spans="1:12" x14ac:dyDescent="0.3">
      <c r="A5" s="520"/>
      <c r="B5" s="520"/>
      <c r="C5" s="520"/>
      <c r="D5" s="520"/>
      <c r="E5" s="520"/>
      <c r="F5" s="520"/>
      <c r="G5" s="14"/>
      <c r="H5" s="14"/>
      <c r="I5" s="14"/>
      <c r="J5" s="14"/>
      <c r="K5" s="14"/>
      <c r="L5" s="14"/>
    </row>
    <row r="6" spans="1:12" x14ac:dyDescent="0.3">
      <c r="A6" s="14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</row>
    <row r="7" spans="1:12" x14ac:dyDescent="0.3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</row>
    <row r="8" spans="1:12" x14ac:dyDescent="0.3">
      <c r="A8" s="14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</row>
    <row r="9" spans="1:12" x14ac:dyDescent="0.3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</row>
    <row r="10" spans="1:12" x14ac:dyDescent="0.3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</row>
    <row r="11" spans="1:12" x14ac:dyDescent="0.3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</row>
    <row r="12" spans="1:12" x14ac:dyDescent="0.3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</row>
    <row r="13" spans="1:12" x14ac:dyDescent="0.3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</row>
    <row r="14" spans="1:12" x14ac:dyDescent="0.3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</row>
    <row r="15" spans="1:12" x14ac:dyDescent="0.3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</row>
    <row r="16" spans="1:12" x14ac:dyDescent="0.3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</row>
    <row r="17" spans="1:12" x14ac:dyDescent="0.3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</row>
    <row r="18" spans="1:12" x14ac:dyDescent="0.3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</row>
    <row r="19" spans="1:12" x14ac:dyDescent="0.3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</row>
    <row r="20" spans="1:12" x14ac:dyDescent="0.3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</row>
    <row r="21" spans="1:12" x14ac:dyDescent="0.3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</row>
    <row r="22" spans="1:12" x14ac:dyDescent="0.3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</row>
    <row r="23" spans="1:12" x14ac:dyDescent="0.3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</row>
    <row r="24" spans="1:12" x14ac:dyDescent="0.3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</row>
    <row r="25" spans="1:12" x14ac:dyDescent="0.3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</row>
    <row r="26" spans="1:12" x14ac:dyDescent="0.3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</row>
    <row r="27" spans="1:12" x14ac:dyDescent="0.3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</row>
    <row r="28" spans="1:12" x14ac:dyDescent="0.3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</row>
    <row r="29" spans="1:12" x14ac:dyDescent="0.3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</row>
    <row r="30" spans="1:12" x14ac:dyDescent="0.3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</row>
    <row r="31" spans="1:12" x14ac:dyDescent="0.3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</row>
    <row r="32" spans="1:12" x14ac:dyDescent="0.3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</row>
    <row r="33" spans="1:12" x14ac:dyDescent="0.3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</row>
  </sheetData>
  <dataValidations count="8">
    <dataValidation type="list" allowBlank="1" showInputMessage="1" showErrorMessage="1" sqref="E2" xr:uid="{9EAB2A72-79B4-4E7C-83A0-574D53826246}">
      <formula1>"ALCALINA,CHUMBO ÁCIDO,"</formula1>
    </dataValidation>
    <dataValidation type="list" allowBlank="1" showInputMessage="1" showErrorMessage="1" sqref="G2 I2:L2" xr:uid="{DEE9DDC6-B3E1-40A0-8B14-CF9746907BD6}">
      <formula1>"SIM,NÃO,"</formula1>
    </dataValidation>
    <dataValidation type="list" allowBlank="1" showInputMessage="1" showErrorMessage="1" sqref="H2" xr:uid="{77684551-1B56-419A-B6E9-968BDC71BDD9}">
      <formula1>"NÃO, N+1, N+2,"</formula1>
    </dataValidation>
    <dataValidation type="list" allowBlank="1" showInputMessage="1" showErrorMessage="1" sqref="F2" xr:uid="{E9D72029-549B-43E3-8EF1-C74E03BD03BF}">
      <formula1>"FM200,NOVEC,FIREPRO,MANUAL,NÃO,"</formula1>
    </dataValidation>
    <dataValidation type="list" allowBlank="1" showInputMessage="1" showErrorMessage="1" sqref="B3:B5" xr:uid="{C239E1DB-1F2A-4135-9A9B-7A60DDFB3D90}">
      <formula1>"Split Piso-Teto, Split Hi-Wall, ACJ,"</formula1>
    </dataValidation>
    <dataValidation type="list" allowBlank="1" showInputMessage="1" showErrorMessage="1" sqref="C3:C5" xr:uid="{55CBABB9-008A-48EF-8559-E84BBA5A801E}">
      <formula1>$O$3:$O$12</formula1>
    </dataValidation>
    <dataValidation type="list" allowBlank="1" showInputMessage="1" showErrorMessage="1" sqref="D3:D5" xr:uid="{A1C6F02A-3EBF-4ED5-A6C4-0DC55CD233BD}">
      <formula1>"127V/1F,220V/1F,220V/3F,380V/3F,440V/3F,460V/3F,480V/3F,"</formula1>
    </dataValidation>
    <dataValidation type="list" allowBlank="1" showInputMessage="1" showErrorMessage="1" sqref="E3:F5" xr:uid="{0617E051-0FC5-4E10-BE80-EDF0487B098B}">
      <formula1>"SIM, NÃO,"</formula1>
    </dataValidation>
  </dataValidations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DBB68-C171-41E0-8E17-7804351640BE}">
  <sheetPr codeName="Planilha31"/>
  <dimension ref="A1:L30"/>
  <sheetViews>
    <sheetView workbookViewId="0">
      <selection activeCell="F17" sqref="F17"/>
    </sheetView>
  </sheetViews>
  <sheetFormatPr defaultRowHeight="14.4" x14ac:dyDescent="0.3"/>
  <cols>
    <col min="1" max="12" width="20.6640625" customWidth="1"/>
  </cols>
  <sheetData>
    <row r="1" spans="1:12" x14ac:dyDescent="0.3">
      <c r="A1" s="514" t="s">
        <v>96</v>
      </c>
      <c r="B1" s="514" t="s">
        <v>1070</v>
      </c>
      <c r="C1" s="514" t="s">
        <v>518</v>
      </c>
      <c r="D1" s="514" t="s">
        <v>1071</v>
      </c>
      <c r="E1" s="514" t="s">
        <v>882</v>
      </c>
      <c r="F1" s="514" t="s">
        <v>1072</v>
      </c>
      <c r="G1" s="514" t="s">
        <v>1073</v>
      </c>
      <c r="H1" s="514" t="s">
        <v>1078</v>
      </c>
      <c r="I1" s="514" t="s">
        <v>114</v>
      </c>
      <c r="J1" s="514" t="s">
        <v>1074</v>
      </c>
      <c r="K1" s="514" t="s">
        <v>1075</v>
      </c>
      <c r="L1" s="514" t="s">
        <v>1076</v>
      </c>
    </row>
    <row r="2" spans="1:12" x14ac:dyDescent="0.3">
      <c r="A2" s="515"/>
      <c r="B2" s="515"/>
      <c r="C2" s="515"/>
      <c r="D2" s="515"/>
      <c r="E2" s="515"/>
      <c r="F2" s="515"/>
      <c r="G2" s="515"/>
      <c r="H2" s="515"/>
      <c r="I2" s="515"/>
      <c r="J2" s="515"/>
      <c r="K2" s="515"/>
      <c r="L2" s="515"/>
    </row>
    <row r="3" spans="1:12" x14ac:dyDescent="0.3">
      <c r="A3" s="520"/>
      <c r="B3" s="520"/>
      <c r="C3" s="520"/>
      <c r="D3" s="520"/>
      <c r="E3" s="520"/>
      <c r="F3" s="520"/>
      <c r="G3" s="14"/>
      <c r="H3" s="14"/>
      <c r="I3" s="14"/>
      <c r="J3" s="14"/>
      <c r="K3" s="14"/>
      <c r="L3" s="14"/>
    </row>
    <row r="4" spans="1:12" x14ac:dyDescent="0.3">
      <c r="A4" s="520"/>
      <c r="B4" s="520"/>
      <c r="C4" s="520"/>
      <c r="D4" s="520"/>
      <c r="E4" s="520"/>
      <c r="F4" s="520"/>
      <c r="G4" s="14"/>
      <c r="H4" s="14"/>
      <c r="I4" s="14"/>
      <c r="J4" s="14"/>
      <c r="K4" s="14"/>
      <c r="L4" s="14"/>
    </row>
    <row r="5" spans="1:12" x14ac:dyDescent="0.3">
      <c r="A5" s="520"/>
      <c r="B5" s="520"/>
      <c r="C5" s="520"/>
      <c r="D5" s="520"/>
      <c r="E5" s="520"/>
      <c r="F5" s="520"/>
      <c r="G5" s="14"/>
      <c r="H5" s="14"/>
      <c r="I5" s="14"/>
      <c r="J5" s="14"/>
      <c r="K5" s="14"/>
      <c r="L5" s="14"/>
    </row>
    <row r="6" spans="1:12" x14ac:dyDescent="0.3">
      <c r="A6" s="520"/>
      <c r="B6" s="520"/>
      <c r="C6" s="520"/>
      <c r="D6" s="520"/>
      <c r="E6" s="520"/>
      <c r="F6" s="520"/>
      <c r="G6" s="14"/>
      <c r="H6" s="14"/>
      <c r="I6" s="14"/>
      <c r="J6" s="14"/>
      <c r="K6" s="14"/>
      <c r="L6" s="14"/>
    </row>
    <row r="7" spans="1:12" x14ac:dyDescent="0.3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</row>
    <row r="8" spans="1:12" x14ac:dyDescent="0.3">
      <c r="A8" s="14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</row>
    <row r="9" spans="1:12" x14ac:dyDescent="0.3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</row>
    <row r="10" spans="1:12" x14ac:dyDescent="0.3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</row>
    <row r="11" spans="1:12" x14ac:dyDescent="0.3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</row>
    <row r="12" spans="1:12" x14ac:dyDescent="0.3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</row>
    <row r="13" spans="1:12" x14ac:dyDescent="0.3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</row>
    <row r="14" spans="1:12" x14ac:dyDescent="0.3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</row>
    <row r="15" spans="1:12" x14ac:dyDescent="0.3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</row>
    <row r="16" spans="1:12" x14ac:dyDescent="0.3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</row>
    <row r="17" spans="1:12" x14ac:dyDescent="0.3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</row>
    <row r="18" spans="1:12" x14ac:dyDescent="0.3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</row>
    <row r="19" spans="1:12" x14ac:dyDescent="0.3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</row>
    <row r="20" spans="1:12" x14ac:dyDescent="0.3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</row>
    <row r="21" spans="1:12" x14ac:dyDescent="0.3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</row>
    <row r="22" spans="1:12" x14ac:dyDescent="0.3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</row>
    <row r="23" spans="1:12" x14ac:dyDescent="0.3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</row>
    <row r="24" spans="1:12" x14ac:dyDescent="0.3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</row>
    <row r="25" spans="1:12" x14ac:dyDescent="0.3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</row>
    <row r="26" spans="1:12" x14ac:dyDescent="0.3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</row>
    <row r="27" spans="1:12" x14ac:dyDescent="0.3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</row>
    <row r="28" spans="1:12" x14ac:dyDescent="0.3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</row>
    <row r="29" spans="1:12" x14ac:dyDescent="0.3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</row>
    <row r="30" spans="1:12" x14ac:dyDescent="0.3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</row>
  </sheetData>
  <dataValidations count="4">
    <dataValidation type="list" allowBlank="1" showInputMessage="1" showErrorMessage="1" sqref="H2:L2" xr:uid="{085B26C6-6831-4038-B358-3FBB46DCA79B}">
      <formula1>"SIM,NÃO,"</formula1>
    </dataValidation>
    <dataValidation type="list" allowBlank="1" showInputMessage="1" showErrorMessage="1" sqref="G2" xr:uid="{3E9F6795-9EE1-4BB7-B222-3C399FABCFB3}">
      <formula1>"NÃO, N+1, N+2,"</formula1>
    </dataValidation>
    <dataValidation type="list" allowBlank="1" showInputMessage="1" showErrorMessage="1" sqref="F2" xr:uid="{7BB8DA8A-C5AC-40D8-A96D-D41FB70A346E}">
      <formula1>"FM200,NOVEC,FIREPRO,MANUAL,NÃO,"</formula1>
    </dataValidation>
    <dataValidation type="list" allowBlank="1" showInputMessage="1" showErrorMessage="1" sqref="B3:B6" xr:uid="{3F83A436-3AB0-4D94-B138-85D2D2667BF8}">
      <formula1>"Tubo Axial, Caixa de Ventilação, Torre Filtro Cartucho,"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19</vt:i4>
      </vt:variant>
      <vt:variant>
        <vt:lpstr>Named Ranges</vt:lpstr>
      </vt:variant>
      <vt:variant>
        <vt:i4>2</vt:i4>
      </vt:variant>
    </vt:vector>
  </HeadingPairs>
  <TitlesOfParts>
    <vt:vector size="21" baseType="lpstr">
      <vt:lpstr>CARGA ESTIMADA 1</vt:lpstr>
      <vt:lpstr>FD</vt:lpstr>
      <vt:lpstr>FD EQUIP 1</vt:lpstr>
      <vt:lpstr>REDE DE DUTOS</vt:lpstr>
      <vt:lpstr>PC</vt:lpstr>
      <vt:lpstr>CADASTRO EQUIPAMENTOS</vt:lpstr>
      <vt:lpstr>INDUSTRIAL</vt:lpstr>
      <vt:lpstr>CARGAS ELÉTRICAS</vt:lpstr>
      <vt:lpstr>AUX5-CUSTOS</vt:lpstr>
      <vt:lpstr>LM</vt:lpstr>
      <vt:lpstr>AUX-CARGA ESTIMADA</vt:lpstr>
      <vt:lpstr>AUX-Interligação Frigorígena</vt:lpstr>
      <vt:lpstr>AUX1 - Pressurização OK</vt:lpstr>
      <vt:lpstr>AUX2 - Termodinâmica</vt:lpstr>
      <vt:lpstr>AUX3 - Prop. dos Materiais</vt:lpstr>
      <vt:lpstr>AUX4 - Dados Ambientais</vt:lpstr>
      <vt:lpstr>AUX4 - Dados Ambientais (2)</vt:lpstr>
      <vt:lpstr>BATERIAS</vt:lpstr>
      <vt:lpstr>VENTILADO</vt:lpstr>
      <vt:lpstr>'CARGA ESTIMADA 1'!Print_Area</vt:lpstr>
      <vt:lpstr>PC!Print_Area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Matheus Pacheco</dc:creator>
  <cp:lastModifiedBy>vitor rios</cp:lastModifiedBy>
  <cp:lastPrinted>2024-02-07T07:22:23Z</cp:lastPrinted>
  <dcterms:created xsi:type="dcterms:W3CDTF">2017-11-28T04:34:45Z</dcterms:created>
  <dcterms:modified xsi:type="dcterms:W3CDTF">2025-10-24T00:29:11Z</dcterms:modified>
</cp:coreProperties>
</file>