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8.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9.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1.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3.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harts/chart7.xml" ContentType="application/vnd.openxmlformats-officedocument.drawingml.chart+xml"/>
  <Override PartName="/xl/drawings/drawing2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harts/chart8.xml" ContentType="application/vnd.openxmlformats-officedocument.drawingml.chart+xml"/>
  <Override PartName="/xl/drawings/drawing2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9.xml" ContentType="application/vnd.openxmlformats-officedocument.drawingml.chart+xml"/>
  <Override PartName="/xl/drawings/drawing2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harts/chart10.xml" ContentType="application/vnd.openxmlformats-officedocument.drawingml.chart+xml"/>
  <Override PartName="/xl/drawings/drawing27.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harts/chart11.xml" ContentType="application/vnd.openxmlformats-officedocument.drawingml.chart+xml"/>
  <Override PartName="/xl/drawings/drawing2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harts/chart1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66" codeName="{F2B83AC3-3A92-4FF1-8D57-CA5CB3A19BB1}"/>
  <workbookPr codeName="ThisWorkbook"/>
  <mc:AlternateContent xmlns:mc="http://schemas.openxmlformats.org/markup-compatibility/2006">
    <mc:Choice Requires="x15">
      <x15ac:absPath xmlns:x15ac="http://schemas.microsoft.com/office/spreadsheetml/2010/11/ac" url="D:\Dropbox\Vivacity\Projects\00002_RSSBT1010Extension\Work\WorkProducts\"/>
    </mc:Choice>
  </mc:AlternateContent>
  <bookViews>
    <workbookView xWindow="0" yWindow="0" windowWidth="15495" windowHeight="13305" activeTab="3"/>
  </bookViews>
  <sheets>
    <sheet name="Version Control" sheetId="18" r:id="rId1"/>
    <sheet name="Report" sheetId="32" r:id="rId2"/>
    <sheet name="Report (backup)" sheetId="30" state="hidden" r:id="rId3"/>
    <sheet name="Maturity Level Summary" sheetId="16" r:id="rId4"/>
    <sheet name="Annual WLC by Maturity Level " sheetId="9" r:id="rId5"/>
    <sheet name="Annual (chart)" sheetId="20" r:id="rId6"/>
    <sheet name="Net Cash Flow (chart)" sheetId="29" r:id="rId7"/>
    <sheet name="AMCB" sheetId="31" r:id="rId8"/>
    <sheet name="Sensitivity" sheetId="33" r:id="rId9"/>
    <sheet name="Financial Data" sheetId="22" r:id="rId10"/>
    <sheet name="Asset Info" sheetId="6" r:id="rId11"/>
    <sheet name="Asset Risk" sheetId="4" r:id="rId12"/>
    <sheet name="Asset WLC" sheetId="7" r:id="rId13"/>
    <sheet name="RCM Current" sheetId="8" r:id="rId14"/>
    <sheet name="RCM Future - Costs" sheetId="10" r:id="rId15"/>
    <sheet name="RCM Advancement - Benefits" sheetId="15" r:id="rId16"/>
    <sheet name="RCM Higher Level Analytics" sheetId="19" r:id="rId17"/>
    <sheet name="SD-CF" sheetId="23" r:id="rId18"/>
    <sheet name="HA1-CF" sheetId="24" r:id="rId19"/>
    <sheet name="HA2-CF" sheetId="25" r:id="rId20"/>
    <sheet name="PA-CF" sheetId="26" r:id="rId21"/>
    <sheet name="AG-CF" sheetId="17" r:id="rId22"/>
    <sheet name="Total-CF" sheetId="28" r:id="rId23"/>
    <sheet name="Current-CF" sheetId="27" state="hidden" r:id="rId24"/>
  </sheets>
  <functionGroups builtInGroupCount="18"/>
  <externalReferences>
    <externalReference r:id="rId25"/>
  </externalReferences>
  <definedNames>
    <definedName name="_xlnm.Print_Area" localSheetId="3">'Maturity Level Summary'!$B$1:$U$63</definedName>
    <definedName name="_xlnm.Print_Area" localSheetId="1">Report!$B$5:$S$120</definedName>
    <definedName name="_xlnm.Print_Area" localSheetId="2">'Report (backup)'!$B$5:$Y$83</definedName>
    <definedName name="Scenario_DeltaList" localSheetId="23">OFFSET(User_CrossRefScens,MATCH([1]Scenarios!$P1,User_CrossRefScenGroupsDupAll,0)-1,0,COUNTIF(User_CrossRefScenGroupsDupAll,[1]Scenarios!$P1))</definedName>
    <definedName name="Scenario_DeltaList" localSheetId="9">OFFSET(User_CrossRefScens,MATCH([1]Scenarios!$P1,User_CrossRefScenGroupsDupAll,0)-1,0,COUNTIF(User_CrossRefScenGroupsDupAll,[1]Scenarios!$P1))</definedName>
    <definedName name="Scenario_DeltaList" localSheetId="18">OFFSET(User_CrossRefScens,MATCH([1]Scenarios!$P1,User_CrossRefScenGroupsDupAll,0)-1,0,COUNTIF(User_CrossRefScenGroupsDupAll,[1]Scenarios!$P1))</definedName>
    <definedName name="Scenario_DeltaList" localSheetId="19">OFFSET(User_CrossRefScens,MATCH([1]Scenarios!$P1,User_CrossRefScenGroupsDupAll,0)-1,0,COUNTIF(User_CrossRefScenGroupsDupAll,[1]Scenarios!$P1))</definedName>
    <definedName name="Scenario_DeltaList" localSheetId="20">OFFSET(User_CrossRefScens,MATCH([1]Scenarios!$P1,User_CrossRefScenGroupsDupAll,0)-1,0,COUNTIF(User_CrossRefScenGroupsDupAll,[1]Scenarios!$P1))</definedName>
    <definedName name="Scenario_DeltaList" localSheetId="16">OFFSET(User_CrossRefScens,MATCH([1]Scenarios!$P1,User_CrossRefScenGroupsDupAll,0)-1,0,COUNTIF(User_CrossRefScenGroupsDupAll,[1]Scenarios!$P1))</definedName>
    <definedName name="Scenario_DeltaList" localSheetId="17">OFFSET(User_CrossRefScens,MATCH([1]Scenarios!$P1,User_CrossRefScenGroupsDupAll,0)-1,0,COUNTIF(User_CrossRefScenGroupsDupAll,[1]Scenarios!$P1))</definedName>
    <definedName name="Scenario_DeltaList" localSheetId="22">OFFSET(User_CrossRefScens,MATCH([1]Scenarios!$P1,User_CrossRefScenGroupsDupAll,0)-1,0,COUNTIF(User_CrossRefScenGroupsDupAll,[1]Scenarios!$P1))</definedName>
    <definedName name="Sens_Current_RCM_WLC">'Maturity Level Summary'!$F$9</definedName>
    <definedName name="Sens_Current_Risk">'Maturity Level Summary'!$F$7</definedName>
    <definedName name="Sens_Current_WLC">'Maturity Level Summary'!$F$8</definedName>
    <definedName name="Sens_MLevel_Investment">'Maturity Level Summary'!$K$10</definedName>
    <definedName name="Sens_MLevel_RCM_WLC">'Maturity Level Summary'!$K$9</definedName>
    <definedName name="Sens_MLevel_Risk">'Maturity Level Summary'!$K$7</definedName>
    <definedName name="Sens_MLevel_WLC">'Maturity Level Summary'!$K$8</definedName>
    <definedName name="User_AvailScenGroupList" localSheetId="23">OFFSET(User_AvailScenGroup,0,0,User_AvailScenGroupCount)</definedName>
    <definedName name="User_AvailScenGroupList" localSheetId="9">OFFSET(User_AvailScenGroup,0,0,User_AvailScenGroupCount)</definedName>
    <definedName name="User_AvailScenGroupList" localSheetId="18">OFFSET(User_AvailScenGroup,0,0,User_AvailScenGroupCount)</definedName>
    <definedName name="User_AvailScenGroupList" localSheetId="19">OFFSET(User_AvailScenGroup,0,0,User_AvailScenGroupCount)</definedName>
    <definedName name="User_AvailScenGroupList" localSheetId="20">OFFSET(User_AvailScenGroup,0,0,User_AvailScenGroupCount)</definedName>
    <definedName name="User_AvailScenGroupList" localSheetId="16">OFFSET(User_AvailScenGroup,0,0,User_AvailScenGroupCount)</definedName>
    <definedName name="User_AvailScenGroupList" localSheetId="17">OFFSET(User_AvailScenGroup,0,0,User_AvailScenGroupCount)</definedName>
    <definedName name="User_AvailScenGroupList" localSheetId="22">OFFSET(User_AvailScenGroup,0,0,User_AvailScenGroupCount)</definedName>
    <definedName name="User_AvailScenList" localSheetId="23">OFFSET(User_AvailScen,0,0,User_AvailScenCount)</definedName>
    <definedName name="User_AvailScenList" localSheetId="9">OFFSET(User_AvailScen,0,0,User_AvailScenCount)</definedName>
    <definedName name="User_AvailScenList" localSheetId="18">OFFSET(User_AvailScen,0,0,User_AvailScenCount)</definedName>
    <definedName name="User_AvailScenList" localSheetId="19">OFFSET(User_AvailScen,0,0,User_AvailScenCount)</definedName>
    <definedName name="User_AvailScenList" localSheetId="20">OFFSET(User_AvailScen,0,0,User_AvailScenCount)</definedName>
    <definedName name="User_AvailScenList" localSheetId="16">OFFSET(User_AvailScen,0,0,User_AvailScenCount)</definedName>
    <definedName name="User_AvailScenList" localSheetId="17">OFFSET(User_AvailScen,0,0,User_AvailScenCount)</definedName>
    <definedName name="User_AvailScenList" localSheetId="22">OFFSET(User_AvailScen,0,0,User_AvailScenCount)</definedName>
    <definedName name="User_CrossRefBehavList" localSheetId="23">OFFSET(User_CrossRefBehav,0,0,User_CrossRefBehavCount)</definedName>
    <definedName name="User_CrossRefBehavList" localSheetId="9">OFFSET(User_CrossRefBehav,0,0,User_CrossRefBehavCount)</definedName>
    <definedName name="User_CrossRefBehavList" localSheetId="18">OFFSET(User_CrossRefBehav,0,0,User_CrossRefBehavCount)</definedName>
    <definedName name="User_CrossRefBehavList" localSheetId="19">OFFSET(User_CrossRefBehav,0,0,User_CrossRefBehavCount)</definedName>
    <definedName name="User_CrossRefBehavList" localSheetId="20">OFFSET(User_CrossRefBehav,0,0,User_CrossRefBehavCount)</definedName>
    <definedName name="User_CrossRefBehavList" localSheetId="16">OFFSET(User_CrossRefBehav,0,0,User_CrossRefBehavCount)</definedName>
    <definedName name="User_CrossRefBehavList" localSheetId="17">OFFSET(User_CrossRefBehav,0,0,User_CrossRefBehavCount)</definedName>
    <definedName name="User_CrossRefBehavList" localSheetId="22">OFFSET(User_CrossRefBehav,0,0,User_CrossRefBehavCount)</definedName>
    <definedName name="User_CrossRefCondList" localSheetId="23">OFFSET(User_CrossRefCond,0,0,User_CrossRefCondCount)</definedName>
    <definedName name="User_CrossRefCondList" localSheetId="9">OFFSET(User_CrossRefCond,0,0,User_CrossRefCondCount)</definedName>
    <definedName name="User_CrossRefCondList" localSheetId="18">OFFSET(User_CrossRefCond,0,0,User_CrossRefCondCount)</definedName>
    <definedName name="User_CrossRefCondList" localSheetId="19">OFFSET(User_CrossRefCond,0,0,User_CrossRefCondCount)</definedName>
    <definedName name="User_CrossRefCondList" localSheetId="20">OFFSET(User_CrossRefCond,0,0,User_CrossRefCondCount)</definedName>
    <definedName name="User_CrossRefCondList" localSheetId="16">OFFSET(User_CrossRefCond,0,0,User_CrossRefCondCount)</definedName>
    <definedName name="User_CrossRefCondList" localSheetId="17">OFFSET(User_CrossRefCond,0,0,User_CrossRefCondCount)</definedName>
    <definedName name="User_CrossRefCondList" localSheetId="22">OFFSET(User_CrossRefCond,0,0,User_CrossRefCondCount)</definedName>
    <definedName name="User_CrossRefFailList" localSheetId="23">OFFSET(User_CrossRefFail,0,0,User_CrossRefFailCount)</definedName>
    <definedName name="User_CrossRefFailList" localSheetId="9">OFFSET(User_CrossRefFail,0,0,User_CrossRefFailCount)</definedName>
    <definedName name="User_CrossRefFailList" localSheetId="18">OFFSET(User_CrossRefFail,0,0,User_CrossRefFailCount)</definedName>
    <definedName name="User_CrossRefFailList" localSheetId="19">OFFSET(User_CrossRefFail,0,0,User_CrossRefFailCount)</definedName>
    <definedName name="User_CrossRefFailList" localSheetId="20">OFFSET(User_CrossRefFail,0,0,User_CrossRefFailCount)</definedName>
    <definedName name="User_CrossRefFailList" localSheetId="16">OFFSET(User_CrossRefFail,0,0,User_CrossRefFailCount)</definedName>
    <definedName name="User_CrossRefFailList" localSheetId="17">OFFSET(User_CrossRefFail,0,0,User_CrossRefFailCount)</definedName>
    <definedName name="User_CrossRefFailList" localSheetId="22">OFFSET(User_CrossRefFail,0,0,User_CrossRefFailCount)</definedName>
    <definedName name="User_CrossRefHierList" localSheetId="23">OFFSET(User_CrossRefHier,0,0,User_CrossRefHierCount)</definedName>
    <definedName name="User_CrossRefHierList" localSheetId="9">OFFSET(User_CrossRefHier,0,0,User_CrossRefHierCount)</definedName>
    <definedName name="User_CrossRefHierList" localSheetId="18">OFFSET(User_CrossRefHier,0,0,User_CrossRefHierCount)</definedName>
    <definedName name="User_CrossRefHierList" localSheetId="19">OFFSET(User_CrossRefHier,0,0,User_CrossRefHierCount)</definedName>
    <definedName name="User_CrossRefHierList" localSheetId="20">OFFSET(User_CrossRefHier,0,0,User_CrossRefHierCount)</definedName>
    <definedName name="User_CrossRefHierList" localSheetId="16">OFFSET(User_CrossRefHier,0,0,User_CrossRefHierCount)</definedName>
    <definedName name="User_CrossRefHierList" localSheetId="17">OFFSET(User_CrossRefHier,0,0,User_CrossRefHierCount)</definedName>
    <definedName name="User_CrossRefHierList" localSheetId="22">OFFSET(User_CrossRefHier,0,0,User_CrossRefHierCount)</definedName>
    <definedName name="User_CrossRefIntervList" localSheetId="23">OFFSET(User_CrossRefInterv,0,0,User_CrossRefIntervCount)</definedName>
    <definedName name="User_CrossRefIntervList" localSheetId="9">OFFSET(User_CrossRefInterv,0,0,User_CrossRefIntervCount)</definedName>
    <definedName name="User_CrossRefIntervList" localSheetId="18">OFFSET(User_CrossRefInterv,0,0,User_CrossRefIntervCount)</definedName>
    <definedName name="User_CrossRefIntervList" localSheetId="19">OFFSET(User_CrossRefInterv,0,0,User_CrossRefIntervCount)</definedName>
    <definedName name="User_CrossRefIntervList" localSheetId="20">OFFSET(User_CrossRefInterv,0,0,User_CrossRefIntervCount)</definedName>
    <definedName name="User_CrossRefIntervList" localSheetId="16">OFFSET(User_CrossRefInterv,0,0,User_CrossRefIntervCount)</definedName>
    <definedName name="User_CrossRefIntervList" localSheetId="17">OFFSET(User_CrossRefInterv,0,0,User_CrossRefIntervCount)</definedName>
    <definedName name="User_CrossRefIntervList" localSheetId="22">OFFSET(User_CrossRefInterv,0,0,User_CrossRefIntervCount)</definedName>
    <definedName name="User_CrossRefObsList" localSheetId="23">OFFSET(User_CrossRefObs,0,0,User_CrossRefObsCount)</definedName>
    <definedName name="User_CrossRefObsList" localSheetId="9">OFFSET(User_CrossRefObs,0,0,User_CrossRefObsCount)</definedName>
    <definedName name="User_CrossRefObsList" localSheetId="18">OFFSET(User_CrossRefObs,0,0,User_CrossRefObsCount)</definedName>
    <definedName name="User_CrossRefObsList" localSheetId="19">OFFSET(User_CrossRefObs,0,0,User_CrossRefObsCount)</definedName>
    <definedName name="User_CrossRefObsList" localSheetId="20">OFFSET(User_CrossRefObs,0,0,User_CrossRefObsCount)</definedName>
    <definedName name="User_CrossRefObsList" localSheetId="16">OFFSET(User_CrossRefObs,0,0,User_CrossRefObsCount)</definedName>
    <definedName name="User_CrossRefObsList" localSheetId="17">OFFSET(User_CrossRefObs,0,0,User_CrossRefObsCount)</definedName>
    <definedName name="User_CrossRefObsList" localSheetId="22">OFFSET(User_CrossRefObs,0,0,User_CrossRefObsCount)</definedName>
    <definedName name="User_CrossRefSafeList" localSheetId="23">OFFSET(User_CrossRefSafe,0,0,User_CrossRefSafeCount)</definedName>
    <definedName name="User_CrossRefSafeList" localSheetId="9">OFFSET(User_CrossRefSafe,0,0,User_CrossRefSafeCount)</definedName>
    <definedName name="User_CrossRefSafeList" localSheetId="18">OFFSET(User_CrossRefSafe,0,0,User_CrossRefSafeCount)</definedName>
    <definedName name="User_CrossRefSafeList" localSheetId="19">OFFSET(User_CrossRefSafe,0,0,User_CrossRefSafeCount)</definedName>
    <definedName name="User_CrossRefSafeList" localSheetId="20">OFFSET(User_CrossRefSafe,0,0,User_CrossRefSafeCount)</definedName>
    <definedName name="User_CrossRefSafeList" localSheetId="16">OFFSET(User_CrossRefSafe,0,0,User_CrossRefSafeCount)</definedName>
    <definedName name="User_CrossRefSafeList" localSheetId="17">OFFSET(User_CrossRefSafe,0,0,User_CrossRefSafeCount)</definedName>
    <definedName name="User_CrossRefSafeList" localSheetId="22">OFFSET(User_CrossRefSafe,0,0,User_CrossRefSafeCount)</definedName>
    <definedName name="User_CrossRefScenGroupsDupList" localSheetId="23">OFFSET(User_CrossRefScenGroupsDup,0,0,User_CrossRefScenGroupsDupCount)</definedName>
    <definedName name="User_CrossRefScenGroupsDupList" localSheetId="9">OFFSET(User_CrossRefScenGroupsDup,0,0,User_CrossRefScenGroupsDupCount)</definedName>
    <definedName name="User_CrossRefScenGroupsDupList" localSheetId="18">OFFSET(User_CrossRefScenGroupsDup,0,0,User_CrossRefScenGroupsDupCount)</definedName>
    <definedName name="User_CrossRefScenGroupsDupList" localSheetId="19">OFFSET(User_CrossRefScenGroupsDup,0,0,User_CrossRefScenGroupsDupCount)</definedName>
    <definedName name="User_CrossRefScenGroupsDupList" localSheetId="20">OFFSET(User_CrossRefScenGroupsDup,0,0,User_CrossRefScenGroupsDupCount)</definedName>
    <definedName name="User_CrossRefScenGroupsDupList" localSheetId="16">OFFSET(User_CrossRefScenGroupsDup,0,0,User_CrossRefScenGroupsDupCount)</definedName>
    <definedName name="User_CrossRefScenGroupsDupList" localSheetId="17">OFFSET(User_CrossRefScenGroupsDup,0,0,User_CrossRefScenGroupsDupCount)</definedName>
    <definedName name="User_CrossRefScenGroupsDupList" localSheetId="22">OFFSET(User_CrossRefScenGroupsDup,0,0,User_CrossRefScenGroupsDupCount)</definedName>
    <definedName name="User_CrossRefScensList" localSheetId="23">OFFSET(User_CrossRefScens,0,0,User_CrossRefScensCount)</definedName>
    <definedName name="User_CrossRefScensList" localSheetId="9">OFFSET(User_CrossRefScens,0,0,User_CrossRefScensCount)</definedName>
    <definedName name="User_CrossRefScensList" localSheetId="18">OFFSET(User_CrossRefScens,0,0,User_CrossRefScensCount)</definedName>
    <definedName name="User_CrossRefScensList" localSheetId="19">OFFSET(User_CrossRefScens,0,0,User_CrossRefScensCount)</definedName>
    <definedName name="User_CrossRefScensList" localSheetId="20">OFFSET(User_CrossRefScens,0,0,User_CrossRefScensCount)</definedName>
    <definedName name="User_CrossRefScensList" localSheetId="16">OFFSET(User_CrossRefScens,0,0,User_CrossRefScensCount)</definedName>
    <definedName name="User_CrossRefScensList" localSheetId="17">OFFSET(User_CrossRefScens,0,0,User_CrossRefScensCount)</definedName>
    <definedName name="User_CrossRefScensList" localSheetId="22">OFFSET(User_CrossRefScens,0,0,User_CrossRefScensCount)</definedName>
    <definedName name="User_CrossRefServList" localSheetId="23">OFFSET(User_CrossRefServ,0,0,User_CrossRefServCount)</definedName>
    <definedName name="User_CrossRefServList" localSheetId="9">OFFSET(User_CrossRefServ,0,0,User_CrossRefServCount)</definedName>
    <definedName name="User_CrossRefServList" localSheetId="18">OFFSET(User_CrossRefServ,0,0,User_CrossRefServCount)</definedName>
    <definedName name="User_CrossRefServList" localSheetId="19">OFFSET(User_CrossRefServ,0,0,User_CrossRefServCount)</definedName>
    <definedName name="User_CrossRefServList" localSheetId="20">OFFSET(User_CrossRefServ,0,0,User_CrossRefServCount)</definedName>
    <definedName name="User_CrossRefServList" localSheetId="16">OFFSET(User_CrossRefServ,0,0,User_CrossRefServCount)</definedName>
    <definedName name="User_CrossRefServList" localSheetId="17">OFFSET(User_CrossRefServ,0,0,User_CrossRefServCount)</definedName>
    <definedName name="User_CrossRefServList" localSheetId="22">OFFSET(User_CrossRefServ,0,0,User_CrossRefServCount)</definedName>
    <definedName name="User_CrossRefUnCurveList" localSheetId="23">OFFSET(User_CrossRefUnCurve,0,0,User_CrossRefUnCurveCount)</definedName>
    <definedName name="User_CrossRefUnCurveList" localSheetId="9">OFFSET(User_CrossRefUnCurve,0,0,User_CrossRefUnCurveCount)</definedName>
    <definedName name="User_CrossRefUnCurveList" localSheetId="18">OFFSET(User_CrossRefUnCurve,0,0,User_CrossRefUnCurveCount)</definedName>
    <definedName name="User_CrossRefUnCurveList" localSheetId="19">OFFSET(User_CrossRefUnCurve,0,0,User_CrossRefUnCurveCount)</definedName>
    <definedName name="User_CrossRefUnCurveList" localSheetId="20">OFFSET(User_CrossRefUnCurve,0,0,User_CrossRefUnCurveCount)</definedName>
    <definedName name="User_CrossRefUnCurveList" localSheetId="16">OFFSET(User_CrossRefUnCurve,0,0,User_CrossRefUnCurveCount)</definedName>
    <definedName name="User_CrossRefUnCurveList" localSheetId="17">OFFSET(User_CrossRefUnCurve,0,0,User_CrossRefUnCurveCount)</definedName>
    <definedName name="User_CrossRefUnCurveList" localSheetId="22">OFFSET(User_CrossRefUnCurve,0,0,User_CrossRefUnCurveCount)</definedName>
    <definedName name="User_CrossRefUnDistList" localSheetId="23">OFFSET(User_CrossRefUnDist,0,0,User_CrossRefUnDistCount)</definedName>
    <definedName name="User_CrossRefUnDistList" localSheetId="9">OFFSET(User_CrossRefUnDist,0,0,User_CrossRefUnDistCount)</definedName>
    <definedName name="User_CrossRefUnDistList" localSheetId="18">OFFSET(User_CrossRefUnDist,0,0,User_CrossRefUnDistCount)</definedName>
    <definedName name="User_CrossRefUnDistList" localSheetId="19">OFFSET(User_CrossRefUnDist,0,0,User_CrossRefUnDistCount)</definedName>
    <definedName name="User_CrossRefUnDistList" localSheetId="20">OFFSET(User_CrossRefUnDist,0,0,User_CrossRefUnDistCount)</definedName>
    <definedName name="User_CrossRefUnDistList" localSheetId="16">OFFSET(User_CrossRefUnDist,0,0,User_CrossRefUnDistCount)</definedName>
    <definedName name="User_CrossRefUnDistList" localSheetId="17">OFFSET(User_CrossRefUnDist,0,0,User_CrossRefUnDistCount)</definedName>
    <definedName name="User_CrossRefUnDistList" localSheetId="22">OFFSET(User_CrossRefUnDist,0,0,User_CrossRefUnDistCount)</definedName>
    <definedName name="User_CrossRefUnList" localSheetId="23">OFFSET(User_CrossRefUn,0,0,User_CrossRefUnCount)</definedName>
    <definedName name="User_CrossRefUnList" localSheetId="9">OFFSET(User_CrossRefUn,0,0,User_CrossRefUnCount)</definedName>
    <definedName name="User_CrossRefUnList" localSheetId="18">OFFSET(User_CrossRefUn,0,0,User_CrossRefUnCount)</definedName>
    <definedName name="User_CrossRefUnList" localSheetId="19">OFFSET(User_CrossRefUn,0,0,User_CrossRefUnCount)</definedName>
    <definedName name="User_CrossRefUnList" localSheetId="20">OFFSET(User_CrossRefUn,0,0,User_CrossRefUnCount)</definedName>
    <definedName name="User_CrossRefUnList" localSheetId="16">OFFSET(User_CrossRefUn,0,0,User_CrossRefUnCount)</definedName>
    <definedName name="User_CrossRefUnList" localSheetId="17">OFFSET(User_CrossRefUn,0,0,User_CrossRefUnCount)</definedName>
    <definedName name="User_CrossRefUnList" localSheetId="22">OFFSET(User_CrossRefUn,0,0,User_CrossRefUnCount)</definedName>
    <definedName name="User_SelectedScenGroupName" localSheetId="23">OFFSET(User_AvailScenGroup,User_LastScenGroupIdx-1,0)</definedName>
    <definedName name="User_SelectedScenGroupName" localSheetId="9">OFFSET(User_AvailScenGroup,User_LastScenGroupIdx-1,0)</definedName>
    <definedName name="User_SelectedScenGroupName" localSheetId="18">OFFSET(User_AvailScenGroup,User_LastScenGroupIdx-1,0)</definedName>
    <definedName name="User_SelectedScenGroupName" localSheetId="19">OFFSET(User_AvailScenGroup,User_LastScenGroupIdx-1,0)</definedName>
    <definedName name="User_SelectedScenGroupName" localSheetId="20">OFFSET(User_AvailScenGroup,User_LastScenGroupIdx-1,0)</definedName>
    <definedName name="User_SelectedScenGroupName" localSheetId="16">OFFSET(User_AvailScenGroup,User_LastScenGroupIdx-1,0)</definedName>
    <definedName name="User_SelectedScenGroupName" localSheetId="17">OFFSET(User_AvailScenGroup,User_LastScenGroupIdx-1,0)</definedName>
    <definedName name="User_SelectedScenGroupName" localSheetId="22">OFFSET(User_AvailScenGroup,User_LastScenGroupIdx-1,0)</definedName>
    <definedName name="User_SelectedScenName" localSheetId="23">OFFSET(User_AvailScen,User_LastScenIdx-1,0)</definedName>
    <definedName name="User_SelectedScenName" localSheetId="9">OFFSET(User_AvailScen,User_LastScenIdx-1,0)</definedName>
    <definedName name="User_SelectedScenName" localSheetId="18">OFFSET(User_AvailScen,User_LastScenIdx-1,0)</definedName>
    <definedName name="User_SelectedScenName" localSheetId="19">OFFSET(User_AvailScen,User_LastScenIdx-1,0)</definedName>
    <definedName name="User_SelectedScenName" localSheetId="20">OFFSET(User_AvailScen,User_LastScenIdx-1,0)</definedName>
    <definedName name="User_SelectedScenName" localSheetId="16">OFFSET(User_AvailScen,User_LastScenIdx-1,0)</definedName>
    <definedName name="User_SelectedScenName" localSheetId="17">OFFSET(User_AvailScen,User_LastScenIdx-1,0)</definedName>
    <definedName name="User_SelectedScenName" localSheetId="22">OFFSET(User_AvailScen,User_LastScenIdx-1,0)</definedName>
    <definedName name="VPF">'Financial Data'!$C$13</definedName>
  </definedNames>
  <calcPr calcId="171027"/>
</workbook>
</file>

<file path=xl/calcChain.xml><?xml version="1.0" encoding="utf-8"?>
<calcChain xmlns="http://schemas.openxmlformats.org/spreadsheetml/2006/main">
  <c r="R14" i="10" l="1"/>
  <c r="K14" i="10"/>
  <c r="D14" i="10"/>
  <c r="C17" i="18" l="1"/>
  <c r="C16" i="18"/>
  <c r="I7" i="16" l="1"/>
  <c r="D7" i="16"/>
  <c r="I82" i="32"/>
  <c r="E10" i="4" l="1"/>
  <c r="F10" i="4"/>
  <c r="C10" i="4"/>
  <c r="D10" i="4"/>
  <c r="C10" i="7"/>
  <c r="D10" i="7"/>
  <c r="E10" i="7"/>
  <c r="F10" i="7"/>
  <c r="B27" i="8"/>
  <c r="B28" i="8"/>
  <c r="B29" i="8"/>
  <c r="B30" i="8"/>
  <c r="B36" i="8"/>
  <c r="B37" i="8"/>
  <c r="B38" i="8"/>
  <c r="B39" i="8"/>
  <c r="N77" i="32"/>
  <c r="M77" i="32"/>
  <c r="L77" i="32"/>
  <c r="K77" i="32"/>
  <c r="N73" i="32"/>
  <c r="M73" i="32"/>
  <c r="L73" i="32"/>
  <c r="K73" i="32"/>
  <c r="N69" i="32"/>
  <c r="M69" i="32"/>
  <c r="L69" i="32"/>
  <c r="K69" i="32"/>
  <c r="N65" i="32"/>
  <c r="M65" i="32"/>
  <c r="L65" i="32"/>
  <c r="K65" i="32"/>
  <c r="N61" i="32"/>
  <c r="M61" i="32"/>
  <c r="L61" i="32"/>
  <c r="K61" i="32"/>
  <c r="J77" i="32" l="1"/>
  <c r="J73" i="32"/>
  <c r="J69" i="32"/>
  <c r="J65" i="32"/>
  <c r="J61" i="32"/>
  <c r="N84" i="32" l="1"/>
  <c r="M84" i="32"/>
  <c r="L84" i="32"/>
  <c r="K84" i="32"/>
  <c r="J84" i="32"/>
  <c r="N57" i="32"/>
  <c r="M57" i="32"/>
  <c r="L57" i="32"/>
  <c r="K57" i="32"/>
  <c r="J57" i="32"/>
  <c r="C67" i="30"/>
  <c r="C68" i="30"/>
  <c r="C69" i="30"/>
  <c r="C70" i="30"/>
  <c r="C71" i="30"/>
  <c r="B56" i="8" l="1"/>
  <c r="B55" i="8"/>
  <c r="B54" i="8"/>
  <c r="B53" i="8"/>
  <c r="B46" i="8"/>
  <c r="B45" i="8"/>
  <c r="B44" i="8"/>
  <c r="B43" i="8"/>
  <c r="D81" i="30" l="1"/>
  <c r="D80" i="30"/>
  <c r="D79" i="30"/>
  <c r="D78" i="30"/>
  <c r="D77" i="30"/>
  <c r="A58" i="17" l="1"/>
  <c r="A57" i="17"/>
  <c r="A56" i="17"/>
  <c r="A55" i="17"/>
  <c r="A58" i="26"/>
  <c r="A57" i="26"/>
  <c r="A56" i="26"/>
  <c r="A55" i="26"/>
  <c r="A58" i="25"/>
  <c r="A57" i="25"/>
  <c r="A56" i="25"/>
  <c r="A55" i="25"/>
  <c r="A58" i="24"/>
  <c r="A57" i="24"/>
  <c r="A56" i="24"/>
  <c r="A55" i="24"/>
  <c r="A58" i="23"/>
  <c r="A57" i="23"/>
  <c r="A56" i="23"/>
  <c r="A55" i="23"/>
  <c r="B81" i="9" l="1"/>
  <c r="B80" i="9"/>
  <c r="B79" i="9"/>
  <c r="B78" i="9"/>
  <c r="B38" i="9"/>
  <c r="B37" i="9"/>
  <c r="B36" i="9"/>
  <c r="B35" i="9"/>
  <c r="F62" i="17"/>
  <c r="E62" i="17"/>
  <c r="D62" i="17"/>
  <c r="C62" i="17"/>
  <c r="A50" i="17"/>
  <c r="A49" i="17"/>
  <c r="A48" i="17"/>
  <c r="A47" i="17"/>
  <c r="A44" i="17"/>
  <c r="A43" i="17"/>
  <c r="A42" i="17"/>
  <c r="A41" i="17"/>
  <c r="A37" i="17"/>
  <c r="A36" i="17"/>
  <c r="A35" i="17"/>
  <c r="A34" i="17"/>
  <c r="F62" i="26"/>
  <c r="E62" i="26"/>
  <c r="D62" i="26"/>
  <c r="C62" i="26"/>
  <c r="A50" i="26"/>
  <c r="A49" i="26"/>
  <c r="A48" i="26"/>
  <c r="A47" i="26"/>
  <c r="A44" i="26"/>
  <c r="A43" i="26"/>
  <c r="A42" i="26"/>
  <c r="A41" i="26"/>
  <c r="A37" i="26"/>
  <c r="A36" i="26"/>
  <c r="A35" i="26"/>
  <c r="A34" i="26"/>
  <c r="F62" i="25"/>
  <c r="E62" i="25"/>
  <c r="D62" i="25"/>
  <c r="C62" i="25"/>
  <c r="A50" i="25"/>
  <c r="A49" i="25"/>
  <c r="A48" i="25"/>
  <c r="A47" i="25"/>
  <c r="A44" i="25"/>
  <c r="A43" i="25"/>
  <c r="A42" i="25"/>
  <c r="A41" i="25"/>
  <c r="A37" i="25"/>
  <c r="A36" i="25"/>
  <c r="A35" i="25"/>
  <c r="A34" i="25"/>
  <c r="F62" i="24"/>
  <c r="E62" i="24"/>
  <c r="D62" i="24"/>
  <c r="C62" i="24"/>
  <c r="A50" i="24"/>
  <c r="A49" i="24"/>
  <c r="A48" i="24"/>
  <c r="A47" i="24"/>
  <c r="A44" i="24"/>
  <c r="A43" i="24"/>
  <c r="A42" i="24"/>
  <c r="A41" i="24"/>
  <c r="A37" i="24"/>
  <c r="A36" i="24"/>
  <c r="A35" i="24"/>
  <c r="A34" i="24"/>
  <c r="A50" i="23"/>
  <c r="A49" i="23"/>
  <c r="A48" i="23"/>
  <c r="A47" i="23"/>
  <c r="A44" i="23"/>
  <c r="A43" i="23"/>
  <c r="A42" i="23"/>
  <c r="A41" i="23"/>
  <c r="A37" i="23"/>
  <c r="A36" i="23"/>
  <c r="A35" i="23"/>
  <c r="A34" i="23"/>
  <c r="F62" i="23"/>
  <c r="E62" i="23"/>
  <c r="D62" i="23"/>
  <c r="C62" i="23"/>
  <c r="A31" i="17"/>
  <c r="A30" i="17"/>
  <c r="A29" i="17"/>
  <c r="A28" i="17"/>
  <c r="A26" i="17"/>
  <c r="A25" i="17"/>
  <c r="A24" i="17"/>
  <c r="A23" i="17"/>
  <c r="A31" i="26"/>
  <c r="A30" i="26"/>
  <c r="A29" i="26"/>
  <c r="A28" i="26"/>
  <c r="A26" i="26"/>
  <c r="A25" i="26"/>
  <c r="A24" i="26"/>
  <c r="A23" i="26"/>
  <c r="A31" i="25"/>
  <c r="A30" i="25"/>
  <c r="A29" i="25"/>
  <c r="A28" i="25"/>
  <c r="A26" i="25"/>
  <c r="A25" i="25"/>
  <c r="A24" i="25"/>
  <c r="A23" i="25"/>
  <c r="A31" i="24"/>
  <c r="A30" i="24"/>
  <c r="A29" i="24"/>
  <c r="A28" i="24"/>
  <c r="A26" i="24"/>
  <c r="A25" i="24"/>
  <c r="A24" i="24"/>
  <c r="A23" i="24"/>
  <c r="A31" i="23"/>
  <c r="A30" i="23"/>
  <c r="A29" i="23"/>
  <c r="A28" i="23"/>
  <c r="A26" i="23"/>
  <c r="A25" i="23"/>
  <c r="A24" i="23"/>
  <c r="A23" i="23"/>
  <c r="AP2" i="16"/>
  <c r="AI2" i="16"/>
  <c r="AB2" i="16"/>
  <c r="U2" i="16"/>
  <c r="N2" i="16"/>
  <c r="A88" i="9"/>
  <c r="A87" i="9"/>
  <c r="A86" i="9"/>
  <c r="A85" i="9"/>
  <c r="A75" i="9"/>
  <c r="A73" i="9"/>
  <c r="A71" i="9"/>
  <c r="A69" i="9"/>
  <c r="A66" i="9"/>
  <c r="A65" i="9"/>
  <c r="A64" i="9"/>
  <c r="A63" i="9"/>
  <c r="A59" i="9"/>
  <c r="A56" i="9"/>
  <c r="A53" i="9"/>
  <c r="A50" i="9"/>
  <c r="A44" i="9"/>
  <c r="A43" i="9"/>
  <c r="A42" i="9"/>
  <c r="A41" i="9"/>
  <c r="P10" i="6"/>
  <c r="Q10" i="6"/>
  <c r="R10" i="6"/>
  <c r="O10" i="6"/>
  <c r="J10" i="6"/>
  <c r="K10" i="6"/>
  <c r="L10" i="6"/>
  <c r="I10" i="6"/>
  <c r="B25" i="9"/>
  <c r="B24" i="9"/>
  <c r="B23" i="9"/>
  <c r="B22" i="9"/>
  <c r="R10" i="4" l="1"/>
  <c r="R10" i="7"/>
  <c r="L10" i="7"/>
  <c r="L10" i="4"/>
  <c r="K10" i="4"/>
  <c r="K10" i="7"/>
  <c r="Q10" i="4"/>
  <c r="Q10" i="7"/>
  <c r="J10" i="7"/>
  <c r="J10" i="4"/>
  <c r="P10" i="7"/>
  <c r="P10" i="4"/>
  <c r="O10" i="4"/>
  <c r="O10" i="7"/>
  <c r="I10" i="4"/>
  <c r="I10" i="7"/>
  <c r="B54" i="15"/>
  <c r="B53" i="15"/>
  <c r="B52" i="15"/>
  <c r="B51" i="15"/>
  <c r="B49" i="15"/>
  <c r="B48" i="15"/>
  <c r="B47" i="15"/>
  <c r="B46" i="15"/>
  <c r="B26" i="19" l="1"/>
  <c r="B25" i="19"/>
  <c r="B24" i="19"/>
  <c r="B23" i="19"/>
  <c r="B37" i="10" l="1"/>
  <c r="B36" i="10"/>
  <c r="B35" i="10"/>
  <c r="B34" i="10"/>
  <c r="A26" i="9"/>
  <c r="A10" i="9"/>
  <c r="A20" i="15" l="1"/>
  <c r="A19" i="15"/>
  <c r="A18" i="15"/>
  <c r="A17" i="15"/>
  <c r="A32" i="9"/>
  <c r="A30" i="9"/>
  <c r="A28" i="9"/>
  <c r="A40" i="15"/>
  <c r="A37" i="15"/>
  <c r="A34" i="15"/>
  <c r="A31" i="15"/>
  <c r="A19" i="9" l="1"/>
  <c r="A16" i="9"/>
  <c r="A13" i="9"/>
  <c r="C14" i="4" l="1"/>
  <c r="C15" i="4" s="1"/>
  <c r="D14" i="4"/>
  <c r="D15" i="4" s="1"/>
  <c r="E14" i="4"/>
  <c r="E15" i="4" s="1"/>
  <c r="F14" i="4"/>
  <c r="F15" i="4" s="1"/>
  <c r="D31" i="15" l="1"/>
  <c r="N10" i="9" s="1"/>
  <c r="F31" i="15"/>
  <c r="P10" i="9" s="1"/>
  <c r="E31" i="15"/>
  <c r="O10" i="9" s="1"/>
  <c r="G31" i="15"/>
  <c r="Q10" i="9" s="1"/>
  <c r="C31" i="15"/>
  <c r="M10" i="9" s="1"/>
  <c r="K10" i="9"/>
  <c r="F37" i="15"/>
  <c r="P16" i="9" s="1"/>
  <c r="D37" i="15"/>
  <c r="N16" i="9" s="1"/>
  <c r="E37" i="15"/>
  <c r="O16" i="9" s="1"/>
  <c r="C37" i="15"/>
  <c r="M16" i="9" s="1"/>
  <c r="G37" i="15"/>
  <c r="Q16" i="9" s="1"/>
  <c r="K16" i="9"/>
  <c r="F34" i="15"/>
  <c r="P13" i="9" s="1"/>
  <c r="D34" i="15"/>
  <c r="N13" i="9" s="1"/>
  <c r="C34" i="15"/>
  <c r="M13" i="9" s="1"/>
  <c r="E34" i="15"/>
  <c r="O13" i="9" s="1"/>
  <c r="G34" i="15"/>
  <c r="Q13" i="9" s="1"/>
  <c r="K13" i="9"/>
  <c r="F40" i="15"/>
  <c r="P19" i="9" s="1"/>
  <c r="C40" i="15"/>
  <c r="M19" i="9" s="1"/>
  <c r="D40" i="15"/>
  <c r="N19" i="9" s="1"/>
  <c r="E40" i="15"/>
  <c r="O19" i="9" s="1"/>
  <c r="G40" i="15"/>
  <c r="Q19" i="9" s="1"/>
  <c r="K19" i="9"/>
  <c r="E9" i="22"/>
  <c r="D8" i="17"/>
  <c r="C23" i="10"/>
  <c r="C14" i="10"/>
  <c r="C21" i="10" s="1"/>
  <c r="D23" i="10"/>
  <c r="D21" i="10"/>
  <c r="E23" i="10"/>
  <c r="E14" i="10"/>
  <c r="E21" i="10" s="1"/>
  <c r="F23" i="10"/>
  <c r="F14" i="10"/>
  <c r="F21" i="10" s="1"/>
  <c r="I10" i="16"/>
  <c r="I23" i="10"/>
  <c r="I14" i="10"/>
  <c r="I21" i="10" s="1"/>
  <c r="J23" i="10"/>
  <c r="J14" i="10"/>
  <c r="J21" i="10" s="1"/>
  <c r="K23" i="10"/>
  <c r="K21" i="10"/>
  <c r="L23" i="10"/>
  <c r="L14" i="10"/>
  <c r="L21" i="10" s="1"/>
  <c r="D8" i="26"/>
  <c r="D9" i="26" s="1"/>
  <c r="D8" i="25"/>
  <c r="D9" i="25" s="1"/>
  <c r="D8" i="24"/>
  <c r="D9" i="24" s="1"/>
  <c r="D8" i="23"/>
  <c r="R14" i="4"/>
  <c r="R15" i="4" s="1"/>
  <c r="Q14" i="4"/>
  <c r="Q15" i="4" s="1"/>
  <c r="P14" i="4"/>
  <c r="P15" i="4" s="1"/>
  <c r="O14" i="4"/>
  <c r="L14" i="4"/>
  <c r="L15" i="4" s="1"/>
  <c r="K14" i="4"/>
  <c r="K15" i="4" s="1"/>
  <c r="J14" i="4"/>
  <c r="J15" i="4" s="1"/>
  <c r="I14" i="4"/>
  <c r="C20" i="4"/>
  <c r="C22" i="4" s="1"/>
  <c r="D20" i="4"/>
  <c r="D26" i="4" s="1"/>
  <c r="E20" i="4"/>
  <c r="E22" i="4" s="1"/>
  <c r="F20" i="4"/>
  <c r="F26" i="4" s="1"/>
  <c r="I20" i="4"/>
  <c r="I26" i="4" s="1"/>
  <c r="J20" i="4"/>
  <c r="J26" i="4" s="1"/>
  <c r="K20" i="4"/>
  <c r="K26" i="4" s="1"/>
  <c r="L20" i="4"/>
  <c r="L26" i="4" s="1"/>
  <c r="O20" i="4"/>
  <c r="O26" i="4" s="1"/>
  <c r="P20" i="4"/>
  <c r="P22" i="4" s="1"/>
  <c r="C32" i="4"/>
  <c r="D32" i="4"/>
  <c r="E32" i="4"/>
  <c r="F32" i="4"/>
  <c r="I32" i="4"/>
  <c r="J32" i="4"/>
  <c r="K32" i="4"/>
  <c r="L32" i="4"/>
  <c r="O32" i="4"/>
  <c r="P32" i="4"/>
  <c r="I8" i="16"/>
  <c r="C24" i="6"/>
  <c r="C40" i="7" s="1"/>
  <c r="C39" i="7"/>
  <c r="C16" i="6"/>
  <c r="C18" i="6" s="1"/>
  <c r="C14" i="7" s="1"/>
  <c r="C15" i="7" s="1"/>
  <c r="C26" i="7"/>
  <c r="I24" i="6"/>
  <c r="I40" i="7" s="1"/>
  <c r="I39" i="7"/>
  <c r="I16" i="6"/>
  <c r="I18" i="6" s="1"/>
  <c r="I14" i="7" s="1"/>
  <c r="I15" i="7" s="1"/>
  <c r="I26" i="7"/>
  <c r="I13" i="7"/>
  <c r="O24" i="6"/>
  <c r="O40" i="7" s="1"/>
  <c r="O39" i="7"/>
  <c r="O26" i="7"/>
  <c r="O13" i="7"/>
  <c r="D24" i="6"/>
  <c r="D40" i="7" s="1"/>
  <c r="D39" i="7"/>
  <c r="D16" i="6"/>
  <c r="D18" i="6" s="1"/>
  <c r="D26" i="7"/>
  <c r="D13" i="7"/>
  <c r="J24" i="6"/>
  <c r="J40" i="7" s="1"/>
  <c r="J39" i="7"/>
  <c r="J16" i="6"/>
  <c r="J18" i="6" s="1"/>
  <c r="J27" i="7" s="1"/>
  <c r="J26" i="7"/>
  <c r="J13" i="7"/>
  <c r="P24" i="6"/>
  <c r="P40" i="7" s="1"/>
  <c r="P39" i="7"/>
  <c r="P16" i="6"/>
  <c r="P18" i="6" s="1"/>
  <c r="P14" i="7" s="1"/>
  <c r="P15" i="7" s="1"/>
  <c r="P26" i="7"/>
  <c r="P13" i="7"/>
  <c r="E24" i="6"/>
  <c r="E40" i="7" s="1"/>
  <c r="E16" i="6"/>
  <c r="E18" i="6" s="1"/>
  <c r="E27" i="7" s="1"/>
  <c r="K24" i="6"/>
  <c r="K40" i="7" s="1"/>
  <c r="K16" i="6"/>
  <c r="K18" i="6" s="1"/>
  <c r="K27" i="7" s="1"/>
  <c r="F24" i="6"/>
  <c r="F40" i="7" s="1"/>
  <c r="F16" i="6"/>
  <c r="F18" i="6" s="1"/>
  <c r="F27" i="7" s="1"/>
  <c r="L24" i="6"/>
  <c r="L40" i="7" s="1"/>
  <c r="L16" i="6"/>
  <c r="L18" i="6" s="1"/>
  <c r="L27" i="7" s="1"/>
  <c r="I9" i="16"/>
  <c r="E31" i="10"/>
  <c r="F31" i="10"/>
  <c r="H18" i="19"/>
  <c r="I52" i="8"/>
  <c r="K31" i="10"/>
  <c r="L31" i="10"/>
  <c r="I34" i="8"/>
  <c r="J34" i="8"/>
  <c r="J35" i="8" s="1"/>
  <c r="O18" i="19"/>
  <c r="O52" i="8"/>
  <c r="Q31" i="10"/>
  <c r="R31" i="10"/>
  <c r="O34" i="8"/>
  <c r="P34" i="8"/>
  <c r="P35" i="8" s="1"/>
  <c r="V18" i="19"/>
  <c r="D8" i="16"/>
  <c r="D9" i="16"/>
  <c r="C23" i="8"/>
  <c r="C24" i="8"/>
  <c r="D24" i="8" s="1"/>
  <c r="E24" i="8" s="1"/>
  <c r="C20" i="8"/>
  <c r="D23" i="8"/>
  <c r="E23" i="8"/>
  <c r="F23" i="8"/>
  <c r="I23" i="8"/>
  <c r="I24" i="8"/>
  <c r="J24" i="8" s="1"/>
  <c r="K24" i="8" s="1"/>
  <c r="I20" i="8"/>
  <c r="J23" i="8"/>
  <c r="J20" i="8"/>
  <c r="K23" i="8"/>
  <c r="L23" i="8"/>
  <c r="I42" i="8"/>
  <c r="J42" i="8"/>
  <c r="M49" i="8"/>
  <c r="M50" i="8"/>
  <c r="M51" i="8"/>
  <c r="H19" i="19"/>
  <c r="H20" i="19"/>
  <c r="H21" i="19"/>
  <c r="O19" i="19"/>
  <c r="O20" i="19"/>
  <c r="O21" i="19"/>
  <c r="V19" i="19"/>
  <c r="V20" i="19"/>
  <c r="V21" i="19"/>
  <c r="Q20" i="4"/>
  <c r="Q26" i="4" s="1"/>
  <c r="R20" i="4"/>
  <c r="R26" i="4" s="1"/>
  <c r="Q32" i="4"/>
  <c r="R32" i="4"/>
  <c r="O23" i="10"/>
  <c r="O14" i="10"/>
  <c r="O21" i="10" s="1"/>
  <c r="P23" i="10"/>
  <c r="P14" i="10"/>
  <c r="P21" i="10" s="1"/>
  <c r="Q23" i="10"/>
  <c r="Q14" i="10"/>
  <c r="Q21" i="10" s="1"/>
  <c r="R23" i="10"/>
  <c r="R21" i="10"/>
  <c r="O16" i="6"/>
  <c r="O18" i="6" s="1"/>
  <c r="Q24" i="6"/>
  <c r="Q40" i="7" s="1"/>
  <c r="Q16" i="6"/>
  <c r="Q18" i="6" s="1"/>
  <c r="Q27" i="7" s="1"/>
  <c r="R24" i="6"/>
  <c r="R40" i="7" s="1"/>
  <c r="R16" i="6"/>
  <c r="R18" i="6" s="1"/>
  <c r="R27" i="7" s="1"/>
  <c r="G18" i="19"/>
  <c r="G19" i="19"/>
  <c r="G20" i="19"/>
  <c r="G21" i="19"/>
  <c r="P52" i="8"/>
  <c r="P30" i="10" s="1"/>
  <c r="P31" i="10" s="1"/>
  <c r="O26" i="10"/>
  <c r="P26" i="10"/>
  <c r="Q26" i="10"/>
  <c r="R26" i="10"/>
  <c r="R13" i="10"/>
  <c r="Q13" i="10"/>
  <c r="P13" i="10"/>
  <c r="O13" i="10"/>
  <c r="J52" i="8"/>
  <c r="J30" i="10" s="1"/>
  <c r="J31" i="10" s="1"/>
  <c r="I26" i="10"/>
  <c r="J26" i="10"/>
  <c r="K26" i="10"/>
  <c r="L26" i="10"/>
  <c r="L13" i="10"/>
  <c r="K13" i="10"/>
  <c r="J13" i="10"/>
  <c r="I13" i="10"/>
  <c r="R52" i="8"/>
  <c r="R30" i="10" s="1"/>
  <c r="Q52" i="8"/>
  <c r="Q30" i="10" s="1"/>
  <c r="R42" i="8"/>
  <c r="Q42" i="8"/>
  <c r="P42" i="8"/>
  <c r="O42" i="8"/>
  <c r="R34" i="8"/>
  <c r="R35" i="8" s="1"/>
  <c r="Q34" i="8"/>
  <c r="Q35" i="8" s="1"/>
  <c r="R20" i="8"/>
  <c r="R23" i="8"/>
  <c r="O24" i="8"/>
  <c r="P24" i="8" s="1"/>
  <c r="Q20" i="8"/>
  <c r="Q23" i="8"/>
  <c r="P20" i="8"/>
  <c r="P23" i="8"/>
  <c r="O20" i="8"/>
  <c r="O23" i="8"/>
  <c r="R17" i="8"/>
  <c r="Q17" i="8"/>
  <c r="P17" i="8"/>
  <c r="O17" i="8"/>
  <c r="L52" i="8"/>
  <c r="L30" i="10" s="1"/>
  <c r="K52" i="8"/>
  <c r="K30" i="10" s="1"/>
  <c r="L42" i="8"/>
  <c r="K42" i="8"/>
  <c r="L34" i="8"/>
  <c r="L35" i="8" s="1"/>
  <c r="K34" i="8"/>
  <c r="K35" i="8" s="1"/>
  <c r="L20" i="8"/>
  <c r="K20" i="8"/>
  <c r="L17" i="8"/>
  <c r="K17" i="8"/>
  <c r="J17" i="8"/>
  <c r="I17" i="8"/>
  <c r="R39" i="7"/>
  <c r="R26" i="7"/>
  <c r="R13" i="7"/>
  <c r="Q39" i="7"/>
  <c r="Q26" i="7"/>
  <c r="Q13" i="7"/>
  <c r="Q14" i="7"/>
  <c r="Q15" i="7" s="1"/>
  <c r="L39" i="7"/>
  <c r="L26" i="7"/>
  <c r="L13" i="7"/>
  <c r="K39" i="7"/>
  <c r="K26" i="7"/>
  <c r="K13" i="7"/>
  <c r="K14" i="7"/>
  <c r="K15" i="7" s="1"/>
  <c r="S49" i="8"/>
  <c r="S50" i="8"/>
  <c r="S51" i="8"/>
  <c r="C52" i="8"/>
  <c r="F39" i="7"/>
  <c r="F26" i="7"/>
  <c r="F13" i="7"/>
  <c r="E39" i="7"/>
  <c r="E26" i="7"/>
  <c r="E13" i="7"/>
  <c r="C13" i="7"/>
  <c r="G49" i="8"/>
  <c r="G50" i="8"/>
  <c r="G51" i="8"/>
  <c r="C42" i="8"/>
  <c r="D42" i="8"/>
  <c r="E42" i="8"/>
  <c r="F42" i="8"/>
  <c r="C34" i="8"/>
  <c r="D34" i="8"/>
  <c r="D35" i="8" s="1"/>
  <c r="E34" i="8"/>
  <c r="E35" i="8" s="1"/>
  <c r="F34" i="8"/>
  <c r="F35" i="8" s="1"/>
  <c r="D20" i="8"/>
  <c r="E20" i="8"/>
  <c r="F20" i="8"/>
  <c r="B8" i="28"/>
  <c r="C8" i="28"/>
  <c r="D8" i="28"/>
  <c r="E8" i="28"/>
  <c r="F8" i="28"/>
  <c r="G8" i="28"/>
  <c r="H8" i="28"/>
  <c r="I8" i="28"/>
  <c r="J8" i="28"/>
  <c r="K8" i="28"/>
  <c r="L8" i="28"/>
  <c r="M8" i="28"/>
  <c r="N8" i="28"/>
  <c r="O8" i="28"/>
  <c r="P8" i="28"/>
  <c r="Q8" i="28"/>
  <c r="R8" i="28"/>
  <c r="S8" i="28"/>
  <c r="T8" i="28"/>
  <c r="U8" i="28"/>
  <c r="V8" i="28"/>
  <c r="W8" i="28"/>
  <c r="X8" i="28"/>
  <c r="Y8" i="28"/>
  <c r="Z8" i="28"/>
  <c r="AA8" i="28"/>
  <c r="B15" i="27"/>
  <c r="C15" i="27"/>
  <c r="D15" i="27"/>
  <c r="E15" i="27"/>
  <c r="F15" i="27"/>
  <c r="G15" i="27"/>
  <c r="H15" i="27"/>
  <c r="I15" i="27"/>
  <c r="J15" i="27"/>
  <c r="K15" i="27"/>
  <c r="L15" i="27"/>
  <c r="M15" i="27"/>
  <c r="N15" i="27"/>
  <c r="O15" i="27"/>
  <c r="P15" i="27"/>
  <c r="Q15" i="27"/>
  <c r="R15" i="27"/>
  <c r="S15" i="27"/>
  <c r="T15" i="27"/>
  <c r="U15" i="27"/>
  <c r="V15" i="27"/>
  <c r="W15" i="27"/>
  <c r="X15" i="27"/>
  <c r="Y15" i="27"/>
  <c r="Z15" i="27"/>
  <c r="AA15" i="27"/>
  <c r="C16" i="27"/>
  <c r="D16" i="27" s="1"/>
  <c r="E16" i="27" s="1"/>
  <c r="F16" i="27" s="1"/>
  <c r="G16" i="27" s="1"/>
  <c r="H16" i="27" s="1"/>
  <c r="I16" i="27" s="1"/>
  <c r="J16" i="27" s="1"/>
  <c r="K16" i="27" s="1"/>
  <c r="L16" i="27" s="1"/>
  <c r="M16" i="27" s="1"/>
  <c r="N16" i="27" s="1"/>
  <c r="O16" i="27" s="1"/>
  <c r="P16" i="27" s="1"/>
  <c r="Q16" i="27" s="1"/>
  <c r="R16" i="27" s="1"/>
  <c r="S16" i="27" s="1"/>
  <c r="T16" i="27" s="1"/>
  <c r="U16" i="27" s="1"/>
  <c r="V16" i="27" s="1"/>
  <c r="W16" i="27" s="1"/>
  <c r="X16" i="27" s="1"/>
  <c r="Y16" i="27" s="1"/>
  <c r="Z16" i="27" s="1"/>
  <c r="AA16" i="27" s="1"/>
  <c r="B19" i="27"/>
  <c r="C19" i="27"/>
  <c r="D19" i="27"/>
  <c r="E19" i="27"/>
  <c r="F19" i="27"/>
  <c r="G19" i="27"/>
  <c r="H19" i="27"/>
  <c r="I19" i="27"/>
  <c r="J19" i="27"/>
  <c r="K19" i="27"/>
  <c r="L19" i="27"/>
  <c r="M19" i="27"/>
  <c r="N19" i="27"/>
  <c r="O19" i="27"/>
  <c r="P19" i="27"/>
  <c r="Q19" i="27"/>
  <c r="R19" i="27"/>
  <c r="S19" i="27"/>
  <c r="T19" i="27"/>
  <c r="U19" i="27"/>
  <c r="V19" i="27"/>
  <c r="W19" i="27"/>
  <c r="X19" i="27"/>
  <c r="Y19" i="27"/>
  <c r="Z19" i="27"/>
  <c r="AA19" i="27"/>
  <c r="B23" i="27"/>
  <c r="C23" i="27"/>
  <c r="D23" i="27"/>
  <c r="E23" i="27"/>
  <c r="F23" i="27"/>
  <c r="G23" i="27"/>
  <c r="H23" i="27"/>
  <c r="I23" i="27"/>
  <c r="J23" i="27"/>
  <c r="K23" i="27"/>
  <c r="L23" i="27"/>
  <c r="M23" i="27"/>
  <c r="N23" i="27"/>
  <c r="O23" i="27"/>
  <c r="P23" i="27"/>
  <c r="Q23" i="27"/>
  <c r="R23" i="27"/>
  <c r="S23" i="27"/>
  <c r="T23" i="27"/>
  <c r="U23" i="27"/>
  <c r="V23" i="27"/>
  <c r="W23" i="27"/>
  <c r="X23" i="27"/>
  <c r="Y23" i="27"/>
  <c r="Z23" i="27"/>
  <c r="AA23" i="27"/>
  <c r="B15" i="26"/>
  <c r="C15" i="26"/>
  <c r="D15" i="26"/>
  <c r="E15" i="26"/>
  <c r="F15" i="26"/>
  <c r="G15" i="26"/>
  <c r="H15" i="26"/>
  <c r="I15" i="26"/>
  <c r="J15" i="26"/>
  <c r="K15" i="26"/>
  <c r="L15" i="26"/>
  <c r="M15" i="26"/>
  <c r="N15" i="26"/>
  <c r="O15" i="26"/>
  <c r="P15" i="26"/>
  <c r="Q15" i="26"/>
  <c r="R15" i="26"/>
  <c r="S15" i="26"/>
  <c r="T15" i="26"/>
  <c r="U15" i="26"/>
  <c r="V15" i="26"/>
  <c r="W15" i="26"/>
  <c r="X15" i="26"/>
  <c r="Y15" i="26"/>
  <c r="Z15" i="26"/>
  <c r="AA15" i="26"/>
  <c r="B19" i="26"/>
  <c r="C19" i="26"/>
  <c r="D19" i="26"/>
  <c r="E19" i="26"/>
  <c r="F19" i="26"/>
  <c r="G19" i="26"/>
  <c r="H19" i="26"/>
  <c r="I19" i="26"/>
  <c r="J19" i="26"/>
  <c r="K19" i="26"/>
  <c r="L19" i="26"/>
  <c r="M19" i="26"/>
  <c r="N19" i="26"/>
  <c r="O19" i="26"/>
  <c r="P19" i="26"/>
  <c r="Q19" i="26"/>
  <c r="R19" i="26"/>
  <c r="S19" i="26"/>
  <c r="T19" i="26"/>
  <c r="U19" i="26"/>
  <c r="V19" i="26"/>
  <c r="W19" i="26"/>
  <c r="X19" i="26"/>
  <c r="Y19" i="26"/>
  <c r="Z19" i="26"/>
  <c r="AA19" i="26"/>
  <c r="B15" i="25"/>
  <c r="C15" i="25"/>
  <c r="D15" i="25"/>
  <c r="E15" i="25"/>
  <c r="F15" i="25"/>
  <c r="G15" i="25"/>
  <c r="H15" i="25"/>
  <c r="I15" i="25"/>
  <c r="J15" i="25"/>
  <c r="K15" i="25"/>
  <c r="L15" i="25"/>
  <c r="M15" i="25"/>
  <c r="N15" i="25"/>
  <c r="O15" i="25"/>
  <c r="P15" i="25"/>
  <c r="Q15" i="25"/>
  <c r="R15" i="25"/>
  <c r="S15" i="25"/>
  <c r="T15" i="25"/>
  <c r="U15" i="25"/>
  <c r="V15" i="25"/>
  <c r="W15" i="25"/>
  <c r="X15" i="25"/>
  <c r="Y15" i="25"/>
  <c r="Z15" i="25"/>
  <c r="AA15" i="25"/>
  <c r="B19" i="25"/>
  <c r="C19" i="25"/>
  <c r="D19" i="25"/>
  <c r="E19" i="25"/>
  <c r="F19" i="25"/>
  <c r="G19" i="25"/>
  <c r="H19" i="25"/>
  <c r="I19" i="25"/>
  <c r="J19" i="25"/>
  <c r="K19" i="25"/>
  <c r="L19" i="25"/>
  <c r="M19" i="25"/>
  <c r="N19" i="25"/>
  <c r="O19" i="25"/>
  <c r="P19" i="25"/>
  <c r="Q19" i="25"/>
  <c r="R19" i="25"/>
  <c r="S19" i="25"/>
  <c r="T19" i="25"/>
  <c r="U19" i="25"/>
  <c r="V19" i="25"/>
  <c r="W19" i="25"/>
  <c r="X19" i="25"/>
  <c r="Y19" i="25"/>
  <c r="Z19" i="25"/>
  <c r="AA19" i="25"/>
  <c r="B15" i="24"/>
  <c r="C15" i="24"/>
  <c r="D15" i="24"/>
  <c r="E15" i="24"/>
  <c r="F15" i="24"/>
  <c r="G15" i="24"/>
  <c r="H15" i="24"/>
  <c r="I15" i="24"/>
  <c r="J15" i="24"/>
  <c r="K15" i="24"/>
  <c r="L15" i="24"/>
  <c r="M15" i="24"/>
  <c r="N15" i="24"/>
  <c r="O15" i="24"/>
  <c r="P15" i="24"/>
  <c r="Q15" i="24"/>
  <c r="R15" i="24"/>
  <c r="S15" i="24"/>
  <c r="T15" i="24"/>
  <c r="U15" i="24"/>
  <c r="V15" i="24"/>
  <c r="W15" i="24"/>
  <c r="X15" i="24"/>
  <c r="Y15" i="24"/>
  <c r="Z15" i="24"/>
  <c r="AA15" i="24"/>
  <c r="B19" i="24"/>
  <c r="C19" i="24"/>
  <c r="D19" i="24"/>
  <c r="E19" i="24"/>
  <c r="F19" i="24"/>
  <c r="G19" i="24"/>
  <c r="H19" i="24"/>
  <c r="I19" i="24"/>
  <c r="J19" i="24"/>
  <c r="K19" i="24"/>
  <c r="L19" i="24"/>
  <c r="M19" i="24"/>
  <c r="N19" i="24"/>
  <c r="O19" i="24"/>
  <c r="P19" i="24"/>
  <c r="Q19" i="24"/>
  <c r="R19" i="24"/>
  <c r="S19" i="24"/>
  <c r="T19" i="24"/>
  <c r="U19" i="24"/>
  <c r="V19" i="24"/>
  <c r="W19" i="24"/>
  <c r="X19" i="24"/>
  <c r="Y19" i="24"/>
  <c r="Z19" i="24"/>
  <c r="AA19" i="24"/>
  <c r="B15" i="23"/>
  <c r="C15" i="23"/>
  <c r="D15" i="23"/>
  <c r="E15" i="23"/>
  <c r="F15" i="23"/>
  <c r="G15" i="23"/>
  <c r="H15" i="23"/>
  <c r="I15" i="23"/>
  <c r="J15" i="23"/>
  <c r="K15" i="23"/>
  <c r="L15" i="23"/>
  <c r="M15" i="23"/>
  <c r="N15" i="23"/>
  <c r="O15" i="23"/>
  <c r="P15" i="23"/>
  <c r="Q15" i="23"/>
  <c r="R15" i="23"/>
  <c r="S15" i="23"/>
  <c r="T15" i="23"/>
  <c r="U15" i="23"/>
  <c r="V15" i="23"/>
  <c r="W15" i="23"/>
  <c r="X15" i="23"/>
  <c r="Y15" i="23"/>
  <c r="Z15" i="23"/>
  <c r="AA15" i="23"/>
  <c r="B19" i="23"/>
  <c r="C19" i="23"/>
  <c r="D19" i="23"/>
  <c r="E19" i="23"/>
  <c r="F19" i="23"/>
  <c r="G19" i="23"/>
  <c r="H19" i="23"/>
  <c r="I19" i="23"/>
  <c r="J19" i="23"/>
  <c r="K19" i="23"/>
  <c r="L19" i="23"/>
  <c r="M19" i="23"/>
  <c r="N19" i="23"/>
  <c r="O19" i="23"/>
  <c r="P19" i="23"/>
  <c r="Q19" i="23"/>
  <c r="R19" i="23"/>
  <c r="S19" i="23"/>
  <c r="T19" i="23"/>
  <c r="U19" i="23"/>
  <c r="V19" i="23"/>
  <c r="W19" i="23"/>
  <c r="X19" i="23"/>
  <c r="Y19" i="23"/>
  <c r="Z19" i="23"/>
  <c r="AA19" i="23"/>
  <c r="B15" i="17"/>
  <c r="C15" i="17"/>
  <c r="D15" i="17"/>
  <c r="E15" i="17"/>
  <c r="F15" i="17"/>
  <c r="G15" i="17"/>
  <c r="H15" i="17"/>
  <c r="I15" i="17"/>
  <c r="J15" i="17"/>
  <c r="K15" i="17"/>
  <c r="L15" i="17"/>
  <c r="M15" i="17"/>
  <c r="N15" i="17"/>
  <c r="O15" i="17"/>
  <c r="P15" i="17"/>
  <c r="Q15" i="17"/>
  <c r="R15" i="17"/>
  <c r="S15" i="17"/>
  <c r="T15" i="17"/>
  <c r="U15" i="17"/>
  <c r="V15" i="17"/>
  <c r="W15" i="17"/>
  <c r="X15" i="17"/>
  <c r="Y15" i="17"/>
  <c r="Z15" i="17"/>
  <c r="AA15" i="17"/>
  <c r="B8" i="19"/>
  <c r="U21" i="19"/>
  <c r="U20" i="19"/>
  <c r="U19" i="19"/>
  <c r="U18" i="19"/>
  <c r="N21" i="19"/>
  <c r="N20" i="19"/>
  <c r="N19" i="19"/>
  <c r="N18" i="19"/>
  <c r="B7" i="19"/>
  <c r="E14" i="7"/>
  <c r="E15" i="7" s="1"/>
  <c r="F14" i="7"/>
  <c r="F15" i="7" s="1"/>
  <c r="E52" i="8"/>
  <c r="E30" i="10" s="1"/>
  <c r="F52" i="8"/>
  <c r="F30" i="10" s="1"/>
  <c r="F17" i="8"/>
  <c r="E17" i="8"/>
  <c r="B8" i="15"/>
  <c r="A7" i="9"/>
  <c r="B7" i="15"/>
  <c r="D2" i="16"/>
  <c r="S41" i="7"/>
  <c r="M41" i="7"/>
  <c r="C19" i="17"/>
  <c r="D19" i="17"/>
  <c r="E19" i="17"/>
  <c r="F19" i="17"/>
  <c r="G19" i="17"/>
  <c r="H19" i="17"/>
  <c r="I19" i="17"/>
  <c r="J19" i="17"/>
  <c r="K19" i="17"/>
  <c r="L19" i="17"/>
  <c r="M19" i="17"/>
  <c r="N19" i="17"/>
  <c r="O19" i="17"/>
  <c r="P19" i="17"/>
  <c r="Q19" i="17"/>
  <c r="R19" i="17"/>
  <c r="S19" i="17"/>
  <c r="T19" i="17"/>
  <c r="U19" i="17"/>
  <c r="V19" i="17"/>
  <c r="W19" i="17"/>
  <c r="X19" i="17"/>
  <c r="Y19" i="17"/>
  <c r="Z19" i="17"/>
  <c r="AA19" i="17"/>
  <c r="B19" i="17"/>
  <c r="C13" i="10"/>
  <c r="D13" i="10"/>
  <c r="E13" i="10"/>
  <c r="S19" i="8"/>
  <c r="M19" i="8"/>
  <c r="D52" i="8"/>
  <c r="D30" i="10" s="1"/>
  <c r="D31" i="10" s="1"/>
  <c r="D26" i="10"/>
  <c r="E26" i="10"/>
  <c r="F26" i="10"/>
  <c r="C26" i="10"/>
  <c r="F13" i="10"/>
  <c r="D17" i="8"/>
  <c r="C17" i="8"/>
  <c r="G19" i="8"/>
  <c r="S31" i="4"/>
  <c r="S29" i="4"/>
  <c r="S19" i="4"/>
  <c r="S18" i="4"/>
  <c r="S13" i="4"/>
  <c r="S12" i="4"/>
  <c r="M31" i="4"/>
  <c r="M29" i="4"/>
  <c r="M19" i="4"/>
  <c r="M18" i="4"/>
  <c r="M13" i="4"/>
  <c r="M12" i="4"/>
  <c r="S23" i="6"/>
  <c r="S22" i="6"/>
  <c r="S21" i="6"/>
  <c r="S17" i="6"/>
  <c r="S13" i="6"/>
  <c r="S12" i="6"/>
  <c r="M23" i="6"/>
  <c r="M22" i="6"/>
  <c r="M21" i="6"/>
  <c r="M17" i="6"/>
  <c r="M13" i="6"/>
  <c r="M12" i="6"/>
  <c r="G12" i="4"/>
  <c r="G13" i="4"/>
  <c r="B7" i="10"/>
  <c r="G41" i="7"/>
  <c r="B7" i="8"/>
  <c r="B7" i="7"/>
  <c r="G31" i="4"/>
  <c r="G29" i="4"/>
  <c r="G19" i="4"/>
  <c r="G18" i="4"/>
  <c r="G22" i="6"/>
  <c r="G23" i="6"/>
  <c r="G21" i="6"/>
  <c r="G17" i="6"/>
  <c r="G13" i="6"/>
  <c r="G12" i="6"/>
  <c r="B7" i="4"/>
  <c r="G15" i="4"/>
  <c r="D28" i="15" s="1"/>
  <c r="G14" i="4"/>
  <c r="R14" i="7" l="1"/>
  <c r="R15" i="7" s="1"/>
  <c r="L14" i="7"/>
  <c r="L15" i="7" s="1"/>
  <c r="Q22" i="4"/>
  <c r="F22" i="4"/>
  <c r="R22" i="4"/>
  <c r="K22" i="4"/>
  <c r="E26" i="4"/>
  <c r="G38" i="15" s="1"/>
  <c r="Q17" i="9" s="1"/>
  <c r="D22" i="4"/>
  <c r="R41" i="7"/>
  <c r="R28" i="7"/>
  <c r="S13" i="7"/>
  <c r="L41" i="7"/>
  <c r="L28" i="7"/>
  <c r="F41" i="7"/>
  <c r="F28" i="7"/>
  <c r="Q41" i="7"/>
  <c r="K41" i="7"/>
  <c r="K28" i="7"/>
  <c r="E41" i="7"/>
  <c r="E28" i="7"/>
  <c r="G13" i="7"/>
  <c r="I41" i="7"/>
  <c r="K34" i="4"/>
  <c r="Q28" i="7"/>
  <c r="O27" i="7"/>
  <c r="O28" i="7" s="1"/>
  <c r="O14" i="7"/>
  <c r="O15" i="7" s="1"/>
  <c r="J14" i="7"/>
  <c r="J15" i="7" s="1"/>
  <c r="S24" i="6"/>
  <c r="S14" i="4"/>
  <c r="M14" i="4"/>
  <c r="M20" i="4"/>
  <c r="O22" i="4"/>
  <c r="O15" i="4"/>
  <c r="O31" i="15" s="1"/>
  <c r="AC10" i="9" s="1"/>
  <c r="I22" i="4"/>
  <c r="I15" i="4"/>
  <c r="M31" i="15" s="1"/>
  <c r="Y10" i="9" s="1"/>
  <c r="G16" i="6"/>
  <c r="R34" i="4"/>
  <c r="J41" i="7"/>
  <c r="G20" i="4"/>
  <c r="C26" i="4"/>
  <c r="C32" i="15" s="1"/>
  <c r="M11" i="9" s="1"/>
  <c r="S41" i="15"/>
  <c r="AG20" i="9" s="1"/>
  <c r="O41" i="15"/>
  <c r="AC20" i="9" s="1"/>
  <c r="Q41" i="15"/>
  <c r="AE20" i="9" s="1"/>
  <c r="P41" i="15"/>
  <c r="AD20" i="9" s="1"/>
  <c r="R41" i="15"/>
  <c r="AF20" i="9" s="1"/>
  <c r="AA20" i="9"/>
  <c r="M35" i="15"/>
  <c r="Y14" i="9" s="1"/>
  <c r="I35" i="15"/>
  <c r="U14" i="9" s="1"/>
  <c r="K35" i="15"/>
  <c r="W14" i="9" s="1"/>
  <c r="J35" i="15"/>
  <c r="V14" i="9" s="1"/>
  <c r="S14" i="9"/>
  <c r="L35" i="15"/>
  <c r="X14" i="9" s="1"/>
  <c r="M41" i="15"/>
  <c r="Y20" i="9" s="1"/>
  <c r="I41" i="15"/>
  <c r="U20" i="9" s="1"/>
  <c r="K41" i="15"/>
  <c r="W20" i="9" s="1"/>
  <c r="J41" i="15"/>
  <c r="V20" i="9" s="1"/>
  <c r="S20" i="9"/>
  <c r="L41" i="15"/>
  <c r="X20" i="9" s="1"/>
  <c r="D27" i="7"/>
  <c r="D28" i="7" s="1"/>
  <c r="D14" i="7"/>
  <c r="D15" i="7" s="1"/>
  <c r="M32" i="4"/>
  <c r="I30" i="15" s="1"/>
  <c r="J33" i="15"/>
  <c r="V12" i="9" s="1"/>
  <c r="S12" i="9"/>
  <c r="K33" i="15"/>
  <c r="W12" i="9" s="1"/>
  <c r="M33" i="15"/>
  <c r="Y12" i="9" s="1"/>
  <c r="I33" i="15"/>
  <c r="U12" i="9" s="1"/>
  <c r="L33" i="15"/>
  <c r="X12" i="9" s="1"/>
  <c r="E42" i="15"/>
  <c r="O21" i="9" s="1"/>
  <c r="C42" i="15"/>
  <c r="M21" i="9" s="1"/>
  <c r="F42" i="15"/>
  <c r="P21" i="9" s="1"/>
  <c r="G42" i="15"/>
  <c r="Q21" i="9" s="1"/>
  <c r="D42" i="15"/>
  <c r="N21" i="9" s="1"/>
  <c r="K21" i="9"/>
  <c r="K38" i="15"/>
  <c r="W17" i="9" s="1"/>
  <c r="I38" i="15"/>
  <c r="U17" i="9" s="1"/>
  <c r="L38" i="15"/>
  <c r="X17" i="9" s="1"/>
  <c r="J38" i="15"/>
  <c r="V17" i="9" s="1"/>
  <c r="M38" i="15"/>
  <c r="Y17" i="9" s="1"/>
  <c r="S17" i="9"/>
  <c r="S16" i="6"/>
  <c r="AD40" i="9" a="1"/>
  <c r="AD40" i="9" s="1"/>
  <c r="AD43" i="9" s="1"/>
  <c r="S52" i="8"/>
  <c r="J28" i="7"/>
  <c r="D41" i="7"/>
  <c r="J39" i="15"/>
  <c r="V18" i="9" s="1"/>
  <c r="L39" i="15"/>
  <c r="X18" i="9" s="1"/>
  <c r="M39" i="15"/>
  <c r="Y18" i="9" s="1"/>
  <c r="I39" i="15"/>
  <c r="U18" i="9" s="1"/>
  <c r="S18" i="9"/>
  <c r="K39" i="15"/>
  <c r="W18" i="9" s="1"/>
  <c r="E39" i="15"/>
  <c r="O18" i="9" s="1"/>
  <c r="D39" i="15"/>
  <c r="N18" i="9" s="1"/>
  <c r="F39" i="15"/>
  <c r="P18" i="9" s="1"/>
  <c r="C39" i="15"/>
  <c r="M18" i="9" s="1"/>
  <c r="G39" i="15"/>
  <c r="Q18" i="9" s="1"/>
  <c r="K18" i="9"/>
  <c r="Q32" i="15"/>
  <c r="AE11" i="9" s="1"/>
  <c r="O32" i="15"/>
  <c r="AC11" i="9" s="1"/>
  <c r="AA11" i="9"/>
  <c r="P32" i="15"/>
  <c r="AD11" i="9" s="1"/>
  <c r="S32" i="15"/>
  <c r="AG11" i="9" s="1"/>
  <c r="R32" i="15"/>
  <c r="AF11" i="9" s="1"/>
  <c r="E41" i="15"/>
  <c r="O20" i="9" s="1"/>
  <c r="C41" i="15"/>
  <c r="M20" i="9" s="1"/>
  <c r="G41" i="15"/>
  <c r="Q20" i="9" s="1"/>
  <c r="F41" i="15"/>
  <c r="P20" i="9" s="1"/>
  <c r="D41" i="15"/>
  <c r="N20" i="9" s="1"/>
  <c r="K20" i="9"/>
  <c r="E35" i="15"/>
  <c r="O14" i="9" s="1"/>
  <c r="C35" i="15"/>
  <c r="M14" i="9" s="1"/>
  <c r="G35" i="15"/>
  <c r="Q14" i="9" s="1"/>
  <c r="F35" i="15"/>
  <c r="P14" i="9" s="1"/>
  <c r="D35" i="15"/>
  <c r="N14" i="9" s="1"/>
  <c r="K14" i="9"/>
  <c r="R42" i="15"/>
  <c r="AF21" i="9" s="1"/>
  <c r="S42" i="15"/>
  <c r="AG21" i="9" s="1"/>
  <c r="Q42" i="15"/>
  <c r="AE21" i="9" s="1"/>
  <c r="AA21" i="9"/>
  <c r="P42" i="15"/>
  <c r="AD21" i="9" s="1"/>
  <c r="O42" i="15"/>
  <c r="AC21" i="9" s="1"/>
  <c r="M13" i="7"/>
  <c r="S32" i="4"/>
  <c r="O30" i="15" s="1"/>
  <c r="AA12" i="9"/>
  <c r="P33" i="15"/>
  <c r="AD12" i="9" s="1"/>
  <c r="Q33" i="15"/>
  <c r="AE12" i="9" s="1"/>
  <c r="S33" i="15"/>
  <c r="AG12" i="9" s="1"/>
  <c r="O33" i="15"/>
  <c r="AC12" i="9" s="1"/>
  <c r="R33" i="15"/>
  <c r="AF12" i="9" s="1"/>
  <c r="G32" i="4"/>
  <c r="G30" i="15" s="1"/>
  <c r="E33" i="15"/>
  <c r="O12" i="9" s="1"/>
  <c r="D33" i="15"/>
  <c r="N12" i="9" s="1"/>
  <c r="F33" i="15"/>
  <c r="P12" i="9" s="1"/>
  <c r="C33" i="15"/>
  <c r="M12" i="9" s="1"/>
  <c r="G33" i="15"/>
  <c r="Q12" i="9" s="1"/>
  <c r="K12" i="9"/>
  <c r="L22" i="4"/>
  <c r="J22" i="4"/>
  <c r="AA18" i="9"/>
  <c r="P39" i="15"/>
  <c r="AD18" i="9" s="1"/>
  <c r="S39" i="15"/>
  <c r="AG18" i="9" s="1"/>
  <c r="O39" i="15"/>
  <c r="AC18" i="9" s="1"/>
  <c r="R39" i="15"/>
  <c r="AF18" i="9" s="1"/>
  <c r="Q39" i="15"/>
  <c r="AE18" i="9" s="1"/>
  <c r="Q38" i="15"/>
  <c r="AE17" i="9" s="1"/>
  <c r="R38" i="15"/>
  <c r="AF17" i="9" s="1"/>
  <c r="AA17" i="9"/>
  <c r="P38" i="15"/>
  <c r="AD17" i="9" s="1"/>
  <c r="O38" i="15"/>
  <c r="AC17" i="9" s="1"/>
  <c r="S38" i="15"/>
  <c r="AG17" i="9" s="1"/>
  <c r="S21" i="9"/>
  <c r="L42" i="15"/>
  <c r="X21" i="9" s="1"/>
  <c r="M42" i="15"/>
  <c r="Y21" i="9" s="1"/>
  <c r="I42" i="15"/>
  <c r="U21" i="9" s="1"/>
  <c r="E21" i="9" s="1"/>
  <c r="K42" i="15"/>
  <c r="W21" i="9" s="1"/>
  <c r="J42" i="15"/>
  <c r="V21" i="9" s="1"/>
  <c r="K32" i="15"/>
  <c r="W11" i="9" s="1"/>
  <c r="M32" i="15"/>
  <c r="Y11" i="9" s="1"/>
  <c r="J32" i="15"/>
  <c r="V11" i="9" s="1"/>
  <c r="S11" i="9"/>
  <c r="L32" i="15"/>
  <c r="X11" i="9" s="1"/>
  <c r="I32" i="15"/>
  <c r="U11" i="9" s="1"/>
  <c r="G24" i="6"/>
  <c r="V40" i="9" a="1"/>
  <c r="X40" i="9" s="1"/>
  <c r="X44" i="9" s="1"/>
  <c r="R36" i="15"/>
  <c r="AF15" i="9" s="1"/>
  <c r="P36" i="15"/>
  <c r="AD15" i="9" s="1"/>
  <c r="O36" i="15"/>
  <c r="AC15" i="9" s="1"/>
  <c r="Q36" i="15"/>
  <c r="AE15" i="9" s="1"/>
  <c r="AA15" i="9"/>
  <c r="S36" i="15"/>
  <c r="AG15" i="9" s="1"/>
  <c r="S15" i="9"/>
  <c r="L36" i="15"/>
  <c r="X15" i="9" s="1"/>
  <c r="M36" i="15"/>
  <c r="Y15" i="9" s="1"/>
  <c r="K36" i="15"/>
  <c r="W15" i="9" s="1"/>
  <c r="J36" i="15"/>
  <c r="V15" i="9" s="1"/>
  <c r="I36" i="15"/>
  <c r="U15" i="9" s="1"/>
  <c r="E36" i="15"/>
  <c r="O15" i="9" s="1"/>
  <c r="D36" i="15"/>
  <c r="N15" i="9" s="1"/>
  <c r="F36" i="15"/>
  <c r="P15" i="9" s="1"/>
  <c r="G36" i="15"/>
  <c r="Q15" i="9" s="1"/>
  <c r="C36" i="15"/>
  <c r="M15" i="9" s="1"/>
  <c r="K15" i="9"/>
  <c r="F34" i="4"/>
  <c r="B18" i="24"/>
  <c r="C18" i="24"/>
  <c r="P59" i="9"/>
  <c r="N59" i="9"/>
  <c r="O59" i="9"/>
  <c r="Q59" i="9"/>
  <c r="M59" i="9"/>
  <c r="O56" i="9"/>
  <c r="M56" i="9"/>
  <c r="Q56" i="9"/>
  <c r="N56" i="9"/>
  <c r="P56" i="9"/>
  <c r="N53" i="9"/>
  <c r="P53" i="9"/>
  <c r="M53" i="9"/>
  <c r="O53" i="9"/>
  <c r="Q53" i="9"/>
  <c r="N50" i="9"/>
  <c r="M50" i="9"/>
  <c r="P50" i="9"/>
  <c r="Q50" i="9"/>
  <c r="O50" i="9"/>
  <c r="Q37" i="15"/>
  <c r="AE16" i="9" s="1"/>
  <c r="S37" i="15"/>
  <c r="AG16" i="9" s="1"/>
  <c r="AA16" i="9"/>
  <c r="R37" i="15"/>
  <c r="AF16" i="9" s="1"/>
  <c r="P37" i="15"/>
  <c r="AD16" i="9" s="1"/>
  <c r="O37" i="15"/>
  <c r="AC16" i="9" s="1"/>
  <c r="Q47" i="9"/>
  <c r="P47" i="9"/>
  <c r="M47" i="9"/>
  <c r="O47" i="9"/>
  <c r="N47" i="9"/>
  <c r="L34" i="15"/>
  <c r="X13" i="9" s="1"/>
  <c r="H13" i="9" s="1"/>
  <c r="J34" i="15"/>
  <c r="V13" i="9" s="1"/>
  <c r="F13" i="9" s="1"/>
  <c r="M34" i="15"/>
  <c r="Y13" i="9" s="1"/>
  <c r="I13" i="9" s="1"/>
  <c r="I34" i="15"/>
  <c r="U13" i="9" s="1"/>
  <c r="E13" i="9" s="1"/>
  <c r="S13" i="9"/>
  <c r="K34" i="15"/>
  <c r="W13" i="9" s="1"/>
  <c r="G13" i="9" s="1"/>
  <c r="L34" i="4"/>
  <c r="J40" i="15"/>
  <c r="V19" i="9" s="1"/>
  <c r="F19" i="9" s="1"/>
  <c r="L40" i="15"/>
  <c r="X19" i="9" s="1"/>
  <c r="H19" i="9" s="1"/>
  <c r="K40" i="15"/>
  <c r="W19" i="9" s="1"/>
  <c r="G19" i="9" s="1"/>
  <c r="S19" i="9"/>
  <c r="M40" i="15"/>
  <c r="Y19" i="9" s="1"/>
  <c r="I19" i="9" s="1"/>
  <c r="I40" i="15"/>
  <c r="U19" i="9" s="1"/>
  <c r="E19" i="9" s="1"/>
  <c r="P34" i="15"/>
  <c r="AD13" i="9" s="1"/>
  <c r="R34" i="15"/>
  <c r="AF13" i="9" s="1"/>
  <c r="Q34" i="15"/>
  <c r="AE13" i="9" s="1"/>
  <c r="S34" i="15"/>
  <c r="AG13" i="9" s="1"/>
  <c r="O34" i="15"/>
  <c r="AC13" i="9" s="1"/>
  <c r="AA13" i="9"/>
  <c r="AA19" i="9"/>
  <c r="R40" i="15"/>
  <c r="AF19" i="9" s="1"/>
  <c r="S40" i="15"/>
  <c r="AG19" i="9" s="1"/>
  <c r="O40" i="15"/>
  <c r="AC19" i="9" s="1"/>
  <c r="Q40" i="15"/>
  <c r="AE19" i="9" s="1"/>
  <c r="P40" i="15"/>
  <c r="AD19" i="9" s="1"/>
  <c r="K37" i="15"/>
  <c r="W16" i="9" s="1"/>
  <c r="G16" i="9" s="1"/>
  <c r="S16" i="9"/>
  <c r="M37" i="15"/>
  <c r="Y16" i="9" s="1"/>
  <c r="I16" i="9" s="1"/>
  <c r="I37" i="15"/>
  <c r="U16" i="9" s="1"/>
  <c r="E16" i="9" s="1"/>
  <c r="L37" i="15"/>
  <c r="X16" i="9" s="1"/>
  <c r="H16" i="9" s="1"/>
  <c r="J37" i="15"/>
  <c r="V16" i="9" s="1"/>
  <c r="F16" i="9" s="1"/>
  <c r="Q34" i="4"/>
  <c r="C35" i="8"/>
  <c r="K29" i="9" s="1"/>
  <c r="I35" i="8"/>
  <c r="S29" i="9" s="1"/>
  <c r="I30" i="10"/>
  <c r="I31" i="10" s="1"/>
  <c r="M35" i="10" s="1"/>
  <c r="U29" i="9" s="1"/>
  <c r="V29" i="9" s="1"/>
  <c r="C30" i="10"/>
  <c r="C31" i="10" s="1"/>
  <c r="G35" i="10" s="1"/>
  <c r="M29" i="9" s="1"/>
  <c r="O35" i="8"/>
  <c r="AA27" i="9" s="1"/>
  <c r="O30" i="10"/>
  <c r="O31" i="10" s="1"/>
  <c r="S36" i="10" s="1"/>
  <c r="AC31" i="9" s="1"/>
  <c r="AD31" i="9" s="1"/>
  <c r="N40" i="9" a="1"/>
  <c r="P40" i="9" s="1"/>
  <c r="S17" i="8"/>
  <c r="S42" i="8"/>
  <c r="M17" i="8"/>
  <c r="G52" i="8"/>
  <c r="R24" i="10"/>
  <c r="K27" i="10"/>
  <c r="C25" i="8"/>
  <c r="J24" i="10"/>
  <c r="L27" i="10"/>
  <c r="P27" i="10"/>
  <c r="O27" i="10"/>
  <c r="F27" i="10"/>
  <c r="F24" i="10"/>
  <c r="E24" i="10"/>
  <c r="O24" i="10"/>
  <c r="M52" i="8"/>
  <c r="L24" i="10"/>
  <c r="E27" i="10"/>
  <c r="M42" i="8"/>
  <c r="J27" i="10"/>
  <c r="Q24" i="8"/>
  <c r="Q25" i="8" s="1"/>
  <c r="Q26" i="8" s="1"/>
  <c r="P25" i="8"/>
  <c r="P26" i="8" s="1"/>
  <c r="K25" i="8"/>
  <c r="K26" i="8" s="1"/>
  <c r="L24" i="8"/>
  <c r="L25" i="8" s="1"/>
  <c r="L26" i="8" s="1"/>
  <c r="Q24" i="10"/>
  <c r="Q27" i="10"/>
  <c r="C27" i="10"/>
  <c r="O25" i="8"/>
  <c r="K24" i="10"/>
  <c r="P24" i="10"/>
  <c r="D27" i="10"/>
  <c r="R27" i="10"/>
  <c r="I24" i="10"/>
  <c r="D24" i="10"/>
  <c r="I27" i="10"/>
  <c r="G42" i="8"/>
  <c r="C24" i="10"/>
  <c r="I25" i="8"/>
  <c r="G17" i="8"/>
  <c r="J25" i="8"/>
  <c r="J26" i="8" s="1"/>
  <c r="D25" i="8"/>
  <c r="D26" i="8" s="1"/>
  <c r="P41" i="7"/>
  <c r="O41" i="7"/>
  <c r="C41" i="7"/>
  <c r="S20" i="4"/>
  <c r="P26" i="4"/>
  <c r="J34" i="4"/>
  <c r="M26" i="4"/>
  <c r="D34" i="4"/>
  <c r="F24" i="8"/>
  <c r="F25" i="8" s="1"/>
  <c r="F26" i="8" s="1"/>
  <c r="E25" i="8"/>
  <c r="E26" i="8" s="1"/>
  <c r="C28" i="15"/>
  <c r="P27" i="7"/>
  <c r="P28" i="7" s="1"/>
  <c r="S18" i="6"/>
  <c r="I27" i="7"/>
  <c r="I28" i="7" s="1"/>
  <c r="M18" i="6"/>
  <c r="M16" i="6"/>
  <c r="M24" i="6"/>
  <c r="G18" i="6"/>
  <c r="C27" i="7"/>
  <c r="C28" i="7" s="1"/>
  <c r="B18" i="23"/>
  <c r="D10" i="25"/>
  <c r="B18" i="25" s="1"/>
  <c r="D10" i="26"/>
  <c r="C18" i="23"/>
  <c r="D9" i="17"/>
  <c r="F28" i="15"/>
  <c r="E28" i="15"/>
  <c r="G28" i="15"/>
  <c r="B38" i="27"/>
  <c r="B41" i="27" s="1"/>
  <c r="Q43" i="7" l="1"/>
  <c r="P53" i="15" s="1"/>
  <c r="AD24" i="9" s="1"/>
  <c r="Q31" i="15"/>
  <c r="AE10" i="9" s="1"/>
  <c r="E38" i="15"/>
  <c r="O17" i="9" s="1"/>
  <c r="G17" i="9" s="1"/>
  <c r="D38" i="15"/>
  <c r="N17" i="9" s="1"/>
  <c r="F17" i="9" s="1"/>
  <c r="C14" i="9"/>
  <c r="D43" i="7"/>
  <c r="C52" i="15" s="1"/>
  <c r="M23" i="9" s="1"/>
  <c r="I12" i="9"/>
  <c r="E18" i="9"/>
  <c r="AA31" i="9"/>
  <c r="AC74" i="9" s="1"/>
  <c r="F38" i="15"/>
  <c r="P17" i="9" s="1"/>
  <c r="H17" i="9" s="1"/>
  <c r="S10" i="9"/>
  <c r="Y50" i="9" s="1"/>
  <c r="M15" i="4"/>
  <c r="M28" i="15" s="1"/>
  <c r="S15" i="4"/>
  <c r="O28" i="15" s="1"/>
  <c r="F14" i="9"/>
  <c r="AD42" i="9"/>
  <c r="F21" i="9"/>
  <c r="I18" i="9"/>
  <c r="E12" i="9"/>
  <c r="H20" i="9"/>
  <c r="AA10" i="9"/>
  <c r="S31" i="15"/>
  <c r="AG10" i="9" s="1"/>
  <c r="J31" i="15"/>
  <c r="V10" i="9" s="1"/>
  <c r="C21" i="9"/>
  <c r="H21" i="9"/>
  <c r="I43" i="7"/>
  <c r="J51" i="15" s="1"/>
  <c r="V22" i="9" s="1"/>
  <c r="I20" i="9"/>
  <c r="I14" i="9"/>
  <c r="G14" i="9"/>
  <c r="O34" i="4"/>
  <c r="R31" i="15"/>
  <c r="AF10" i="9" s="1"/>
  <c r="P31" i="15"/>
  <c r="AD10" i="9" s="1"/>
  <c r="I31" i="15"/>
  <c r="U10" i="9" s="1"/>
  <c r="E14" i="9"/>
  <c r="H14" i="9"/>
  <c r="F18" i="9"/>
  <c r="W40" i="9"/>
  <c r="W42" i="9" s="1"/>
  <c r="M30" i="15"/>
  <c r="G18" i="9"/>
  <c r="I17" i="9"/>
  <c r="E34" i="4"/>
  <c r="K17" i="9"/>
  <c r="C17" i="9" s="1"/>
  <c r="C38" i="15"/>
  <c r="M17" i="9" s="1"/>
  <c r="E17" i="9" s="1"/>
  <c r="R30" i="15"/>
  <c r="C15" i="9"/>
  <c r="G28" i="7"/>
  <c r="X43" i="9"/>
  <c r="V40" i="9"/>
  <c r="V43" i="9" s="1"/>
  <c r="X41" i="9"/>
  <c r="C18" i="9"/>
  <c r="S28" i="7"/>
  <c r="R43" i="7"/>
  <c r="Q54" i="15" s="1"/>
  <c r="AE25" i="9" s="1"/>
  <c r="H18" i="9"/>
  <c r="G20" i="9"/>
  <c r="F15" i="9"/>
  <c r="AF40" i="9"/>
  <c r="AF44" i="9" s="1"/>
  <c r="Y40" i="9"/>
  <c r="Y44" i="9" s="1"/>
  <c r="X42" i="9"/>
  <c r="AE40" i="9"/>
  <c r="AE43" i="9" s="1"/>
  <c r="AD44" i="9"/>
  <c r="AG40" i="9"/>
  <c r="AG43" i="9" s="1"/>
  <c r="AD41" i="9"/>
  <c r="G31" i="10"/>
  <c r="G33" i="10" s="1"/>
  <c r="L43" i="7"/>
  <c r="M54" i="15" s="1"/>
  <c r="Y25" i="9" s="1"/>
  <c r="F43" i="7"/>
  <c r="G54" i="15" s="1"/>
  <c r="Q25" i="9" s="1"/>
  <c r="K43" i="7"/>
  <c r="K53" i="15" s="1"/>
  <c r="W24" i="9" s="1"/>
  <c r="E43" i="7"/>
  <c r="D53" i="15" s="1"/>
  <c r="N24" i="9" s="1"/>
  <c r="S30" i="15"/>
  <c r="G15" i="9"/>
  <c r="J30" i="15"/>
  <c r="I34" i="4"/>
  <c r="M34" i="4" s="1"/>
  <c r="L31" i="15"/>
  <c r="X10" i="9" s="1"/>
  <c r="K31" i="15"/>
  <c r="W10" i="9" s="1"/>
  <c r="G10" i="9" s="1"/>
  <c r="O43" i="7"/>
  <c r="R51" i="15" s="1"/>
  <c r="AF22" i="9" s="1"/>
  <c r="E15" i="9"/>
  <c r="E20" i="9"/>
  <c r="AQ21" i="16" s="1"/>
  <c r="I15" i="9"/>
  <c r="I21" i="9"/>
  <c r="H15" i="9"/>
  <c r="G21" i="9"/>
  <c r="F20" i="9"/>
  <c r="Q30" i="15"/>
  <c r="P30" i="15"/>
  <c r="L30" i="15"/>
  <c r="K30" i="15"/>
  <c r="S35" i="8"/>
  <c r="AA29" i="9"/>
  <c r="H12" i="9"/>
  <c r="J43" i="7"/>
  <c r="I52" i="15" s="1"/>
  <c r="U23" i="9" s="1"/>
  <c r="F12" i="9"/>
  <c r="E11" i="9"/>
  <c r="E30" i="15"/>
  <c r="F30" i="15"/>
  <c r="D30" i="15"/>
  <c r="G12" i="9"/>
  <c r="C30" i="15"/>
  <c r="F32" i="15"/>
  <c r="P11" i="9" s="1"/>
  <c r="H11" i="9" s="1"/>
  <c r="C34" i="4"/>
  <c r="K11" i="9"/>
  <c r="C11" i="9" s="1"/>
  <c r="G32" i="15"/>
  <c r="Q11" i="9" s="1"/>
  <c r="I11" i="9" s="1"/>
  <c r="G26" i="4"/>
  <c r="D32" i="15"/>
  <c r="N11" i="9" s="1"/>
  <c r="F11" i="9" s="1"/>
  <c r="E32" i="15"/>
  <c r="O11" i="9" s="1"/>
  <c r="G11" i="9" s="1"/>
  <c r="M72" i="9"/>
  <c r="M37" i="10"/>
  <c r="U33" i="9" s="1"/>
  <c r="V33" i="9" s="1"/>
  <c r="W33" i="9" s="1"/>
  <c r="G37" i="10"/>
  <c r="M33" i="9" s="1"/>
  <c r="N33" i="9" s="1"/>
  <c r="AG55" i="9"/>
  <c r="AD55" i="9"/>
  <c r="AF55" i="9"/>
  <c r="AE55" i="9"/>
  <c r="AC55" i="9"/>
  <c r="X58" i="9"/>
  <c r="U58" i="9"/>
  <c r="V58" i="9"/>
  <c r="Y58" i="9"/>
  <c r="W58" i="9"/>
  <c r="P34" i="4"/>
  <c r="S35" i="15"/>
  <c r="AG14" i="9" s="1"/>
  <c r="O35" i="15"/>
  <c r="AC14" i="9" s="1"/>
  <c r="Q35" i="15"/>
  <c r="AE14" i="9" s="1"/>
  <c r="AA14" i="9"/>
  <c r="R35" i="15"/>
  <c r="AF14" i="9" s="1"/>
  <c r="P35" i="15"/>
  <c r="AD14" i="9" s="1"/>
  <c r="S31" i="10"/>
  <c r="S33" i="10" s="1"/>
  <c r="S31" i="9"/>
  <c r="M36" i="10"/>
  <c r="U31" i="9" s="1"/>
  <c r="V31" i="9" s="1"/>
  <c r="W31" i="9" s="1"/>
  <c r="G34" i="10"/>
  <c r="M27" i="9" s="1"/>
  <c r="N27" i="9" s="1"/>
  <c r="X51" i="9"/>
  <c r="W51" i="9"/>
  <c r="U48" i="9"/>
  <c r="U51" i="9"/>
  <c r="Y48" i="9"/>
  <c r="Y51" i="9"/>
  <c r="W48" i="9"/>
  <c r="V48" i="9"/>
  <c r="X48" i="9"/>
  <c r="V51" i="9"/>
  <c r="Q60" i="9"/>
  <c r="N60" i="9"/>
  <c r="O60" i="9"/>
  <c r="P60" i="9"/>
  <c r="M60" i="9"/>
  <c r="N58" i="9"/>
  <c r="M58" i="9"/>
  <c r="P58" i="9"/>
  <c r="Q58" i="9"/>
  <c r="O58" i="9"/>
  <c r="P61" i="9"/>
  <c r="M61" i="9"/>
  <c r="O61" i="9"/>
  <c r="N61" i="9"/>
  <c r="Q61" i="9"/>
  <c r="X55" i="9"/>
  <c r="W55" i="9"/>
  <c r="U55" i="9"/>
  <c r="Y55" i="9"/>
  <c r="V55" i="9"/>
  <c r="U61" i="9"/>
  <c r="V61" i="9"/>
  <c r="W61" i="9"/>
  <c r="X61" i="9"/>
  <c r="Y61" i="9"/>
  <c r="AE57" i="9"/>
  <c r="AF57" i="9"/>
  <c r="AC57" i="9"/>
  <c r="AD57" i="9"/>
  <c r="AG57" i="9"/>
  <c r="AG58" i="9"/>
  <c r="AD58" i="9"/>
  <c r="AE58" i="9"/>
  <c r="AC58" i="9"/>
  <c r="AF58" i="9"/>
  <c r="M52" i="9"/>
  <c r="P49" i="9"/>
  <c r="Q52" i="9"/>
  <c r="M49" i="9"/>
  <c r="O49" i="9"/>
  <c r="N52" i="9"/>
  <c r="Q49" i="9"/>
  <c r="O52" i="9"/>
  <c r="P52" i="9"/>
  <c r="N49" i="9"/>
  <c r="AC52" i="9"/>
  <c r="AF49" i="9"/>
  <c r="AG52" i="9"/>
  <c r="AC49" i="9"/>
  <c r="AE52" i="9"/>
  <c r="AD52" i="9"/>
  <c r="AG49" i="9"/>
  <c r="AE49" i="9"/>
  <c r="AD49" i="9"/>
  <c r="AF52" i="9"/>
  <c r="AG51" i="9"/>
  <c r="AD51" i="9"/>
  <c r="AF51" i="9"/>
  <c r="AE51" i="9"/>
  <c r="AC51" i="9"/>
  <c r="V60" i="9"/>
  <c r="W60" i="9"/>
  <c r="X60" i="9"/>
  <c r="U60" i="9"/>
  <c r="Y60" i="9"/>
  <c r="U54" i="9"/>
  <c r="X54" i="9"/>
  <c r="Y54" i="9"/>
  <c r="V54" i="9"/>
  <c r="W54" i="9"/>
  <c r="AF60" i="9"/>
  <c r="AC60" i="9"/>
  <c r="AG60" i="9"/>
  <c r="AE60" i="9"/>
  <c r="AD60" i="9"/>
  <c r="M28" i="7"/>
  <c r="M31" i="10"/>
  <c r="M33" i="10" s="1"/>
  <c r="M34" i="10"/>
  <c r="U27" i="9" s="1"/>
  <c r="V27" i="9" s="1"/>
  <c r="W27" i="9" s="1"/>
  <c r="K27" i="9"/>
  <c r="C20" i="9"/>
  <c r="C12" i="9"/>
  <c r="P55" i="9"/>
  <c r="Q55" i="9"/>
  <c r="N55" i="9"/>
  <c r="M55" i="9"/>
  <c r="O55" i="9"/>
  <c r="AE61" i="9"/>
  <c r="AF61" i="9"/>
  <c r="AC61" i="9"/>
  <c r="AD61" i="9"/>
  <c r="AG61" i="9"/>
  <c r="M54" i="9"/>
  <c r="N54" i="9"/>
  <c r="Q54" i="9"/>
  <c r="O54" i="9"/>
  <c r="P54" i="9"/>
  <c r="U57" i="9"/>
  <c r="V57" i="9"/>
  <c r="Y57" i="9"/>
  <c r="W57" i="9"/>
  <c r="X57" i="9"/>
  <c r="W52" i="9"/>
  <c r="V52" i="9"/>
  <c r="V49" i="9"/>
  <c r="Y49" i="9"/>
  <c r="X52" i="9"/>
  <c r="W49" i="9"/>
  <c r="U52" i="9"/>
  <c r="X49" i="9"/>
  <c r="Y52" i="9"/>
  <c r="U49" i="9"/>
  <c r="K33" i="9"/>
  <c r="G35" i="8"/>
  <c r="U72" i="9"/>
  <c r="W29" i="9"/>
  <c r="V72" i="9"/>
  <c r="AE31" i="9"/>
  <c r="AF59" i="9"/>
  <c r="AC59" i="9"/>
  <c r="AG59" i="9"/>
  <c r="AD59" i="9"/>
  <c r="AE59" i="9"/>
  <c r="C13" i="9"/>
  <c r="V53" i="9"/>
  <c r="W53" i="9"/>
  <c r="X53" i="9"/>
  <c r="U53" i="9"/>
  <c r="Y53" i="9"/>
  <c r="C16" i="9"/>
  <c r="W56" i="9"/>
  <c r="X56" i="9"/>
  <c r="U56" i="9"/>
  <c r="Y56" i="9"/>
  <c r="V56" i="9"/>
  <c r="AD53" i="9"/>
  <c r="AE53" i="9"/>
  <c r="AF53" i="9"/>
  <c r="AC53" i="9"/>
  <c r="AG53" i="9"/>
  <c r="C19" i="9"/>
  <c r="X59" i="9"/>
  <c r="V59" i="9"/>
  <c r="U59" i="9"/>
  <c r="W59" i="9"/>
  <c r="Y59" i="9"/>
  <c r="AE56" i="9"/>
  <c r="AF56" i="9"/>
  <c r="AC56" i="9"/>
  <c r="AG56" i="9"/>
  <c r="AD56" i="9"/>
  <c r="H40" i="9"/>
  <c r="H46" i="16" s="1"/>
  <c r="P44" i="9"/>
  <c r="P41" i="9"/>
  <c r="P42" i="9"/>
  <c r="P43" i="9"/>
  <c r="C29" i="9"/>
  <c r="N29" i="9"/>
  <c r="E29" i="9"/>
  <c r="S35" i="10"/>
  <c r="AC29" i="9" s="1"/>
  <c r="AD29" i="9" s="1"/>
  <c r="M35" i="8"/>
  <c r="C26" i="8"/>
  <c r="K30" i="9"/>
  <c r="K26" i="9"/>
  <c r="K32" i="9"/>
  <c r="K28" i="9"/>
  <c r="S34" i="10"/>
  <c r="AC27" i="9" s="1"/>
  <c r="AD27" i="9" s="1"/>
  <c r="S33" i="9"/>
  <c r="AA33" i="9"/>
  <c r="S37" i="10"/>
  <c r="AC33" i="9" s="1"/>
  <c r="AD33" i="9" s="1"/>
  <c r="S27" i="9"/>
  <c r="K31" i="9"/>
  <c r="G36" i="10"/>
  <c r="M31" i="9" s="1"/>
  <c r="I26" i="8"/>
  <c r="S28" i="9"/>
  <c r="S30" i="9"/>
  <c r="S32" i="9"/>
  <c r="S26" i="9"/>
  <c r="O26" i="8"/>
  <c r="O40" i="9"/>
  <c r="N40" i="9"/>
  <c r="Q40" i="9"/>
  <c r="D18" i="23"/>
  <c r="M27" i="10"/>
  <c r="G27" i="10"/>
  <c r="R24" i="8"/>
  <c r="R25" i="8" s="1"/>
  <c r="R26" i="8" s="1"/>
  <c r="M24" i="10"/>
  <c r="U40" i="9" s="1"/>
  <c r="S24" i="10"/>
  <c r="AC40" i="9" s="1"/>
  <c r="S27" i="10"/>
  <c r="G24" i="10"/>
  <c r="M40" i="9" s="1"/>
  <c r="M25" i="8"/>
  <c r="S26" i="4"/>
  <c r="P29" i="15" s="1"/>
  <c r="J29" i="15"/>
  <c r="K29" i="15"/>
  <c r="I29" i="15"/>
  <c r="L29" i="15"/>
  <c r="M29" i="15"/>
  <c r="G25" i="8"/>
  <c r="P43" i="7"/>
  <c r="C43" i="7"/>
  <c r="D10" i="17"/>
  <c r="D11" i="26"/>
  <c r="B18" i="26" s="1"/>
  <c r="G61" i="9" l="1"/>
  <c r="C18" i="25"/>
  <c r="M52" i="15"/>
  <c r="Y23" i="9" s="1"/>
  <c r="Q53" i="15"/>
  <c r="AE24" i="9" s="1"/>
  <c r="E54" i="9"/>
  <c r="E51" i="9"/>
  <c r="S53" i="15"/>
  <c r="AG24" i="9" s="1"/>
  <c r="O53" i="15"/>
  <c r="AC24" i="9" s="1"/>
  <c r="R53" i="15"/>
  <c r="AF24" i="9" s="1"/>
  <c r="D18" i="24"/>
  <c r="I61" i="9"/>
  <c r="AE50" i="9"/>
  <c r="AJ21" i="16"/>
  <c r="Y47" i="9"/>
  <c r="X50" i="9"/>
  <c r="N57" i="9"/>
  <c r="E23" i="9"/>
  <c r="AC22" i="16" s="1"/>
  <c r="H54" i="9"/>
  <c r="F54" i="9"/>
  <c r="G54" i="9"/>
  <c r="I54" i="9"/>
  <c r="AQ30" i="16"/>
  <c r="AU30" i="16" s="1"/>
  <c r="R28" i="15"/>
  <c r="L28" i="15"/>
  <c r="I28" i="15"/>
  <c r="J28" i="15"/>
  <c r="AC50" i="9"/>
  <c r="K28" i="15"/>
  <c r="AF47" i="9"/>
  <c r="F52" i="15"/>
  <c r="P23" i="9" s="1"/>
  <c r="G52" i="15"/>
  <c r="Q23" i="9" s="1"/>
  <c r="E52" i="15"/>
  <c r="O23" i="9" s="1"/>
  <c r="D52" i="15"/>
  <c r="N23" i="9" s="1"/>
  <c r="AD48" i="9"/>
  <c r="AC39" i="16"/>
  <c r="AD74" i="9"/>
  <c r="P28" i="15"/>
  <c r="O54" i="15"/>
  <c r="AC25" i="9" s="1"/>
  <c r="S28" i="15"/>
  <c r="Q28" i="15"/>
  <c r="AJ39" i="16"/>
  <c r="H61" i="9"/>
  <c r="G57" i="9"/>
  <c r="C10" i="9"/>
  <c r="G50" i="9" s="1"/>
  <c r="U50" i="9"/>
  <c r="V50" i="9"/>
  <c r="P57" i="9"/>
  <c r="AC30" i="16"/>
  <c r="H10" i="9"/>
  <c r="O48" i="16" s="1"/>
  <c r="F61" i="9"/>
  <c r="AQ48" i="16"/>
  <c r="E61" i="9"/>
  <c r="G58" i="9"/>
  <c r="I58" i="9"/>
  <c r="AJ57" i="16"/>
  <c r="AE47" i="9"/>
  <c r="AG50" i="9"/>
  <c r="AE44" i="9"/>
  <c r="AC47" i="9"/>
  <c r="AG47" i="9"/>
  <c r="AD47" i="9"/>
  <c r="V47" i="9"/>
  <c r="F10" i="9"/>
  <c r="V30" i="16" s="1"/>
  <c r="L51" i="15"/>
  <c r="X22" i="9" s="1"/>
  <c r="AD50" i="9"/>
  <c r="W47" i="9"/>
  <c r="W50" i="9"/>
  <c r="AF50" i="9"/>
  <c r="F57" i="9"/>
  <c r="O57" i="9"/>
  <c r="Q57" i="9"/>
  <c r="M57" i="9"/>
  <c r="AJ14" i="16"/>
  <c r="I57" i="9"/>
  <c r="H57" i="9"/>
  <c r="I54" i="15"/>
  <c r="U25" i="9" s="1"/>
  <c r="I51" i="15"/>
  <c r="U22" i="9" s="1"/>
  <c r="M51" i="15"/>
  <c r="Y22" i="9" s="1"/>
  <c r="K51" i="15"/>
  <c r="W22" i="9" s="1"/>
  <c r="AG48" i="9"/>
  <c r="AF48" i="9"/>
  <c r="S34" i="4"/>
  <c r="AC57" i="16"/>
  <c r="E57" i="9"/>
  <c r="AC21" i="16"/>
  <c r="W41" i="9"/>
  <c r="W43" i="9"/>
  <c r="L54" i="15"/>
  <c r="X25" i="9" s="1"/>
  <c r="K54" i="15"/>
  <c r="W25" i="9" s="1"/>
  <c r="G53" i="15"/>
  <c r="Q24" i="9" s="1"/>
  <c r="AQ57" i="16"/>
  <c r="E58" i="9"/>
  <c r="F58" i="9"/>
  <c r="G55" i="9"/>
  <c r="AC48" i="16"/>
  <c r="U47" i="9"/>
  <c r="J54" i="15"/>
  <c r="V25" i="9" s="1"/>
  <c r="AJ30" i="16"/>
  <c r="F60" i="9"/>
  <c r="W44" i="9"/>
  <c r="V42" i="9"/>
  <c r="S51" i="15"/>
  <c r="AG22" i="9" s="1"/>
  <c r="AQ39" i="16"/>
  <c r="AJ48" i="16"/>
  <c r="H58" i="9"/>
  <c r="G34" i="4"/>
  <c r="AC48" i="9"/>
  <c r="AC14" i="16"/>
  <c r="AG42" i="9"/>
  <c r="V44" i="9"/>
  <c r="V41" i="9"/>
  <c r="Y43" i="9"/>
  <c r="AF43" i="9"/>
  <c r="AF41" i="9"/>
  <c r="AE42" i="9"/>
  <c r="AG44" i="9"/>
  <c r="Y41" i="9"/>
  <c r="K22" i="9" a="1"/>
  <c r="K25" i="9" s="1"/>
  <c r="K38" i="9" s="1"/>
  <c r="M53" i="15"/>
  <c r="Y24" i="9" s="1"/>
  <c r="L53" i="15"/>
  <c r="X24" i="9" s="1"/>
  <c r="I53" i="15"/>
  <c r="U24" i="9" s="1"/>
  <c r="J53" i="15"/>
  <c r="V24" i="9" s="1"/>
  <c r="F24" i="9" s="1"/>
  <c r="AJ31" i="16" s="1"/>
  <c r="F53" i="15"/>
  <c r="P24" i="9" s="1"/>
  <c r="Q51" i="15"/>
  <c r="AE22" i="9" s="1"/>
  <c r="F55" i="9"/>
  <c r="S54" i="15"/>
  <c r="AG25" i="9" s="1"/>
  <c r="S43" i="7"/>
  <c r="P54" i="15"/>
  <c r="AD25" i="9" s="1"/>
  <c r="R54" i="15"/>
  <c r="AF25" i="9" s="1"/>
  <c r="P51" i="15"/>
  <c r="AD22" i="9" s="1"/>
  <c r="O51" i="15"/>
  <c r="AC22" i="9" s="1"/>
  <c r="AF42" i="9"/>
  <c r="Y42" i="9"/>
  <c r="AE41" i="9"/>
  <c r="AG41" i="9"/>
  <c r="E33" i="9"/>
  <c r="D54" i="15"/>
  <c r="N25" i="9" s="1"/>
  <c r="F54" i="15"/>
  <c r="P25" i="9" s="1"/>
  <c r="C54" i="15"/>
  <c r="M25" i="9" s="1"/>
  <c r="I25" i="9"/>
  <c r="AQ58" i="16" s="1"/>
  <c r="E54" i="15"/>
  <c r="O25" i="9" s="1"/>
  <c r="C53" i="15"/>
  <c r="M24" i="9" s="1"/>
  <c r="E53" i="15"/>
  <c r="O24" i="9" s="1"/>
  <c r="G24" i="9" s="1"/>
  <c r="AJ40" i="16" s="1"/>
  <c r="H60" i="9"/>
  <c r="G48" i="9"/>
  <c r="H55" i="9"/>
  <c r="AE48" i="9"/>
  <c r="E55" i="9"/>
  <c r="H52" i="9"/>
  <c r="X47" i="9"/>
  <c r="S22" i="9" a="1"/>
  <c r="S24" i="9" s="1"/>
  <c r="S37" i="9" s="1"/>
  <c r="M43" i="7"/>
  <c r="L52" i="15"/>
  <c r="X23" i="9" s="1"/>
  <c r="K52" i="15"/>
  <c r="W23" i="9" s="1"/>
  <c r="J52" i="15"/>
  <c r="V23" i="9" s="1"/>
  <c r="I55" i="9"/>
  <c r="E60" i="9"/>
  <c r="U70" i="9"/>
  <c r="E27" i="9"/>
  <c r="V74" i="9"/>
  <c r="M76" i="9"/>
  <c r="M70" i="9"/>
  <c r="M48" i="9"/>
  <c r="O48" i="9"/>
  <c r="H48" i="9"/>
  <c r="H51" i="9"/>
  <c r="I51" i="9"/>
  <c r="M51" i="9"/>
  <c r="P48" i="9"/>
  <c r="O51" i="9"/>
  <c r="P51" i="9"/>
  <c r="G49" i="9"/>
  <c r="I49" i="9"/>
  <c r="H49" i="9"/>
  <c r="I48" i="9"/>
  <c r="G51" i="9"/>
  <c r="F48" i="9"/>
  <c r="F51" i="9"/>
  <c r="N51" i="9"/>
  <c r="Q48" i="9"/>
  <c r="C29" i="15"/>
  <c r="D29" i="15"/>
  <c r="E29" i="15"/>
  <c r="F29" i="15"/>
  <c r="G29" i="15"/>
  <c r="N48" i="9"/>
  <c r="Q51" i="9"/>
  <c r="V39" i="16"/>
  <c r="AQ14" i="16"/>
  <c r="F49" i="9"/>
  <c r="E52" i="9"/>
  <c r="I60" i="9"/>
  <c r="G60" i="9"/>
  <c r="U74" i="9"/>
  <c r="I52" i="9"/>
  <c r="E49" i="9"/>
  <c r="G52" i="9"/>
  <c r="R29" i="15"/>
  <c r="V70" i="9"/>
  <c r="E48" i="9"/>
  <c r="F52" i="9"/>
  <c r="AD54" i="9"/>
  <c r="AE54" i="9"/>
  <c r="AC54" i="9"/>
  <c r="AF54" i="9"/>
  <c r="AG54" i="9"/>
  <c r="N72" i="9"/>
  <c r="N70" i="9"/>
  <c r="O39" i="16"/>
  <c r="N76" i="9"/>
  <c r="C31" i="9"/>
  <c r="M74" i="9"/>
  <c r="C33" i="9"/>
  <c r="U76" i="9"/>
  <c r="V76" i="9"/>
  <c r="AC76" i="9"/>
  <c r="AC72" i="9"/>
  <c r="AC70" i="9"/>
  <c r="AE33" i="9"/>
  <c r="AD76" i="9"/>
  <c r="X27" i="9"/>
  <c r="W70" i="9"/>
  <c r="X31" i="9"/>
  <c r="W74" i="9"/>
  <c r="AE27" i="9"/>
  <c r="AD70" i="9"/>
  <c r="X29" i="9"/>
  <c r="W72" i="9"/>
  <c r="AE29" i="9"/>
  <c r="AD72" i="9"/>
  <c r="AF31" i="9"/>
  <c r="AE74" i="9"/>
  <c r="X33" i="9"/>
  <c r="W76" i="9"/>
  <c r="E72" i="9"/>
  <c r="G56" i="9"/>
  <c r="E56" i="9"/>
  <c r="I56" i="9"/>
  <c r="F56" i="9"/>
  <c r="H56" i="9"/>
  <c r="F53" i="9"/>
  <c r="H53" i="9"/>
  <c r="I53" i="9"/>
  <c r="E53" i="9"/>
  <c r="G53" i="9"/>
  <c r="H59" i="9"/>
  <c r="F59" i="9"/>
  <c r="E59" i="9"/>
  <c r="G59" i="9"/>
  <c r="I59" i="9"/>
  <c r="H41" i="9"/>
  <c r="H44" i="9"/>
  <c r="H43" i="9"/>
  <c r="C27" i="9"/>
  <c r="H42" i="9"/>
  <c r="F40" i="9"/>
  <c r="N42" i="9"/>
  <c r="N43" i="9"/>
  <c r="N44" i="9"/>
  <c r="N41" i="9"/>
  <c r="AC43" i="9"/>
  <c r="AC44" i="9"/>
  <c r="AC41" i="9"/>
  <c r="AC42" i="9"/>
  <c r="G40" i="9"/>
  <c r="H37" i="16" s="1"/>
  <c r="O42" i="9"/>
  <c r="O43" i="9"/>
  <c r="O44" i="9"/>
  <c r="O41" i="9"/>
  <c r="U43" i="9"/>
  <c r="U44" i="9"/>
  <c r="U41" i="9"/>
  <c r="U42" i="9"/>
  <c r="M43" i="9"/>
  <c r="M44" i="9"/>
  <c r="M41" i="9"/>
  <c r="M42" i="9"/>
  <c r="I40" i="9"/>
  <c r="H55" i="16" s="1"/>
  <c r="Q43" i="9"/>
  <c r="Q44" i="9"/>
  <c r="Q41" i="9"/>
  <c r="Q42" i="9"/>
  <c r="M68" i="9"/>
  <c r="C28" i="9"/>
  <c r="AC16" i="16" s="1"/>
  <c r="AA30" i="9"/>
  <c r="AA26" i="9"/>
  <c r="B17" i="15"/>
  <c r="B20" i="15"/>
  <c r="B19" i="15"/>
  <c r="B18" i="15"/>
  <c r="B16" i="15"/>
  <c r="M16" i="15" s="1"/>
  <c r="N31" i="9"/>
  <c r="E31" i="9"/>
  <c r="C32" i="9"/>
  <c r="AC68" i="9"/>
  <c r="AA28" i="9"/>
  <c r="F33" i="9"/>
  <c r="O33" i="9"/>
  <c r="C26" i="9"/>
  <c r="AD68" i="9"/>
  <c r="AA32" i="9"/>
  <c r="V68" i="9"/>
  <c r="U68" i="9"/>
  <c r="W68" i="9"/>
  <c r="C30" i="9"/>
  <c r="O27" i="9"/>
  <c r="F27" i="9"/>
  <c r="O29" i="9"/>
  <c r="F29" i="9"/>
  <c r="F72" i="9" s="1"/>
  <c r="E40" i="9"/>
  <c r="I10" i="9"/>
  <c r="V57" i="16" s="1"/>
  <c r="E10" i="9"/>
  <c r="V21" i="16" s="1"/>
  <c r="E18" i="23"/>
  <c r="S25" i="8"/>
  <c r="AA22" i="9" a="1"/>
  <c r="AA24" i="9" s="1"/>
  <c r="Q29" i="15"/>
  <c r="O29" i="15"/>
  <c r="S29" i="15"/>
  <c r="O52" i="15"/>
  <c r="AC23" i="9" s="1"/>
  <c r="S52" i="15"/>
  <c r="AG23" i="9" s="1"/>
  <c r="Q52" i="15"/>
  <c r="AE23" i="9" s="1"/>
  <c r="P52" i="15"/>
  <c r="AD23" i="9" s="1"/>
  <c r="R52" i="15"/>
  <c r="AF23" i="9" s="1"/>
  <c r="D51" i="15"/>
  <c r="N22" i="9" s="1"/>
  <c r="F51" i="15"/>
  <c r="P22" i="9" s="1"/>
  <c r="G51" i="15"/>
  <c r="Q22" i="9" s="1"/>
  <c r="E51" i="15"/>
  <c r="O22" i="9" s="1"/>
  <c r="C51" i="15"/>
  <c r="M22" i="9" s="1"/>
  <c r="G43" i="7"/>
  <c r="D11" i="17"/>
  <c r="N75" i="32" l="1"/>
  <c r="N59" i="32"/>
  <c r="N71" i="32"/>
  <c r="N67" i="32"/>
  <c r="N63" i="32"/>
  <c r="D18" i="25"/>
  <c r="D22" i="25" s="1"/>
  <c r="D27" i="25" s="1"/>
  <c r="C18" i="26"/>
  <c r="C22" i="26" s="1"/>
  <c r="C27" i="26" s="1"/>
  <c r="I71" i="30"/>
  <c r="U71" i="30"/>
  <c r="M71" i="30"/>
  <c r="E71" i="30"/>
  <c r="Q71" i="30"/>
  <c r="G25" i="9"/>
  <c r="AQ40" i="16" s="1"/>
  <c r="F25" i="9"/>
  <c r="AQ31" i="16" s="1"/>
  <c r="I23" i="9"/>
  <c r="AC58" i="16" s="1"/>
  <c r="AG57" i="16"/>
  <c r="C22" i="23"/>
  <c r="C27" i="23" s="1"/>
  <c r="E18" i="24"/>
  <c r="E22" i="24" s="1"/>
  <c r="E27" i="24" s="1"/>
  <c r="AL21" i="16"/>
  <c r="AU57" i="16"/>
  <c r="H25" i="9"/>
  <c r="AQ49" i="16" s="1"/>
  <c r="AU58" i="16" s="1"/>
  <c r="AU39" i="16"/>
  <c r="AS30" i="16"/>
  <c r="H23" i="9"/>
  <c r="AC49" i="16" s="1"/>
  <c r="F23" i="9"/>
  <c r="AC31" i="16" s="1"/>
  <c r="AG31" i="16" s="1"/>
  <c r="G23" i="9"/>
  <c r="AC40" i="16" s="1"/>
  <c r="AE21" i="16"/>
  <c r="AL48" i="16"/>
  <c r="AL30" i="16"/>
  <c r="I24" i="9"/>
  <c r="AJ58" i="16" s="1"/>
  <c r="V48" i="16"/>
  <c r="Z48" i="16" s="1"/>
  <c r="AG39" i="16"/>
  <c r="V14" i="16"/>
  <c r="X30" i="16" s="1"/>
  <c r="G47" i="9"/>
  <c r="O14" i="16"/>
  <c r="Q39" i="16" s="1"/>
  <c r="AG30" i="16"/>
  <c r="H50" i="9"/>
  <c r="H47" i="9"/>
  <c r="AN39" i="16"/>
  <c r="F47" i="9"/>
  <c r="F50" i="9"/>
  <c r="O30" i="16"/>
  <c r="AL57" i="16"/>
  <c r="AL39" i="16"/>
  <c r="E25" i="9"/>
  <c r="AQ22" i="16" s="1"/>
  <c r="AN57" i="16"/>
  <c r="H24" i="9"/>
  <c r="AJ49" i="16" s="1"/>
  <c r="AN49" i="16" s="1"/>
  <c r="AG48" i="16"/>
  <c r="AN30" i="16"/>
  <c r="S25" i="9"/>
  <c r="S38" i="9" s="1"/>
  <c r="AU48" i="16"/>
  <c r="AN48" i="16"/>
  <c r="AE57" i="16"/>
  <c r="AE39" i="16"/>
  <c r="AE30" i="16"/>
  <c r="AE48" i="16"/>
  <c r="K22" i="9"/>
  <c r="K35" i="9" s="1"/>
  <c r="K23" i="9"/>
  <c r="K36" i="9" s="1"/>
  <c r="K24" i="9"/>
  <c r="E24" i="9"/>
  <c r="AJ22" i="16" s="1"/>
  <c r="AN31" i="16" s="1"/>
  <c r="E76" i="9"/>
  <c r="AN40" i="16"/>
  <c r="S22" i="9"/>
  <c r="S35" i="9" s="1"/>
  <c r="AS57" i="16"/>
  <c r="S23" i="9"/>
  <c r="S36" i="9" s="1"/>
  <c r="AA37" i="9"/>
  <c r="Z39" i="16"/>
  <c r="Q16" i="15"/>
  <c r="AJ16" i="16"/>
  <c r="AQ16" i="16"/>
  <c r="AS39" i="16"/>
  <c r="L16" i="15"/>
  <c r="AS21" i="16"/>
  <c r="AS48" i="16"/>
  <c r="Z30" i="16"/>
  <c r="F76" i="9"/>
  <c r="V16" i="16"/>
  <c r="O72" i="9"/>
  <c r="E74" i="9"/>
  <c r="O70" i="9"/>
  <c r="O76" i="9"/>
  <c r="O21" i="16"/>
  <c r="O57" i="16"/>
  <c r="B22" i="23"/>
  <c r="B27" i="23"/>
  <c r="N68" i="9"/>
  <c r="N74" i="9"/>
  <c r="Y33" i="9"/>
  <c r="X76" i="9"/>
  <c r="Y29" i="9"/>
  <c r="X72" i="9"/>
  <c r="AF27" i="9"/>
  <c r="AE70" i="9"/>
  <c r="Y27" i="9"/>
  <c r="X70" i="9"/>
  <c r="X68" i="9"/>
  <c r="AE68" i="9"/>
  <c r="AF29" i="9"/>
  <c r="AE72" i="9"/>
  <c r="Y31" i="9"/>
  <c r="X74" i="9"/>
  <c r="AG31" i="9"/>
  <c r="AF74" i="9"/>
  <c r="AF33" i="9"/>
  <c r="AE76" i="9"/>
  <c r="D22" i="23"/>
  <c r="D27" i="23" s="1"/>
  <c r="E70" i="9"/>
  <c r="F70" i="9"/>
  <c r="E50" i="9"/>
  <c r="I50" i="9"/>
  <c r="E68" i="9"/>
  <c r="I41" i="9"/>
  <c r="F43" i="9"/>
  <c r="I43" i="9"/>
  <c r="G44" i="9"/>
  <c r="F41" i="9"/>
  <c r="G42" i="9"/>
  <c r="I44" i="9"/>
  <c r="E41" i="9"/>
  <c r="G41" i="9"/>
  <c r="F42" i="9"/>
  <c r="I42" i="9"/>
  <c r="E43" i="9"/>
  <c r="G43" i="9"/>
  <c r="F44" i="9"/>
  <c r="E44" i="9"/>
  <c r="D22" i="24"/>
  <c r="D27" i="24" s="1"/>
  <c r="C22" i="24"/>
  <c r="C27" i="24" s="1"/>
  <c r="H28" i="16"/>
  <c r="C22" i="25"/>
  <c r="C27" i="25" s="1"/>
  <c r="E22" i="23"/>
  <c r="E27" i="23" s="1"/>
  <c r="E42" i="9"/>
  <c r="G29" i="9"/>
  <c r="G72" i="9" s="1"/>
  <c r="P29" i="9"/>
  <c r="P17" i="15"/>
  <c r="AD26" i="9" s="1"/>
  <c r="O17" i="15"/>
  <c r="AC26" i="9" s="1"/>
  <c r="M17" i="15"/>
  <c r="Y26" i="9" s="1"/>
  <c r="Y69" i="9" s="1"/>
  <c r="G17" i="15"/>
  <c r="Q26" i="9" s="1"/>
  <c r="Q69" i="9" s="1"/>
  <c r="Q17" i="15"/>
  <c r="AE26" i="9" s="1"/>
  <c r="AE69" i="9" s="1"/>
  <c r="J17" i="15"/>
  <c r="V26" i="9" s="1"/>
  <c r="D17" i="15"/>
  <c r="N26" i="9" s="1"/>
  <c r="C17" i="15"/>
  <c r="M26" i="9" s="1"/>
  <c r="L17" i="15"/>
  <c r="X26" i="9" s="1"/>
  <c r="X69" i="9" s="1"/>
  <c r="S17" i="15"/>
  <c r="AG26" i="9" s="1"/>
  <c r="AG69" i="9" s="1"/>
  <c r="F17" i="15"/>
  <c r="P26" i="9" s="1"/>
  <c r="P69" i="9" s="1"/>
  <c r="K17" i="15"/>
  <c r="W26" i="9" s="1"/>
  <c r="R17" i="15"/>
  <c r="AF26" i="9" s="1"/>
  <c r="AF69" i="9" s="1"/>
  <c r="E17" i="15"/>
  <c r="O26" i="9" s="1"/>
  <c r="O69" i="9" s="1"/>
  <c r="I17" i="15"/>
  <c r="U26" i="9" s="1"/>
  <c r="O31" i="9"/>
  <c r="F31" i="9"/>
  <c r="P19" i="15"/>
  <c r="AD30" i="9" s="1"/>
  <c r="M19" i="15"/>
  <c r="Y30" i="9" s="1"/>
  <c r="Y73" i="9" s="1"/>
  <c r="G19" i="15"/>
  <c r="Q30" i="9" s="1"/>
  <c r="Q73" i="9" s="1"/>
  <c r="I19" i="15"/>
  <c r="U30" i="9" s="1"/>
  <c r="Q19" i="15"/>
  <c r="AE30" i="9" s="1"/>
  <c r="J19" i="15"/>
  <c r="V30" i="9" s="1"/>
  <c r="D19" i="15"/>
  <c r="N30" i="9" s="1"/>
  <c r="N73" i="9" s="1"/>
  <c r="L19" i="15"/>
  <c r="X30" i="9" s="1"/>
  <c r="X73" i="9" s="1"/>
  <c r="C19" i="15"/>
  <c r="M30" i="9" s="1"/>
  <c r="K19" i="15"/>
  <c r="W30" i="9" s="1"/>
  <c r="R19" i="15"/>
  <c r="AF30" i="9" s="1"/>
  <c r="AF73" i="9" s="1"/>
  <c r="O19" i="15"/>
  <c r="AC30" i="9" s="1"/>
  <c r="E19" i="15"/>
  <c r="O30" i="9" s="1"/>
  <c r="O73" i="9" s="1"/>
  <c r="S19" i="15"/>
  <c r="AG30" i="9" s="1"/>
  <c r="AG73" i="9" s="1"/>
  <c r="F19" i="15"/>
  <c r="P30" i="9" s="1"/>
  <c r="P73" i="9" s="1"/>
  <c r="O16" i="15"/>
  <c r="G16" i="15"/>
  <c r="D16" i="15"/>
  <c r="C16" i="15"/>
  <c r="F16" i="15"/>
  <c r="I16" i="15"/>
  <c r="E16" i="15"/>
  <c r="S16" i="15"/>
  <c r="J16" i="15"/>
  <c r="G33" i="9"/>
  <c r="G76" i="9" s="1"/>
  <c r="P33" i="9"/>
  <c r="P18" i="15"/>
  <c r="AD28" i="9" s="1"/>
  <c r="M18" i="15"/>
  <c r="Y28" i="9" s="1"/>
  <c r="Y71" i="9" s="1"/>
  <c r="G18" i="15"/>
  <c r="Q28" i="9" s="1"/>
  <c r="Q71" i="9" s="1"/>
  <c r="Q18" i="15"/>
  <c r="AE28" i="9" s="1"/>
  <c r="AE71" i="9" s="1"/>
  <c r="O18" i="15"/>
  <c r="AC28" i="9" s="1"/>
  <c r="J18" i="15"/>
  <c r="V28" i="9" s="1"/>
  <c r="D18" i="15"/>
  <c r="N28" i="9" s="1"/>
  <c r="S18" i="15"/>
  <c r="AG28" i="9" s="1"/>
  <c r="AG71" i="9" s="1"/>
  <c r="F18" i="15"/>
  <c r="P28" i="9" s="1"/>
  <c r="P71" i="9" s="1"/>
  <c r="I18" i="15"/>
  <c r="U28" i="9" s="1"/>
  <c r="R18" i="15"/>
  <c r="AF28" i="9" s="1"/>
  <c r="AF71" i="9" s="1"/>
  <c r="E18" i="15"/>
  <c r="O28" i="9" s="1"/>
  <c r="O71" i="9" s="1"/>
  <c r="K18" i="15"/>
  <c r="W28" i="9" s="1"/>
  <c r="C18" i="15"/>
  <c r="M28" i="9" s="1"/>
  <c r="M36" i="9" s="1"/>
  <c r="L18" i="15"/>
  <c r="X28" i="9" s="1"/>
  <c r="X71" i="9" s="1"/>
  <c r="R16" i="15"/>
  <c r="P27" i="9"/>
  <c r="G27" i="9"/>
  <c r="G70" i="9" s="1"/>
  <c r="K16" i="15"/>
  <c r="P16" i="15"/>
  <c r="O16" i="16"/>
  <c r="P20" i="15"/>
  <c r="AD32" i="9" s="1"/>
  <c r="M20" i="15"/>
  <c r="Y32" i="9" s="1"/>
  <c r="Y75" i="9" s="1"/>
  <c r="G20" i="15"/>
  <c r="Q32" i="9" s="1"/>
  <c r="Q75" i="9" s="1"/>
  <c r="C20" i="15"/>
  <c r="M32" i="9" s="1"/>
  <c r="Q20" i="15"/>
  <c r="AE32" i="9" s="1"/>
  <c r="AE75" i="9" s="1"/>
  <c r="J20" i="15"/>
  <c r="V32" i="9" s="1"/>
  <c r="D20" i="15"/>
  <c r="N32" i="9" s="1"/>
  <c r="I20" i="15"/>
  <c r="U32" i="9" s="1"/>
  <c r="S20" i="15"/>
  <c r="AG32" i="9" s="1"/>
  <c r="AG75" i="9" s="1"/>
  <c r="F20" i="15"/>
  <c r="P32" i="9" s="1"/>
  <c r="P75" i="9" s="1"/>
  <c r="O20" i="15"/>
  <c r="AC32" i="9" s="1"/>
  <c r="AC38" i="9" s="1"/>
  <c r="L20" i="15"/>
  <c r="X32" i="9" s="1"/>
  <c r="X75" i="9" s="1"/>
  <c r="E20" i="15"/>
  <c r="O32" i="9" s="1"/>
  <c r="O75" i="9" s="1"/>
  <c r="K20" i="15"/>
  <c r="W32" i="9" s="1"/>
  <c r="R20" i="15"/>
  <c r="AF32" i="9" s="1"/>
  <c r="AF75" i="9" s="1"/>
  <c r="B22" i="25"/>
  <c r="B27" i="25" s="1"/>
  <c r="B22" i="24"/>
  <c r="B27" i="24" s="1"/>
  <c r="B22" i="26"/>
  <c r="B27" i="26" s="1"/>
  <c r="H19" i="16"/>
  <c r="I47" i="9"/>
  <c r="E47" i="9"/>
  <c r="AA23" i="9"/>
  <c r="F18" i="23"/>
  <c r="AA22" i="9"/>
  <c r="AA35" i="9" s="1"/>
  <c r="AA25" i="9"/>
  <c r="AC65" i="9"/>
  <c r="AG65" i="9"/>
  <c r="AF65" i="9"/>
  <c r="AE65" i="9"/>
  <c r="AD65" i="9"/>
  <c r="V65" i="9"/>
  <c r="Y65" i="9"/>
  <c r="U65" i="9"/>
  <c r="X65" i="9"/>
  <c r="W65" i="9"/>
  <c r="I22" i="9"/>
  <c r="V58" i="16" s="1"/>
  <c r="H22" i="9"/>
  <c r="V49" i="16" s="1"/>
  <c r="E22" i="9"/>
  <c r="V22" i="16" s="1"/>
  <c r="G22" i="9"/>
  <c r="V40" i="16" s="1"/>
  <c r="F22" i="9"/>
  <c r="V31" i="16" s="1"/>
  <c r="D12" i="17"/>
  <c r="B18" i="17" s="1"/>
  <c r="B22" i="17" s="1"/>
  <c r="B27" i="17" s="1"/>
  <c r="K67" i="32" l="1"/>
  <c r="K63" i="32"/>
  <c r="K75" i="32"/>
  <c r="K59" i="32"/>
  <c r="K71" i="32"/>
  <c r="L63" i="32"/>
  <c r="L59" i="32"/>
  <c r="L75" i="32"/>
  <c r="L71" i="32"/>
  <c r="L67" i="32"/>
  <c r="J71" i="32"/>
  <c r="J67" i="32"/>
  <c r="J63" i="32"/>
  <c r="J75" i="32"/>
  <c r="J59" i="32"/>
  <c r="M75" i="32"/>
  <c r="M59" i="32"/>
  <c r="M71" i="32"/>
  <c r="M67" i="32"/>
  <c r="M63" i="32"/>
  <c r="E18" i="25"/>
  <c r="E22" i="25" s="1"/>
  <c r="E27" i="25" s="1"/>
  <c r="F18" i="25"/>
  <c r="F22" i="25" s="1"/>
  <c r="F27" i="25" s="1"/>
  <c r="E70" i="30"/>
  <c r="U70" i="30"/>
  <c r="I70" i="30"/>
  <c r="Q70" i="30"/>
  <c r="M70" i="30"/>
  <c r="I67" i="30"/>
  <c r="U67" i="30"/>
  <c r="M67" i="30"/>
  <c r="E67" i="30"/>
  <c r="Q67" i="30"/>
  <c r="Q68" i="30"/>
  <c r="E68" i="30"/>
  <c r="M68" i="30"/>
  <c r="U68" i="30"/>
  <c r="I68" i="30"/>
  <c r="E69" i="30"/>
  <c r="M69" i="30"/>
  <c r="U69" i="30"/>
  <c r="Q69" i="30"/>
  <c r="I69" i="30"/>
  <c r="AU40" i="16"/>
  <c r="AU31" i="16"/>
  <c r="F18" i="24"/>
  <c r="F22" i="24" s="1"/>
  <c r="F27" i="24" s="1"/>
  <c r="AG58" i="16"/>
  <c r="E25" i="23"/>
  <c r="E30" i="23" s="1"/>
  <c r="E26" i="23"/>
  <c r="E31" i="23" s="1"/>
  <c r="D18" i="26"/>
  <c r="D22" i="26" s="1"/>
  <c r="D27" i="26" s="1"/>
  <c r="AU49" i="16"/>
  <c r="AG40" i="16"/>
  <c r="AG49" i="16"/>
  <c r="U66" i="9"/>
  <c r="X48" i="16"/>
  <c r="Z57" i="16"/>
  <c r="X57" i="16"/>
  <c r="X39" i="16"/>
  <c r="X21" i="16"/>
  <c r="Q48" i="16"/>
  <c r="Q57" i="16"/>
  <c r="AN58" i="16"/>
  <c r="Q21" i="16"/>
  <c r="Q30" i="16"/>
  <c r="V64" i="9"/>
  <c r="X66" i="9"/>
  <c r="X81" i="9" s="1"/>
  <c r="Y63" i="9"/>
  <c r="W66" i="9"/>
  <c r="Y66" i="9"/>
  <c r="V66" i="9"/>
  <c r="K34" i="9"/>
  <c r="K37" i="9"/>
  <c r="U63" i="9"/>
  <c r="V63" i="9"/>
  <c r="W63" i="9"/>
  <c r="X63" i="9"/>
  <c r="X78" i="9" s="1"/>
  <c r="X64" i="9"/>
  <c r="X79" i="9" s="1"/>
  <c r="U64" i="9"/>
  <c r="W64" i="9"/>
  <c r="Y64" i="9"/>
  <c r="S34" i="9"/>
  <c r="Z58" i="16"/>
  <c r="X35" i="9"/>
  <c r="Z49" i="16"/>
  <c r="AF38" i="9"/>
  <c r="AF35" i="9"/>
  <c r="AC75" i="9"/>
  <c r="Y35" i="9"/>
  <c r="AE36" i="9"/>
  <c r="Z31" i="16"/>
  <c r="O38" i="9"/>
  <c r="Z40" i="16"/>
  <c r="AE64" i="9"/>
  <c r="AE79" i="9" s="1"/>
  <c r="AA36" i="9"/>
  <c r="AF66" i="9"/>
  <c r="AA38" i="9"/>
  <c r="AE38" i="9"/>
  <c r="U75" i="9"/>
  <c r="U38" i="9"/>
  <c r="M75" i="9"/>
  <c r="M38" i="9"/>
  <c r="W71" i="9"/>
  <c r="W36" i="9"/>
  <c r="AC71" i="9"/>
  <c r="AC36" i="9"/>
  <c r="AD71" i="9"/>
  <c r="AD36" i="9"/>
  <c r="O37" i="9"/>
  <c r="W69" i="9"/>
  <c r="W35" i="9"/>
  <c r="M69" i="9"/>
  <c r="M35" i="9"/>
  <c r="AF36" i="9"/>
  <c r="O35" i="9"/>
  <c r="X36" i="9"/>
  <c r="N75" i="9"/>
  <c r="N38" i="9"/>
  <c r="W73" i="9"/>
  <c r="W80" i="9" s="1"/>
  <c r="W37" i="9"/>
  <c r="V73" i="9"/>
  <c r="V80" i="9" s="1"/>
  <c r="V37" i="9"/>
  <c r="U69" i="9"/>
  <c r="U35" i="9"/>
  <c r="N69" i="9"/>
  <c r="N35" i="9"/>
  <c r="AF37" i="9"/>
  <c r="AE35" i="9"/>
  <c r="W75" i="9"/>
  <c r="W38" i="9"/>
  <c r="V75" i="9"/>
  <c r="V38" i="9"/>
  <c r="N71" i="9"/>
  <c r="N36" i="9"/>
  <c r="M73" i="9"/>
  <c r="M37" i="9"/>
  <c r="AE73" i="9"/>
  <c r="AE80" i="9" s="1"/>
  <c r="AE37" i="9"/>
  <c r="AD73" i="9"/>
  <c r="AD80" i="9" s="1"/>
  <c r="AD37" i="9"/>
  <c r="V69" i="9"/>
  <c r="V35" i="9"/>
  <c r="AC69" i="9"/>
  <c r="AC35" i="9"/>
  <c r="N37" i="9"/>
  <c r="AD75" i="9"/>
  <c r="AD38" i="9"/>
  <c r="U71" i="9"/>
  <c r="U36" i="9"/>
  <c r="V71" i="9"/>
  <c r="V36" i="9"/>
  <c r="AC73" i="9"/>
  <c r="AC80" i="9" s="1"/>
  <c r="AC87" i="9" s="1"/>
  <c r="AC37" i="9"/>
  <c r="U73" i="9"/>
  <c r="U80" i="9" s="1"/>
  <c r="U87" i="9" s="1"/>
  <c r="U37" i="9"/>
  <c r="AD69" i="9"/>
  <c r="AD35" i="9"/>
  <c r="O36" i="9"/>
  <c r="X37" i="9"/>
  <c r="X38" i="9"/>
  <c r="Y76" i="9"/>
  <c r="Y38" i="9"/>
  <c r="P70" i="9"/>
  <c r="P35" i="9"/>
  <c r="AG74" i="9"/>
  <c r="AG80" i="9" s="1"/>
  <c r="AG37" i="9"/>
  <c r="Y72" i="9"/>
  <c r="Y36" i="9"/>
  <c r="Y74" i="9"/>
  <c r="Y80" i="9" s="1"/>
  <c r="Y37" i="9"/>
  <c r="P72" i="9"/>
  <c r="P36" i="9"/>
  <c r="P76" i="9"/>
  <c r="P38" i="9"/>
  <c r="AF80" i="9"/>
  <c r="B25" i="24"/>
  <c r="B25" i="25"/>
  <c r="B30" i="24"/>
  <c r="B30" i="25"/>
  <c r="B30" i="17"/>
  <c r="B25" i="17"/>
  <c r="B30" i="26"/>
  <c r="B25" i="26"/>
  <c r="B30" i="23"/>
  <c r="B25" i="23"/>
  <c r="E23" i="24"/>
  <c r="D23" i="24"/>
  <c r="D23" i="25"/>
  <c r="C23" i="24"/>
  <c r="C23" i="26"/>
  <c r="C23" i="23"/>
  <c r="C28" i="23" s="1"/>
  <c r="C23" i="25"/>
  <c r="D23" i="23"/>
  <c r="D28" i="23" s="1"/>
  <c r="B29" i="25"/>
  <c r="B24" i="25"/>
  <c r="B24" i="24"/>
  <c r="B29" i="24"/>
  <c r="B29" i="17"/>
  <c r="B24" i="17"/>
  <c r="B24" i="26"/>
  <c r="B29" i="23"/>
  <c r="B24" i="23"/>
  <c r="B29" i="26"/>
  <c r="B31" i="25"/>
  <c r="B26" i="25"/>
  <c r="B31" i="24"/>
  <c r="B26" i="24"/>
  <c r="B31" i="26"/>
  <c r="B31" i="17"/>
  <c r="B26" i="17"/>
  <c r="B26" i="26"/>
  <c r="B31" i="23"/>
  <c r="B26" i="23"/>
  <c r="B28" i="24"/>
  <c r="B28" i="25"/>
  <c r="B23" i="25"/>
  <c r="B23" i="24"/>
  <c r="B28" i="26"/>
  <c r="B28" i="17"/>
  <c r="B23" i="17"/>
  <c r="B23" i="26"/>
  <c r="B28" i="23"/>
  <c r="B23" i="23"/>
  <c r="D26" i="24"/>
  <c r="E26" i="24"/>
  <c r="D26" i="25"/>
  <c r="E23" i="23"/>
  <c r="E28" i="23" s="1"/>
  <c r="E28" i="9"/>
  <c r="AC23" i="16" s="1"/>
  <c r="AE23" i="16" s="1"/>
  <c r="M71" i="9"/>
  <c r="C26" i="25"/>
  <c r="C26" i="23"/>
  <c r="C31" i="23" s="1"/>
  <c r="C26" i="26"/>
  <c r="C26" i="24"/>
  <c r="D26" i="23"/>
  <c r="D31" i="23" s="1"/>
  <c r="E25" i="24"/>
  <c r="D25" i="24"/>
  <c r="D25" i="25"/>
  <c r="C24" i="23"/>
  <c r="C29" i="23" s="1"/>
  <c r="C24" i="24"/>
  <c r="C24" i="25"/>
  <c r="C24" i="26"/>
  <c r="D24" i="23"/>
  <c r="D29" i="23" s="1"/>
  <c r="D24" i="24"/>
  <c r="E24" i="24"/>
  <c r="D24" i="25"/>
  <c r="C25" i="26"/>
  <c r="C25" i="23"/>
  <c r="C30" i="23" s="1"/>
  <c r="C25" i="24"/>
  <c r="C25" i="25"/>
  <c r="D25" i="23"/>
  <c r="D30" i="23" s="1"/>
  <c r="E24" i="23"/>
  <c r="E29" i="23" s="1"/>
  <c r="F22" i="23"/>
  <c r="F27" i="23" s="1"/>
  <c r="F24" i="23"/>
  <c r="F29" i="23" s="1"/>
  <c r="F23" i="23"/>
  <c r="F28" i="23" s="1"/>
  <c r="F25" i="23"/>
  <c r="F30" i="23" s="1"/>
  <c r="F26" i="23"/>
  <c r="F31" i="23" s="1"/>
  <c r="O68" i="9"/>
  <c r="O74" i="9"/>
  <c r="AG29" i="9"/>
  <c r="AF72" i="9"/>
  <c r="Y70" i="9"/>
  <c r="Y68" i="9"/>
  <c r="X80" i="9"/>
  <c r="AG33" i="9"/>
  <c r="AF76" i="9"/>
  <c r="AG27" i="9"/>
  <c r="AF70" i="9"/>
  <c r="AF68" i="9"/>
  <c r="F68" i="9"/>
  <c r="F74" i="9"/>
  <c r="H28" i="9"/>
  <c r="F32" i="9"/>
  <c r="AQ32" i="16" s="1"/>
  <c r="I32" i="9"/>
  <c r="F30" i="9"/>
  <c r="AJ32" i="16" s="1"/>
  <c r="I30" i="9"/>
  <c r="E30" i="9"/>
  <c r="AJ23" i="16" s="1"/>
  <c r="G30" i="9"/>
  <c r="H32" i="9"/>
  <c r="G32" i="9"/>
  <c r="AQ41" i="16" s="1"/>
  <c r="AE67" i="9"/>
  <c r="AD67" i="9"/>
  <c r="AD34" i="9"/>
  <c r="AE34" i="9"/>
  <c r="H30" i="9"/>
  <c r="AF34" i="9"/>
  <c r="AC67" i="9"/>
  <c r="AF67" i="9"/>
  <c r="M34" i="9"/>
  <c r="G28" i="9"/>
  <c r="AC41" i="16" s="1"/>
  <c r="H33" i="9"/>
  <c r="H76" i="9" s="1"/>
  <c r="Q33" i="9"/>
  <c r="Q38" i="9" s="1"/>
  <c r="G31" i="9"/>
  <c r="P31" i="9"/>
  <c r="P37" i="9" s="1"/>
  <c r="X34" i="9"/>
  <c r="X67" i="9"/>
  <c r="H26" i="9"/>
  <c r="P67" i="9"/>
  <c r="F26" i="9"/>
  <c r="N67" i="9"/>
  <c r="AG67" i="9"/>
  <c r="E32" i="9"/>
  <c r="AQ23" i="16" s="1"/>
  <c r="AS23" i="16" s="1"/>
  <c r="AC34" i="9"/>
  <c r="Q27" i="9"/>
  <c r="H27" i="9"/>
  <c r="H70" i="9" s="1"/>
  <c r="F28" i="9"/>
  <c r="AC32" i="16" s="1"/>
  <c r="I28" i="9"/>
  <c r="N34" i="9"/>
  <c r="W67" i="9"/>
  <c r="W34" i="9"/>
  <c r="E26" i="9"/>
  <c r="M67" i="9"/>
  <c r="I26" i="9"/>
  <c r="Q67" i="9"/>
  <c r="Q29" i="9"/>
  <c r="Q36" i="9" s="1"/>
  <c r="H29" i="9"/>
  <c r="H72" i="9" s="1"/>
  <c r="U67" i="9"/>
  <c r="U34" i="9"/>
  <c r="Y67" i="9"/>
  <c r="Y34" i="9"/>
  <c r="O34" i="9"/>
  <c r="G26" i="9"/>
  <c r="O67" i="9"/>
  <c r="V67" i="9"/>
  <c r="V34" i="9"/>
  <c r="AD63" i="9"/>
  <c r="AA34" i="9"/>
  <c r="AG64" i="9"/>
  <c r="AF64" i="9"/>
  <c r="AD64" i="9"/>
  <c r="AC64" i="9"/>
  <c r="AC66" i="9"/>
  <c r="S39" i="16"/>
  <c r="S48" i="16"/>
  <c r="S57" i="16"/>
  <c r="S30" i="16"/>
  <c r="AD66" i="9"/>
  <c r="AF63" i="9"/>
  <c r="AG66" i="9"/>
  <c r="G18" i="23"/>
  <c r="AE66" i="9"/>
  <c r="AE81" i="9" s="1"/>
  <c r="AE63" i="9"/>
  <c r="AE78" i="9" s="1"/>
  <c r="AG63" i="9"/>
  <c r="AC63" i="9"/>
  <c r="Q66" i="9"/>
  <c r="O66" i="9"/>
  <c r="O81" i="9" s="1"/>
  <c r="P66" i="9"/>
  <c r="C25" i="9"/>
  <c r="AQ15" i="16" s="1"/>
  <c r="N66" i="9"/>
  <c r="M66" i="9"/>
  <c r="O58" i="16"/>
  <c r="N65" i="9"/>
  <c r="N80" i="9" s="1"/>
  <c r="P65" i="9"/>
  <c r="O65" i="9"/>
  <c r="Q65" i="9"/>
  <c r="C24" i="9"/>
  <c r="AJ15" i="16" s="1"/>
  <c r="M65" i="9"/>
  <c r="O31" i="16"/>
  <c r="O49" i="16"/>
  <c r="N64" i="9"/>
  <c r="C23" i="9"/>
  <c r="AC15" i="16" s="1"/>
  <c r="O64" i="9"/>
  <c r="O79" i="9" s="1"/>
  <c r="P64" i="9"/>
  <c r="Q64" i="9"/>
  <c r="M64" i="9"/>
  <c r="O40" i="16"/>
  <c r="O22" i="16"/>
  <c r="N63" i="9"/>
  <c r="C22" i="9"/>
  <c r="V15" i="16" s="1"/>
  <c r="X49" i="16" s="1"/>
  <c r="O63" i="9"/>
  <c r="M63" i="9"/>
  <c r="P63" i="9"/>
  <c r="Q63" i="9"/>
  <c r="E24" i="25" l="1"/>
  <c r="E29" i="25" s="1"/>
  <c r="E25" i="25"/>
  <c r="E30" i="25" s="1"/>
  <c r="E26" i="25"/>
  <c r="E31" i="25" s="1"/>
  <c r="E23" i="25"/>
  <c r="E28" i="25" s="1"/>
  <c r="W79" i="9"/>
  <c r="X86" i="9" s="1"/>
  <c r="Y81" i="9"/>
  <c r="Y88" i="9" s="1"/>
  <c r="F25" i="25"/>
  <c r="F30" i="25" s="1"/>
  <c r="F23" i="24"/>
  <c r="F28" i="24" s="1"/>
  <c r="F26" i="25"/>
  <c r="F31" i="25" s="1"/>
  <c r="F24" i="25"/>
  <c r="F29" i="25" s="1"/>
  <c r="F23" i="25"/>
  <c r="F28" i="25" s="1"/>
  <c r="G18" i="24"/>
  <c r="F24" i="24"/>
  <c r="F29" i="24" s="1"/>
  <c r="F26" i="24"/>
  <c r="F31" i="24" s="1"/>
  <c r="G18" i="25"/>
  <c r="F25" i="24"/>
  <c r="F30" i="24" s="1"/>
  <c r="D24" i="26"/>
  <c r="D29" i="26" s="1"/>
  <c r="D26" i="26"/>
  <c r="D31" i="26" s="1"/>
  <c r="D23" i="26"/>
  <c r="D28" i="26" s="1"/>
  <c r="C18" i="17"/>
  <c r="D25" i="26"/>
  <c r="D30" i="26" s="1"/>
  <c r="E18" i="26"/>
  <c r="U81" i="9"/>
  <c r="U88" i="9" s="1"/>
  <c r="U79" i="9"/>
  <c r="U86" i="9" s="1"/>
  <c r="U78" i="9"/>
  <c r="U85" i="9" s="1"/>
  <c r="P79" i="9"/>
  <c r="P86" i="9" s="1"/>
  <c r="V79" i="9"/>
  <c r="V62" i="9"/>
  <c r="V77" i="9" s="1"/>
  <c r="Y78" i="9"/>
  <c r="Y85" i="9" s="1"/>
  <c r="W81" i="9"/>
  <c r="X88" i="9" s="1"/>
  <c r="V81" i="9"/>
  <c r="Y62" i="9"/>
  <c r="Y77" i="9" s="1"/>
  <c r="Y79" i="9"/>
  <c r="Y86" i="9" s="1"/>
  <c r="AF81" i="9"/>
  <c r="AF88" i="9" s="1"/>
  <c r="P78" i="9"/>
  <c r="V78" i="9"/>
  <c r="W62" i="9"/>
  <c r="W77" i="9" s="1"/>
  <c r="X62" i="9"/>
  <c r="X77" i="9" s="1"/>
  <c r="W78" i="9"/>
  <c r="X85" i="9" s="1"/>
  <c r="U62" i="9"/>
  <c r="M81" i="9"/>
  <c r="M88" i="9" s="1"/>
  <c r="M80" i="9"/>
  <c r="M87" i="9" s="1"/>
  <c r="AC81" i="9"/>
  <c r="AC88" i="9" s="1"/>
  <c r="AD79" i="9"/>
  <c r="AE86" i="9" s="1"/>
  <c r="N81" i="9"/>
  <c r="O88" i="9" s="1"/>
  <c r="AD81" i="9"/>
  <c r="AE88" i="9" s="1"/>
  <c r="O80" i="9"/>
  <c r="O87" i="9" s="1"/>
  <c r="AD78" i="9"/>
  <c r="AE85" i="9" s="1"/>
  <c r="AJ41" i="16"/>
  <c r="AJ42" i="16" s="1"/>
  <c r="N78" i="9"/>
  <c r="P81" i="9"/>
  <c r="P88" i="9" s="1"/>
  <c r="AC79" i="9"/>
  <c r="AC86" i="9" s="1"/>
  <c r="AE41" i="16"/>
  <c r="AG41" i="16"/>
  <c r="AG42" i="16" s="1"/>
  <c r="AC42" i="16"/>
  <c r="AE40" i="16"/>
  <c r="AE49" i="16"/>
  <c r="AE31" i="16"/>
  <c r="AE58" i="16"/>
  <c r="AE22" i="16"/>
  <c r="I69" i="9"/>
  <c r="AC78" i="9"/>
  <c r="AC85" i="9" s="1"/>
  <c r="AS41" i="16"/>
  <c r="AU41" i="16"/>
  <c r="AU42" i="16" s="1"/>
  <c r="AQ42" i="16"/>
  <c r="X31" i="16"/>
  <c r="X58" i="16"/>
  <c r="G69" i="9"/>
  <c r="V41" i="16"/>
  <c r="H69" i="9"/>
  <c r="V50" i="16"/>
  <c r="X22" i="16"/>
  <c r="X40" i="16"/>
  <c r="AL49" i="16"/>
  <c r="AL40" i="16"/>
  <c r="AL31" i="16"/>
  <c r="AL58" i="16"/>
  <c r="AL22" i="16"/>
  <c r="AS49" i="16"/>
  <c r="AS31" i="16"/>
  <c r="AS58" i="16"/>
  <c r="AS22" i="16"/>
  <c r="AS40" i="16"/>
  <c r="AQ50" i="16"/>
  <c r="AC50" i="16"/>
  <c r="AE87" i="9"/>
  <c r="V87" i="9"/>
  <c r="C30" i="26"/>
  <c r="C28" i="26"/>
  <c r="C29" i="26"/>
  <c r="C31" i="26"/>
  <c r="D29" i="25"/>
  <c r="C29" i="25"/>
  <c r="C28" i="25"/>
  <c r="D28" i="25"/>
  <c r="C30" i="25"/>
  <c r="D30" i="25"/>
  <c r="C31" i="25"/>
  <c r="D31" i="25"/>
  <c r="C30" i="24"/>
  <c r="E29" i="24"/>
  <c r="D29" i="24"/>
  <c r="C31" i="24"/>
  <c r="E31" i="24"/>
  <c r="D28" i="24"/>
  <c r="E28" i="24"/>
  <c r="C29" i="24"/>
  <c r="D30" i="24"/>
  <c r="E30" i="24"/>
  <c r="D31" i="24"/>
  <c r="C28" i="24"/>
  <c r="W87" i="9"/>
  <c r="AG32" i="16"/>
  <c r="AG33" i="16" s="1"/>
  <c r="AE32" i="16"/>
  <c r="AC33" i="16"/>
  <c r="AN32" i="16"/>
  <c r="AN33" i="16" s="1"/>
  <c r="AL32" i="16"/>
  <c r="AJ33" i="16"/>
  <c r="N79" i="9"/>
  <c r="O86" i="9" s="1"/>
  <c r="AL23" i="16"/>
  <c r="AJ24" i="16"/>
  <c r="AS32" i="16"/>
  <c r="AU32" i="16"/>
  <c r="AU33" i="16" s="1"/>
  <c r="AQ33" i="16"/>
  <c r="X87" i="9"/>
  <c r="M78" i="9"/>
  <c r="M85" i="9" s="1"/>
  <c r="E69" i="9"/>
  <c r="V23" i="16"/>
  <c r="F69" i="9"/>
  <c r="V32" i="16"/>
  <c r="AC24" i="16"/>
  <c r="G35" i="9"/>
  <c r="H75" i="9"/>
  <c r="H38" i="9"/>
  <c r="H71" i="9"/>
  <c r="H36" i="9"/>
  <c r="E75" i="9"/>
  <c r="E38" i="9"/>
  <c r="G71" i="9"/>
  <c r="G36" i="9"/>
  <c r="G73" i="9"/>
  <c r="G37" i="9"/>
  <c r="V17" i="16"/>
  <c r="C35" i="9"/>
  <c r="J58" i="32" s="1"/>
  <c r="AC17" i="16"/>
  <c r="C36" i="9"/>
  <c r="K58" i="32" s="1"/>
  <c r="I75" i="9"/>
  <c r="AG72" i="9"/>
  <c r="AG79" i="9" s="1"/>
  <c r="AG36" i="9"/>
  <c r="AF87" i="9"/>
  <c r="I71" i="9"/>
  <c r="F71" i="9"/>
  <c r="F36" i="9"/>
  <c r="F73" i="9"/>
  <c r="F37" i="9"/>
  <c r="AQ24" i="16"/>
  <c r="AG35" i="9"/>
  <c r="M79" i="9"/>
  <c r="M86" i="9" s="1"/>
  <c r="H73" i="9"/>
  <c r="AJ17" i="16"/>
  <c r="C37" i="9"/>
  <c r="L58" i="32" s="1"/>
  <c r="AQ17" i="16"/>
  <c r="C38" i="9"/>
  <c r="M58" i="32" s="1"/>
  <c r="Q70" i="9"/>
  <c r="Q78" i="9" s="1"/>
  <c r="Q35" i="9"/>
  <c r="G75" i="9"/>
  <c r="G38" i="9"/>
  <c r="E73" i="9"/>
  <c r="E37" i="9"/>
  <c r="F75" i="9"/>
  <c r="F38" i="9"/>
  <c r="AG76" i="9"/>
  <c r="AG81" i="9" s="1"/>
  <c r="AG38" i="9"/>
  <c r="F35" i="9"/>
  <c r="I73" i="9"/>
  <c r="AG87" i="9"/>
  <c r="E71" i="9"/>
  <c r="E36" i="9"/>
  <c r="H35" i="9"/>
  <c r="E35" i="9"/>
  <c r="AD87" i="9"/>
  <c r="G22" i="23"/>
  <c r="G27" i="23" s="1"/>
  <c r="G23" i="23"/>
  <c r="G28" i="23" s="1"/>
  <c r="G26" i="23"/>
  <c r="G31" i="23" s="1"/>
  <c r="G24" i="23"/>
  <c r="G29" i="23" s="1"/>
  <c r="G25" i="23"/>
  <c r="G30" i="23" s="1"/>
  <c r="AF78" i="9"/>
  <c r="AF85" i="9" s="1"/>
  <c r="O62" i="9"/>
  <c r="O77" i="9" s="1"/>
  <c r="O78" i="9"/>
  <c r="P34" i="9"/>
  <c r="P74" i="9"/>
  <c r="P80" i="9" s="1"/>
  <c r="Q62" i="9"/>
  <c r="AF79" i="9"/>
  <c r="AF86" i="9" s="1"/>
  <c r="AG70" i="9"/>
  <c r="AG78" i="9" s="1"/>
  <c r="AG68" i="9"/>
  <c r="I33" i="9"/>
  <c r="I76" i="9" s="1"/>
  <c r="Q76" i="9"/>
  <c r="Q81" i="9" s="1"/>
  <c r="Y87" i="9"/>
  <c r="AG62" i="9"/>
  <c r="I29" i="9"/>
  <c r="I72" i="9" s="1"/>
  <c r="Q72" i="9"/>
  <c r="Q79" i="9" s="1"/>
  <c r="AG34" i="9"/>
  <c r="AE62" i="9"/>
  <c r="AE77" i="9" s="1"/>
  <c r="AF62" i="9"/>
  <c r="AF77" i="9" s="1"/>
  <c r="AD62" i="9"/>
  <c r="AD77" i="9" s="1"/>
  <c r="P62" i="9"/>
  <c r="N62" i="9"/>
  <c r="N77" i="9" s="1"/>
  <c r="M62" i="9"/>
  <c r="M77" i="9" s="1"/>
  <c r="M84" i="9" s="1"/>
  <c r="AC62" i="9"/>
  <c r="AC77" i="9" s="1"/>
  <c r="AC84" i="9" s="1"/>
  <c r="G68" i="9"/>
  <c r="G74" i="9"/>
  <c r="E34" i="9"/>
  <c r="F34" i="9"/>
  <c r="G34" i="9"/>
  <c r="P68" i="9"/>
  <c r="O41" i="16"/>
  <c r="G67" i="9"/>
  <c r="E67" i="9"/>
  <c r="O23" i="16"/>
  <c r="Q23" i="16" s="1"/>
  <c r="O32" i="16"/>
  <c r="F67" i="9"/>
  <c r="I27" i="9"/>
  <c r="V59" i="16" s="1"/>
  <c r="Q31" i="9"/>
  <c r="Q37" i="9" s="1"/>
  <c r="H31" i="9"/>
  <c r="H37" i="9" s="1"/>
  <c r="I67" i="9"/>
  <c r="H67" i="9"/>
  <c r="C34" i="9"/>
  <c r="N58" i="32" s="1"/>
  <c r="H18" i="23"/>
  <c r="S49" i="16"/>
  <c r="E63" i="9"/>
  <c r="I63" i="9"/>
  <c r="H63" i="9"/>
  <c r="O15" i="16"/>
  <c r="Q49" i="16" s="1"/>
  <c r="G63" i="9"/>
  <c r="F63" i="9"/>
  <c r="I64" i="9"/>
  <c r="G64" i="9"/>
  <c r="E64" i="9"/>
  <c r="H64" i="9"/>
  <c r="F64" i="9"/>
  <c r="E65" i="9"/>
  <c r="F65" i="9"/>
  <c r="G65" i="9"/>
  <c r="I65" i="9"/>
  <c r="H65" i="9"/>
  <c r="S40" i="16"/>
  <c r="S31" i="16"/>
  <c r="G66" i="9"/>
  <c r="F66" i="9"/>
  <c r="H66" i="9"/>
  <c r="E66" i="9"/>
  <c r="I66" i="9"/>
  <c r="S58" i="16"/>
  <c r="D69" i="30" l="1"/>
  <c r="D67" i="30"/>
  <c r="D71" i="30"/>
  <c r="D70" i="30"/>
  <c r="D68" i="30"/>
  <c r="U77" i="9"/>
  <c r="U84" i="9" s="1"/>
  <c r="W86" i="9"/>
  <c r="F18" i="26"/>
  <c r="F24" i="26" s="1"/>
  <c r="F29" i="26" s="1"/>
  <c r="G22" i="25"/>
  <c r="G27" i="25" s="1"/>
  <c r="G25" i="25"/>
  <c r="G30" i="25" s="1"/>
  <c r="G24" i="25"/>
  <c r="G29" i="25" s="1"/>
  <c r="G23" i="25"/>
  <c r="G28" i="25" s="1"/>
  <c r="G26" i="25"/>
  <c r="G31" i="25" s="1"/>
  <c r="H18" i="24"/>
  <c r="H18" i="25"/>
  <c r="G22" i="24"/>
  <c r="G27" i="24" s="1"/>
  <c r="G26" i="24"/>
  <c r="G31" i="24" s="1"/>
  <c r="G23" i="24"/>
  <c r="G28" i="24" s="1"/>
  <c r="G25" i="24"/>
  <c r="G30" i="24" s="1"/>
  <c r="G24" i="24"/>
  <c r="G29" i="24" s="1"/>
  <c r="V88" i="9"/>
  <c r="E24" i="26"/>
  <c r="E29" i="26" s="1"/>
  <c r="E22" i="26"/>
  <c r="E27" i="26" s="1"/>
  <c r="E25" i="26"/>
  <c r="E30" i="26" s="1"/>
  <c r="E26" i="26"/>
  <c r="E31" i="26" s="1"/>
  <c r="E23" i="26"/>
  <c r="E28" i="26" s="1"/>
  <c r="D18" i="17"/>
  <c r="C22" i="17"/>
  <c r="C27" i="17" s="1"/>
  <c r="C26" i="17"/>
  <c r="C31" i="17" s="1"/>
  <c r="C23" i="17"/>
  <c r="C28" i="17" s="1"/>
  <c r="C24" i="17"/>
  <c r="C29" i="17" s="1"/>
  <c r="C25" i="17"/>
  <c r="C30" i="17" s="1"/>
  <c r="V86" i="9"/>
  <c r="Q86" i="9"/>
  <c r="W88" i="9"/>
  <c r="Q85" i="9"/>
  <c r="AG88" i="9"/>
  <c r="AS33" i="16"/>
  <c r="W85" i="9"/>
  <c r="V85" i="9"/>
  <c r="AE33" i="16"/>
  <c r="P77" i="9"/>
  <c r="P84" i="9" s="1"/>
  <c r="AL33" i="16"/>
  <c r="E80" i="9"/>
  <c r="N87" i="9"/>
  <c r="N88" i="9"/>
  <c r="AL41" i="16"/>
  <c r="AL42" i="16" s="1"/>
  <c r="F80" i="9"/>
  <c r="P87" i="9"/>
  <c r="O85" i="9"/>
  <c r="AD88" i="9"/>
  <c r="AS42" i="16"/>
  <c r="AN41" i="16"/>
  <c r="AN42" i="16" s="1"/>
  <c r="AQ59" i="16"/>
  <c r="AU59" i="16" s="1"/>
  <c r="AU60" i="16" s="1"/>
  <c r="AJ50" i="16"/>
  <c r="AN50" i="16" s="1"/>
  <c r="AN51" i="16" s="1"/>
  <c r="H79" i="9"/>
  <c r="F78" i="9"/>
  <c r="E79" i="9"/>
  <c r="G78" i="9"/>
  <c r="AD85" i="9"/>
  <c r="Q88" i="9"/>
  <c r="AD86" i="9"/>
  <c r="N85" i="9"/>
  <c r="X59" i="16"/>
  <c r="X60" i="16" s="1"/>
  <c r="Z59" i="16"/>
  <c r="Z60" i="16" s="1"/>
  <c r="V60" i="16"/>
  <c r="E81" i="9"/>
  <c r="N86" i="9"/>
  <c r="AS50" i="16"/>
  <c r="AS51" i="16" s="1"/>
  <c r="AU50" i="16"/>
  <c r="AU51" i="16" s="1"/>
  <c r="AQ51" i="16"/>
  <c r="Q31" i="16"/>
  <c r="H81" i="9"/>
  <c r="E78" i="9"/>
  <c r="O42" i="16"/>
  <c r="Q41" i="16"/>
  <c r="AC59" i="16"/>
  <c r="X50" i="16"/>
  <c r="X51" i="16" s="1"/>
  <c r="Z50" i="16"/>
  <c r="Z51" i="16" s="1"/>
  <c r="V51" i="16"/>
  <c r="Q40" i="16"/>
  <c r="AE42" i="16"/>
  <c r="AE50" i="16"/>
  <c r="AE51" i="16" s="1"/>
  <c r="AG50" i="16"/>
  <c r="AG51" i="16" s="1"/>
  <c r="AC51" i="16"/>
  <c r="Q58" i="16"/>
  <c r="X41" i="16"/>
  <c r="X42" i="16" s="1"/>
  <c r="Z41" i="16"/>
  <c r="Z42" i="16" s="1"/>
  <c r="V42" i="16"/>
  <c r="H78" i="9"/>
  <c r="O33" i="16"/>
  <c r="Q32" i="16"/>
  <c r="X23" i="16"/>
  <c r="X24" i="16" s="1"/>
  <c r="V24" i="16"/>
  <c r="F81" i="9"/>
  <c r="G79" i="9"/>
  <c r="I81" i="9"/>
  <c r="G81" i="9"/>
  <c r="I79" i="9"/>
  <c r="Z32" i="16"/>
  <c r="Z33" i="16" s="1"/>
  <c r="X32" i="16"/>
  <c r="X33" i="16" s="1"/>
  <c r="V33" i="16"/>
  <c r="I38" i="9"/>
  <c r="F79" i="9"/>
  <c r="I70" i="9"/>
  <c r="I78" i="9" s="1"/>
  <c r="I35" i="9"/>
  <c r="I36" i="9"/>
  <c r="AG85" i="9"/>
  <c r="O17" i="16"/>
  <c r="AL24" i="16"/>
  <c r="AS24" i="16"/>
  <c r="AE24" i="16"/>
  <c r="I18" i="23"/>
  <c r="H22" i="23"/>
  <c r="H27" i="23" s="1"/>
  <c r="H26" i="23"/>
  <c r="H31" i="23" s="1"/>
  <c r="H25" i="23"/>
  <c r="H30" i="23" s="1"/>
  <c r="H23" i="23"/>
  <c r="H28" i="23" s="1"/>
  <c r="H24" i="23"/>
  <c r="H29" i="23" s="1"/>
  <c r="G80" i="9"/>
  <c r="AG77" i="9"/>
  <c r="AG84" i="9" s="1"/>
  <c r="Y84" i="9"/>
  <c r="AG86" i="9"/>
  <c r="W84" i="9"/>
  <c r="P85" i="9"/>
  <c r="I31" i="9"/>
  <c r="AJ59" i="16" s="1"/>
  <c r="Q74" i="9"/>
  <c r="Q80" i="9" s="1"/>
  <c r="Q87" i="9" s="1"/>
  <c r="X84" i="9"/>
  <c r="G62" i="9"/>
  <c r="E62" i="9"/>
  <c r="H62" i="9"/>
  <c r="F62" i="9"/>
  <c r="I62" i="9"/>
  <c r="H34" i="9"/>
  <c r="H74" i="9"/>
  <c r="H80" i="9" s="1"/>
  <c r="F77" i="9"/>
  <c r="G77" i="9"/>
  <c r="E77" i="9"/>
  <c r="O50" i="16"/>
  <c r="Q50" i="16" s="1"/>
  <c r="O24" i="16"/>
  <c r="Q68" i="9"/>
  <c r="Q77" i="9" s="1"/>
  <c r="H68" i="9"/>
  <c r="H77" i="9" s="1"/>
  <c r="S41" i="16"/>
  <c r="S42" i="16" s="1"/>
  <c r="Q34" i="9"/>
  <c r="S32" i="16"/>
  <c r="S33" i="16" s="1"/>
  <c r="AF84" i="9"/>
  <c r="AD84" i="9"/>
  <c r="O84" i="9"/>
  <c r="AE84" i="9"/>
  <c r="Q22" i="16"/>
  <c r="Q24" i="16" s="1"/>
  <c r="N84" i="9"/>
  <c r="B25" i="27"/>
  <c r="K64" i="32" l="1"/>
  <c r="K66" i="32" s="1"/>
  <c r="K68" i="32"/>
  <c r="K70" i="32" s="1"/>
  <c r="L64" i="32"/>
  <c r="L66" i="32" s="1"/>
  <c r="L60" i="32"/>
  <c r="L62" i="32" s="1"/>
  <c r="N64" i="32"/>
  <c r="N66" i="32" s="1"/>
  <c r="K76" i="32"/>
  <c r="K78" i="32" s="1"/>
  <c r="M60" i="32"/>
  <c r="M62" i="32" s="1"/>
  <c r="M68" i="32"/>
  <c r="M70" i="32" s="1"/>
  <c r="J72" i="32"/>
  <c r="J74" i="32" s="1"/>
  <c r="J60" i="32"/>
  <c r="J62" i="32" s="1"/>
  <c r="K60" i="32"/>
  <c r="K62" i="32" s="1"/>
  <c r="N68" i="32"/>
  <c r="N70" i="32" s="1"/>
  <c r="K72" i="32"/>
  <c r="K74" i="32" s="1"/>
  <c r="L68" i="32"/>
  <c r="L70" i="32" s="1"/>
  <c r="M64" i="32"/>
  <c r="M66" i="32" s="1"/>
  <c r="J68" i="32"/>
  <c r="J70" i="32" s="1"/>
  <c r="L72" i="32"/>
  <c r="L74" i="32" s="1"/>
  <c r="N72" i="32"/>
  <c r="N74" i="32" s="1"/>
  <c r="N60" i="32"/>
  <c r="N62" i="32" s="1"/>
  <c r="J76" i="32"/>
  <c r="J78" i="32" s="1"/>
  <c r="M76" i="32"/>
  <c r="M78" i="32" s="1"/>
  <c r="M72" i="32"/>
  <c r="M74" i="32" s="1"/>
  <c r="J64" i="32"/>
  <c r="J66" i="32" s="1"/>
  <c r="F22" i="26"/>
  <c r="F27" i="26" s="1"/>
  <c r="J71" i="30"/>
  <c r="L71" i="30" s="1"/>
  <c r="N69" i="30"/>
  <c r="P69" i="30" s="1"/>
  <c r="V68" i="30"/>
  <c r="X68" i="30" s="1"/>
  <c r="J70" i="30"/>
  <c r="L70" i="30" s="1"/>
  <c r="F70" i="30"/>
  <c r="H70" i="30" s="1"/>
  <c r="N67" i="30"/>
  <c r="P67" i="30" s="1"/>
  <c r="R69" i="30"/>
  <c r="T69" i="30" s="1"/>
  <c r="N70" i="30"/>
  <c r="P70" i="30" s="1"/>
  <c r="R67" i="30"/>
  <c r="T67" i="30" s="1"/>
  <c r="F67" i="30"/>
  <c r="H67" i="30" s="1"/>
  <c r="F68" i="30"/>
  <c r="H68" i="30" s="1"/>
  <c r="R71" i="30"/>
  <c r="T71" i="30" s="1"/>
  <c r="F71" i="30"/>
  <c r="H71" i="30" s="1"/>
  <c r="V67" i="30"/>
  <c r="X67" i="30" s="1"/>
  <c r="V70" i="30"/>
  <c r="X70" i="30" s="1"/>
  <c r="R70" i="30"/>
  <c r="T70" i="30" s="1"/>
  <c r="J67" i="30"/>
  <c r="L67" i="30" s="1"/>
  <c r="N71" i="30"/>
  <c r="P71" i="30" s="1"/>
  <c r="J68" i="30"/>
  <c r="L68" i="30" s="1"/>
  <c r="N68" i="30"/>
  <c r="P68" i="30" s="1"/>
  <c r="R68" i="30"/>
  <c r="T68" i="30" s="1"/>
  <c r="J69" i="30"/>
  <c r="L69" i="30" s="1"/>
  <c r="F69" i="30"/>
  <c r="H69" i="30" s="1"/>
  <c r="V84" i="9"/>
  <c r="E86" i="9"/>
  <c r="B35" i="23" s="1"/>
  <c r="B42" i="23" s="1"/>
  <c r="B56" i="23" s="1"/>
  <c r="E87" i="9"/>
  <c r="B36" i="23" s="1"/>
  <c r="B43" i="23" s="1"/>
  <c r="B49" i="23" s="1"/>
  <c r="F25" i="26"/>
  <c r="F30" i="26" s="1"/>
  <c r="F23" i="26"/>
  <c r="F28" i="26" s="1"/>
  <c r="F26" i="26"/>
  <c r="F31" i="26" s="1"/>
  <c r="Q84" i="9"/>
  <c r="H22" i="24"/>
  <c r="H27" i="24" s="1"/>
  <c r="H26" i="24"/>
  <c r="H31" i="24" s="1"/>
  <c r="H23" i="24"/>
  <c r="H28" i="24" s="1"/>
  <c r="H25" i="24"/>
  <c r="H30" i="24" s="1"/>
  <c r="H24" i="24"/>
  <c r="H29" i="24" s="1"/>
  <c r="H24" i="25"/>
  <c r="H29" i="25" s="1"/>
  <c r="H25" i="25"/>
  <c r="H30" i="25" s="1"/>
  <c r="H26" i="25"/>
  <c r="H31" i="25" s="1"/>
  <c r="H22" i="25"/>
  <c r="H27" i="25" s="1"/>
  <c r="H23" i="25"/>
  <c r="H28" i="25" s="1"/>
  <c r="I18" i="25"/>
  <c r="G18" i="26"/>
  <c r="I18" i="24"/>
  <c r="E18" i="17"/>
  <c r="D22" i="17"/>
  <c r="D27" i="17" s="1"/>
  <c r="D25" i="17"/>
  <c r="D30" i="17" s="1"/>
  <c r="D24" i="17"/>
  <c r="D29" i="17" s="1"/>
  <c r="D23" i="17"/>
  <c r="D28" i="17" s="1"/>
  <c r="D26" i="17"/>
  <c r="D31" i="17" s="1"/>
  <c r="AL50" i="16"/>
  <c r="AL51" i="16" s="1"/>
  <c r="F85" i="9"/>
  <c r="F87" i="9"/>
  <c r="AJ51" i="16"/>
  <c r="G85" i="9"/>
  <c r="AS59" i="16"/>
  <c r="AS60" i="16" s="1"/>
  <c r="AQ60" i="16"/>
  <c r="F86" i="9"/>
  <c r="F88" i="9"/>
  <c r="I86" i="9"/>
  <c r="G86" i="9"/>
  <c r="H88" i="9"/>
  <c r="H85" i="9"/>
  <c r="E85" i="9"/>
  <c r="E88" i="9"/>
  <c r="E84" i="9"/>
  <c r="B33" i="26" s="1"/>
  <c r="B40" i="26" s="1"/>
  <c r="AE59" i="16"/>
  <c r="AE60" i="16" s="1"/>
  <c r="AG59" i="16"/>
  <c r="AG60" i="16" s="1"/>
  <c r="AC60" i="16"/>
  <c r="AL59" i="16"/>
  <c r="AL60" i="16" s="1"/>
  <c r="AN59" i="16"/>
  <c r="AN60" i="16" s="1"/>
  <c r="AJ60" i="16"/>
  <c r="I85" i="9"/>
  <c r="G88" i="9"/>
  <c r="I88" i="9"/>
  <c r="G87" i="9"/>
  <c r="H86" i="9"/>
  <c r="Q42" i="16"/>
  <c r="I74" i="9"/>
  <c r="I80" i="9" s="1"/>
  <c r="I37" i="9"/>
  <c r="J18" i="23"/>
  <c r="I34" i="9"/>
  <c r="I22" i="23"/>
  <c r="I27" i="23" s="1"/>
  <c r="I25" i="23"/>
  <c r="I30" i="23" s="1"/>
  <c r="I26" i="23"/>
  <c r="I31" i="23" s="1"/>
  <c r="I24" i="23"/>
  <c r="I29" i="23" s="1"/>
  <c r="I23" i="23"/>
  <c r="I28" i="23" s="1"/>
  <c r="H87" i="9"/>
  <c r="O59" i="16"/>
  <c r="I68" i="9"/>
  <c r="I77" i="9" s="1"/>
  <c r="S50" i="16"/>
  <c r="S51" i="16" s="1"/>
  <c r="O51" i="16"/>
  <c r="Q33" i="16"/>
  <c r="Q51" i="16"/>
  <c r="H84" i="9"/>
  <c r="F84" i="9"/>
  <c r="C25" i="27"/>
  <c r="B28" i="27"/>
  <c r="G84" i="9"/>
  <c r="N76" i="32" l="1"/>
  <c r="N78" i="32" s="1"/>
  <c r="L76" i="32"/>
  <c r="L78" i="32" s="1"/>
  <c r="V69" i="30"/>
  <c r="X69" i="30" s="1"/>
  <c r="V71" i="30"/>
  <c r="X71" i="30" s="1"/>
  <c r="B36" i="24"/>
  <c r="C36" i="24" s="1"/>
  <c r="C43" i="24" s="1"/>
  <c r="B36" i="26"/>
  <c r="C36" i="26" s="1"/>
  <c r="C43" i="26" s="1"/>
  <c r="B35" i="25"/>
  <c r="C35" i="25" s="1"/>
  <c r="D35" i="25" s="1"/>
  <c r="C36" i="23"/>
  <c r="C43" i="23" s="1"/>
  <c r="C57" i="23" s="1"/>
  <c r="B35" i="17"/>
  <c r="B42" i="17" s="1"/>
  <c r="B48" i="17" s="1"/>
  <c r="B35" i="24"/>
  <c r="B42" i="24" s="1"/>
  <c r="B56" i="24" s="1"/>
  <c r="B57" i="23"/>
  <c r="B35" i="26"/>
  <c r="B42" i="26" s="1"/>
  <c r="B48" i="26" s="1"/>
  <c r="B36" i="25"/>
  <c r="B43" i="25" s="1"/>
  <c r="B49" i="25" s="1"/>
  <c r="B36" i="17"/>
  <c r="B43" i="17" s="1"/>
  <c r="B49" i="17" s="1"/>
  <c r="J18" i="25"/>
  <c r="J18" i="24"/>
  <c r="I25" i="25"/>
  <c r="I30" i="25" s="1"/>
  <c r="I24" i="25"/>
  <c r="I29" i="25" s="1"/>
  <c r="I22" i="25"/>
  <c r="I27" i="25" s="1"/>
  <c r="I23" i="25"/>
  <c r="I28" i="25" s="1"/>
  <c r="I26" i="25"/>
  <c r="I31" i="25" s="1"/>
  <c r="F18" i="17"/>
  <c r="F24" i="17" s="1"/>
  <c r="F29" i="17" s="1"/>
  <c r="H18" i="26"/>
  <c r="I23" i="24"/>
  <c r="I28" i="24" s="1"/>
  <c r="I25" i="24"/>
  <c r="I30" i="24" s="1"/>
  <c r="I24" i="24"/>
  <c r="I29" i="24" s="1"/>
  <c r="I22" i="24"/>
  <c r="I27" i="24" s="1"/>
  <c r="I26" i="24"/>
  <c r="I31" i="24" s="1"/>
  <c r="G22" i="26"/>
  <c r="G27" i="26" s="1"/>
  <c r="G24" i="26"/>
  <c r="G29" i="26" s="1"/>
  <c r="G23" i="26"/>
  <c r="G28" i="26" s="1"/>
  <c r="G26" i="26"/>
  <c r="G31" i="26" s="1"/>
  <c r="G25" i="26"/>
  <c r="G30" i="26" s="1"/>
  <c r="E23" i="17"/>
  <c r="E28" i="17" s="1"/>
  <c r="E24" i="17"/>
  <c r="E29" i="17" s="1"/>
  <c r="E22" i="17"/>
  <c r="E27" i="17" s="1"/>
  <c r="E25" i="17"/>
  <c r="E30" i="17" s="1"/>
  <c r="E26" i="17"/>
  <c r="E31" i="17" s="1"/>
  <c r="B33" i="17"/>
  <c r="B40" i="17" s="1"/>
  <c r="C35" i="23"/>
  <c r="C42" i="23" s="1"/>
  <c r="C56" i="23" s="1"/>
  <c r="B48" i="23"/>
  <c r="I87" i="9"/>
  <c r="B34" i="24"/>
  <c r="B34" i="17"/>
  <c r="B34" i="26"/>
  <c r="B34" i="23"/>
  <c r="B34" i="25"/>
  <c r="I84" i="9"/>
  <c r="B33" i="25"/>
  <c r="C33" i="25" s="1"/>
  <c r="C33" i="26"/>
  <c r="O60" i="16"/>
  <c r="Q59" i="16"/>
  <c r="Q60" i="16" s="1"/>
  <c r="B37" i="17"/>
  <c r="B37" i="26"/>
  <c r="B37" i="24"/>
  <c r="B37" i="23"/>
  <c r="B37" i="25"/>
  <c r="B33" i="24"/>
  <c r="B40" i="24" s="1"/>
  <c r="B54" i="24" s="1"/>
  <c r="B33" i="23"/>
  <c r="B40" i="23" s="1"/>
  <c r="B46" i="23" s="1"/>
  <c r="S59" i="16"/>
  <c r="S60" i="16" s="1"/>
  <c r="J22" i="23"/>
  <c r="J27" i="23" s="1"/>
  <c r="J24" i="23"/>
  <c r="J29" i="23" s="1"/>
  <c r="J25" i="23"/>
  <c r="J30" i="23" s="1"/>
  <c r="J23" i="23"/>
  <c r="J28" i="23" s="1"/>
  <c r="J26" i="23"/>
  <c r="J31" i="23" s="1"/>
  <c r="B30" i="27"/>
  <c r="B29" i="27"/>
  <c r="B31" i="27" s="1"/>
  <c r="B34" i="27"/>
  <c r="B35" i="27" s="1"/>
  <c r="B36" i="27" s="1"/>
  <c r="D25" i="27"/>
  <c r="C28" i="27"/>
  <c r="B54" i="26"/>
  <c r="B46" i="26"/>
  <c r="B45" i="26"/>
  <c r="B51" i="26" s="1"/>
  <c r="D33" i="26" l="1"/>
  <c r="D40" i="26" s="1"/>
  <c r="D36" i="24"/>
  <c r="D43" i="24" s="1"/>
  <c r="B43" i="24"/>
  <c r="B57" i="24" s="1"/>
  <c r="D36" i="26"/>
  <c r="D43" i="26" s="1"/>
  <c r="B42" i="25"/>
  <c r="B56" i="25" s="1"/>
  <c r="B43" i="26"/>
  <c r="B49" i="26" s="1"/>
  <c r="C35" i="17"/>
  <c r="D35" i="17" s="1"/>
  <c r="D42" i="17" s="1"/>
  <c r="C35" i="26"/>
  <c r="C42" i="26" s="1"/>
  <c r="C48" i="26" s="1"/>
  <c r="D36" i="23"/>
  <c r="D43" i="23" s="1"/>
  <c r="D49" i="23" s="1"/>
  <c r="C36" i="25"/>
  <c r="D36" i="25" s="1"/>
  <c r="D43" i="25" s="1"/>
  <c r="C49" i="23"/>
  <c r="B48" i="24"/>
  <c r="B57" i="17"/>
  <c r="C36" i="17"/>
  <c r="D36" i="17" s="1"/>
  <c r="D43" i="17" s="1"/>
  <c r="C35" i="24"/>
  <c r="D35" i="24" s="1"/>
  <c r="D42" i="24" s="1"/>
  <c r="F25" i="17"/>
  <c r="F30" i="17" s="1"/>
  <c r="K18" i="23"/>
  <c r="K22" i="23" s="1"/>
  <c r="K27" i="23" s="1"/>
  <c r="F26" i="17"/>
  <c r="F31" i="17" s="1"/>
  <c r="F23" i="17"/>
  <c r="F28" i="17" s="1"/>
  <c r="F22" i="17"/>
  <c r="F27" i="17" s="1"/>
  <c r="H26" i="26"/>
  <c r="H31" i="26" s="1"/>
  <c r="H22" i="26"/>
  <c r="H27" i="26" s="1"/>
  <c r="H25" i="26"/>
  <c r="H30" i="26" s="1"/>
  <c r="H23" i="26"/>
  <c r="H28" i="26" s="1"/>
  <c r="H24" i="26"/>
  <c r="H29" i="26" s="1"/>
  <c r="J24" i="24"/>
  <c r="J29" i="24" s="1"/>
  <c r="J25" i="24"/>
  <c r="J30" i="24" s="1"/>
  <c r="J22" i="24"/>
  <c r="J27" i="24" s="1"/>
  <c r="J23" i="24"/>
  <c r="J28" i="24" s="1"/>
  <c r="J26" i="24"/>
  <c r="J31" i="24" s="1"/>
  <c r="G18" i="17"/>
  <c r="K18" i="24"/>
  <c r="J22" i="25"/>
  <c r="J27" i="25" s="1"/>
  <c r="J25" i="25"/>
  <c r="J30" i="25" s="1"/>
  <c r="J24" i="25"/>
  <c r="J29" i="25" s="1"/>
  <c r="J23" i="25"/>
  <c r="J28" i="25" s="1"/>
  <c r="J26" i="25"/>
  <c r="J31" i="25" s="1"/>
  <c r="I18" i="26"/>
  <c r="K18" i="25"/>
  <c r="B57" i="25"/>
  <c r="C33" i="17"/>
  <c r="C40" i="17" s="1"/>
  <c r="C42" i="25"/>
  <c r="C56" i="25" s="1"/>
  <c r="C48" i="23"/>
  <c r="D35" i="23"/>
  <c r="E35" i="23" s="1"/>
  <c r="F35" i="23" s="1"/>
  <c r="B56" i="26"/>
  <c r="B56" i="17"/>
  <c r="C40" i="26"/>
  <c r="C45" i="26" s="1"/>
  <c r="C51" i="26" s="1"/>
  <c r="C33" i="24"/>
  <c r="D33" i="24" s="1"/>
  <c r="D40" i="24" s="1"/>
  <c r="B46" i="24"/>
  <c r="B40" i="25"/>
  <c r="B45" i="25" s="1"/>
  <c r="B51" i="25" s="1"/>
  <c r="B45" i="24"/>
  <c r="B51" i="24" s="1"/>
  <c r="C37" i="24"/>
  <c r="B44" i="24"/>
  <c r="B41" i="23"/>
  <c r="C34" i="23"/>
  <c r="C33" i="23"/>
  <c r="D33" i="23" s="1"/>
  <c r="E33" i="23" s="1"/>
  <c r="B44" i="26"/>
  <c r="C37" i="26"/>
  <c r="C34" i="26"/>
  <c r="B41" i="26"/>
  <c r="B44" i="25"/>
  <c r="C37" i="25"/>
  <c r="C37" i="17"/>
  <c r="B44" i="17"/>
  <c r="B41" i="17"/>
  <c r="C34" i="17"/>
  <c r="B44" i="23"/>
  <c r="C37" i="23"/>
  <c r="B41" i="25"/>
  <c r="C34" i="25"/>
  <c r="B41" i="24"/>
  <c r="C34" i="24"/>
  <c r="C49" i="26"/>
  <c r="C57" i="26"/>
  <c r="C49" i="24"/>
  <c r="C57" i="24"/>
  <c r="E35" i="25"/>
  <c r="D42" i="25"/>
  <c r="B54" i="23"/>
  <c r="B45" i="23"/>
  <c r="B51" i="23" s="1"/>
  <c r="B13" i="28"/>
  <c r="B59" i="26"/>
  <c r="B60" i="26" s="1"/>
  <c r="C34" i="27"/>
  <c r="C35" i="27" s="1"/>
  <c r="C36" i="27" s="1"/>
  <c r="C30" i="27"/>
  <c r="C29" i="27"/>
  <c r="C31" i="27" s="1"/>
  <c r="B46" i="17"/>
  <c r="B45" i="17"/>
  <c r="B51" i="17" s="1"/>
  <c r="B54" i="17"/>
  <c r="D28" i="27"/>
  <c r="E25" i="27"/>
  <c r="B59" i="24"/>
  <c r="B60" i="24" s="1"/>
  <c r="B11" i="28"/>
  <c r="D33" i="25"/>
  <c r="C40" i="25"/>
  <c r="L18" i="23"/>
  <c r="E33" i="26" l="1"/>
  <c r="E40" i="26" s="1"/>
  <c r="B48" i="25"/>
  <c r="E36" i="24"/>
  <c r="E43" i="24" s="1"/>
  <c r="B49" i="24"/>
  <c r="E36" i="26"/>
  <c r="E43" i="26" s="1"/>
  <c r="B57" i="26"/>
  <c r="E36" i="25"/>
  <c r="E43" i="25" s="1"/>
  <c r="C43" i="17"/>
  <c r="C49" i="17" s="1"/>
  <c r="E35" i="17"/>
  <c r="F35" i="17" s="1"/>
  <c r="C56" i="26"/>
  <c r="C43" i="25"/>
  <c r="C49" i="25" s="1"/>
  <c r="D35" i="26"/>
  <c r="D42" i="26" s="1"/>
  <c r="D56" i="26" s="1"/>
  <c r="E36" i="17"/>
  <c r="F36" i="17" s="1"/>
  <c r="C42" i="17"/>
  <c r="C48" i="17" s="1"/>
  <c r="E36" i="23"/>
  <c r="E43" i="23" s="1"/>
  <c r="E49" i="23" s="1"/>
  <c r="D57" i="23"/>
  <c r="E35" i="24"/>
  <c r="E42" i="24" s="1"/>
  <c r="C42" i="24"/>
  <c r="C56" i="24" s="1"/>
  <c r="K23" i="23"/>
  <c r="K28" i="23" s="1"/>
  <c r="K26" i="23"/>
  <c r="K31" i="23" s="1"/>
  <c r="K24" i="23"/>
  <c r="K29" i="23" s="1"/>
  <c r="K25" i="23"/>
  <c r="K30" i="23" s="1"/>
  <c r="H18" i="17"/>
  <c r="K25" i="25"/>
  <c r="K30" i="25" s="1"/>
  <c r="K26" i="25"/>
  <c r="K31" i="25" s="1"/>
  <c r="K22" i="25"/>
  <c r="K27" i="25" s="1"/>
  <c r="K23" i="25"/>
  <c r="K28" i="25" s="1"/>
  <c r="K24" i="25"/>
  <c r="K29" i="25" s="1"/>
  <c r="G22" i="17"/>
  <c r="G27" i="17" s="1"/>
  <c r="G24" i="17"/>
  <c r="G29" i="17" s="1"/>
  <c r="G23" i="17"/>
  <c r="G28" i="17" s="1"/>
  <c r="G26" i="17"/>
  <c r="G31" i="17" s="1"/>
  <c r="G25" i="17"/>
  <c r="G30" i="17" s="1"/>
  <c r="I24" i="26"/>
  <c r="I29" i="26" s="1"/>
  <c r="I25" i="26"/>
  <c r="I30" i="26" s="1"/>
  <c r="I23" i="26"/>
  <c r="I28" i="26" s="1"/>
  <c r="I22" i="26"/>
  <c r="I27" i="26" s="1"/>
  <c r="I26" i="26"/>
  <c r="I31" i="26" s="1"/>
  <c r="L18" i="25"/>
  <c r="L18" i="24"/>
  <c r="J18" i="26"/>
  <c r="K24" i="24"/>
  <c r="K29" i="24" s="1"/>
  <c r="K23" i="24"/>
  <c r="K28" i="24" s="1"/>
  <c r="K22" i="24"/>
  <c r="K27" i="24" s="1"/>
  <c r="K25" i="24"/>
  <c r="K30" i="24" s="1"/>
  <c r="K26" i="24"/>
  <c r="K31" i="24" s="1"/>
  <c r="D33" i="17"/>
  <c r="E33" i="17" s="1"/>
  <c r="C48" i="25"/>
  <c r="D42" i="23"/>
  <c r="D56" i="23" s="1"/>
  <c r="C46" i="26"/>
  <c r="E42" i="23"/>
  <c r="E48" i="23" s="1"/>
  <c r="B59" i="23"/>
  <c r="B60" i="23" s="1"/>
  <c r="E33" i="24"/>
  <c r="E40" i="24" s="1"/>
  <c r="C54" i="26"/>
  <c r="C40" i="24"/>
  <c r="C54" i="24" s="1"/>
  <c r="C40" i="23"/>
  <c r="C45" i="23" s="1"/>
  <c r="C51" i="23" s="1"/>
  <c r="D40" i="23"/>
  <c r="D46" i="23" s="1"/>
  <c r="B46" i="25"/>
  <c r="B54" i="25"/>
  <c r="B47" i="24"/>
  <c r="B55" i="24"/>
  <c r="B50" i="23"/>
  <c r="B58" i="23"/>
  <c r="C44" i="17"/>
  <c r="D37" i="17"/>
  <c r="C41" i="26"/>
  <c r="D34" i="26"/>
  <c r="C41" i="23"/>
  <c r="D34" i="23"/>
  <c r="C41" i="25"/>
  <c r="D34" i="25"/>
  <c r="C41" i="17"/>
  <c r="D34" i="17"/>
  <c r="C44" i="25"/>
  <c r="D37" i="25"/>
  <c r="C44" i="26"/>
  <c r="D37" i="26"/>
  <c r="B47" i="23"/>
  <c r="B55" i="23"/>
  <c r="B47" i="25"/>
  <c r="B55" i="25"/>
  <c r="B47" i="17"/>
  <c r="B55" i="17"/>
  <c r="B50" i="25"/>
  <c r="B58" i="25"/>
  <c r="B50" i="26"/>
  <c r="B58" i="26"/>
  <c r="B50" i="24"/>
  <c r="B58" i="24"/>
  <c r="D34" i="24"/>
  <c r="C41" i="24"/>
  <c r="C44" i="23"/>
  <c r="D37" i="23"/>
  <c r="B50" i="17"/>
  <c r="B58" i="17"/>
  <c r="B47" i="26"/>
  <c r="B55" i="26"/>
  <c r="D37" i="24"/>
  <c r="C44" i="24"/>
  <c r="D49" i="17"/>
  <c r="D57" i="17"/>
  <c r="D48" i="17"/>
  <c r="D56" i="17"/>
  <c r="D49" i="26"/>
  <c r="D57" i="26"/>
  <c r="D48" i="25"/>
  <c r="D56" i="25"/>
  <c r="D49" i="25"/>
  <c r="D57" i="25"/>
  <c r="D49" i="24"/>
  <c r="D57" i="24"/>
  <c r="D48" i="24"/>
  <c r="D56" i="24"/>
  <c r="E42" i="25"/>
  <c r="F35" i="25"/>
  <c r="F42" i="23"/>
  <c r="G35" i="23"/>
  <c r="B10" i="28"/>
  <c r="L22" i="23"/>
  <c r="L27" i="23" s="1"/>
  <c r="L26" i="23"/>
  <c r="L31" i="23" s="1"/>
  <c r="L23" i="23"/>
  <c r="L28" i="23" s="1"/>
  <c r="L25" i="23"/>
  <c r="L30" i="23" s="1"/>
  <c r="L24" i="23"/>
  <c r="L29" i="23" s="1"/>
  <c r="D40" i="25"/>
  <c r="E33" i="25"/>
  <c r="F25" i="27"/>
  <c r="E28" i="27"/>
  <c r="D30" i="27"/>
  <c r="D34" i="27"/>
  <c r="D35" i="27" s="1"/>
  <c r="D36" i="27" s="1"/>
  <c r="D29" i="27"/>
  <c r="D31" i="27" s="1"/>
  <c r="E40" i="23"/>
  <c r="F33" i="23"/>
  <c r="B59" i="17"/>
  <c r="B14" i="28"/>
  <c r="C46" i="17"/>
  <c r="C54" i="17"/>
  <c r="C45" i="17"/>
  <c r="C51" i="17" s="1"/>
  <c r="D54" i="24"/>
  <c r="D46" i="24"/>
  <c r="C54" i="25"/>
  <c r="C45" i="25"/>
  <c r="C51" i="25" s="1"/>
  <c r="C46" i="25"/>
  <c r="D46" i="26"/>
  <c r="D45" i="26"/>
  <c r="D51" i="26" s="1"/>
  <c r="D54" i="26"/>
  <c r="M18" i="23"/>
  <c r="F33" i="26" l="1"/>
  <c r="F40" i="26" s="1"/>
  <c r="C57" i="17"/>
  <c r="E43" i="17"/>
  <c r="E49" i="17" s="1"/>
  <c r="F36" i="24"/>
  <c r="G36" i="24" s="1"/>
  <c r="F36" i="26"/>
  <c r="F43" i="26" s="1"/>
  <c r="F36" i="25"/>
  <c r="F43" i="25" s="1"/>
  <c r="E42" i="17"/>
  <c r="E48" i="17" s="1"/>
  <c r="C48" i="24"/>
  <c r="C56" i="17"/>
  <c r="D48" i="26"/>
  <c r="F36" i="23"/>
  <c r="G36" i="23" s="1"/>
  <c r="G43" i="23" s="1"/>
  <c r="C57" i="25"/>
  <c r="E35" i="26"/>
  <c r="F35" i="26" s="1"/>
  <c r="F42" i="26" s="1"/>
  <c r="E57" i="23"/>
  <c r="F35" i="24"/>
  <c r="G35" i="24" s="1"/>
  <c r="K18" i="26"/>
  <c r="M18" i="25"/>
  <c r="J22" i="26"/>
  <c r="J27" i="26" s="1"/>
  <c r="J25" i="26"/>
  <c r="J30" i="26" s="1"/>
  <c r="J24" i="26"/>
  <c r="J29" i="26" s="1"/>
  <c r="J26" i="26"/>
  <c r="J31" i="26" s="1"/>
  <c r="J23" i="26"/>
  <c r="J28" i="26" s="1"/>
  <c r="L23" i="25"/>
  <c r="L28" i="25" s="1"/>
  <c r="L25" i="25"/>
  <c r="L30" i="25" s="1"/>
  <c r="L22" i="25"/>
  <c r="L27" i="25" s="1"/>
  <c r="L24" i="25"/>
  <c r="L29" i="25" s="1"/>
  <c r="L26" i="25"/>
  <c r="L31" i="25" s="1"/>
  <c r="I18" i="17"/>
  <c r="L26" i="24"/>
  <c r="L31" i="24" s="1"/>
  <c r="L23" i="24"/>
  <c r="L28" i="24" s="1"/>
  <c r="L25" i="24"/>
  <c r="L30" i="24" s="1"/>
  <c r="L22" i="24"/>
  <c r="L27" i="24" s="1"/>
  <c r="L24" i="24"/>
  <c r="L29" i="24" s="1"/>
  <c r="M18" i="24"/>
  <c r="H22" i="17"/>
  <c r="H27" i="17" s="1"/>
  <c r="H26" i="17"/>
  <c r="H31" i="17" s="1"/>
  <c r="H24" i="17"/>
  <c r="H29" i="17" s="1"/>
  <c r="H23" i="17"/>
  <c r="H28" i="17" s="1"/>
  <c r="H25" i="17"/>
  <c r="H30" i="17" s="1"/>
  <c r="D48" i="23"/>
  <c r="D40" i="17"/>
  <c r="D45" i="17" s="1"/>
  <c r="D51" i="17" s="1"/>
  <c r="C59" i="26"/>
  <c r="C60" i="26" s="1"/>
  <c r="B12" i="28"/>
  <c r="C45" i="24"/>
  <c r="C51" i="24" s="1"/>
  <c r="E56" i="23"/>
  <c r="C59" i="24"/>
  <c r="C60" i="24" s="1"/>
  <c r="F33" i="24"/>
  <c r="F40" i="24" s="1"/>
  <c r="C11" i="28"/>
  <c r="C13" i="28"/>
  <c r="D45" i="24"/>
  <c r="D51" i="24" s="1"/>
  <c r="C46" i="24"/>
  <c r="C46" i="23"/>
  <c r="C54" i="23"/>
  <c r="D45" i="23"/>
  <c r="D51" i="23" s="1"/>
  <c r="D54" i="23"/>
  <c r="D59" i="23" s="1"/>
  <c r="B59" i="25"/>
  <c r="B60" i="25" s="1"/>
  <c r="C58" i="24"/>
  <c r="C50" i="24"/>
  <c r="C47" i="24"/>
  <c r="C55" i="24"/>
  <c r="E37" i="25"/>
  <c r="D44" i="25"/>
  <c r="E34" i="25"/>
  <c r="D41" i="25"/>
  <c r="D41" i="26"/>
  <c r="E34" i="26"/>
  <c r="D44" i="24"/>
  <c r="E37" i="24"/>
  <c r="E34" i="24"/>
  <c r="D41" i="24"/>
  <c r="C58" i="25"/>
  <c r="C50" i="25"/>
  <c r="C47" i="25"/>
  <c r="C55" i="25"/>
  <c r="C47" i="26"/>
  <c r="C55" i="26"/>
  <c r="D44" i="23"/>
  <c r="E37" i="23"/>
  <c r="E37" i="26"/>
  <c r="D44" i="26"/>
  <c r="E34" i="17"/>
  <c r="D41" i="17"/>
  <c r="D41" i="23"/>
  <c r="E34" i="23"/>
  <c r="E37" i="17"/>
  <c r="D44" i="17"/>
  <c r="C50" i="23"/>
  <c r="C58" i="23"/>
  <c r="C58" i="26"/>
  <c r="C50" i="26"/>
  <c r="C55" i="17"/>
  <c r="C47" i="17"/>
  <c r="C47" i="23"/>
  <c r="C55" i="23"/>
  <c r="C50" i="17"/>
  <c r="C58" i="17"/>
  <c r="E49" i="26"/>
  <c r="E57" i="26"/>
  <c r="E48" i="25"/>
  <c r="E56" i="25"/>
  <c r="E49" i="25"/>
  <c r="E57" i="25"/>
  <c r="E49" i="24"/>
  <c r="E57" i="24"/>
  <c r="E48" i="24"/>
  <c r="E56" i="24"/>
  <c r="F48" i="23"/>
  <c r="F56" i="23"/>
  <c r="B60" i="17"/>
  <c r="F42" i="17"/>
  <c r="G35" i="17"/>
  <c r="F43" i="17"/>
  <c r="G36" i="17"/>
  <c r="F42" i="25"/>
  <c r="G35" i="25"/>
  <c r="G42" i="23"/>
  <c r="H35" i="23"/>
  <c r="M22" i="23"/>
  <c r="M27" i="23" s="1"/>
  <c r="M25" i="23"/>
  <c r="M30" i="23" s="1"/>
  <c r="M24" i="23"/>
  <c r="M29" i="23" s="1"/>
  <c r="M26" i="23"/>
  <c r="M31" i="23" s="1"/>
  <c r="M23" i="23"/>
  <c r="M28" i="23" s="1"/>
  <c r="D13" i="28"/>
  <c r="D59" i="26"/>
  <c r="E40" i="25"/>
  <c r="F33" i="25"/>
  <c r="E40" i="17"/>
  <c r="F33" i="17"/>
  <c r="F40" i="23"/>
  <c r="G33" i="23"/>
  <c r="E54" i="26"/>
  <c r="E46" i="26"/>
  <c r="E45" i="26"/>
  <c r="E51" i="26" s="1"/>
  <c r="D54" i="25"/>
  <c r="D46" i="25"/>
  <c r="D45" i="25"/>
  <c r="D51" i="25" s="1"/>
  <c r="D11" i="28"/>
  <c r="D59" i="24"/>
  <c r="E54" i="23"/>
  <c r="E46" i="23"/>
  <c r="E45" i="23"/>
  <c r="E51" i="23" s="1"/>
  <c r="E30" i="27"/>
  <c r="E34" i="27"/>
  <c r="E35" i="27" s="1"/>
  <c r="E36" i="27" s="1"/>
  <c r="E29" i="27"/>
  <c r="E31" i="27" s="1"/>
  <c r="E46" i="24"/>
  <c r="E54" i="24"/>
  <c r="E45" i="24"/>
  <c r="E51" i="24" s="1"/>
  <c r="C59" i="25"/>
  <c r="C12" i="28"/>
  <c r="C59" i="17"/>
  <c r="C14" i="28"/>
  <c r="F28" i="27"/>
  <c r="G25" i="27"/>
  <c r="N18" i="23"/>
  <c r="G33" i="26" l="1"/>
  <c r="H33" i="26" s="1"/>
  <c r="F43" i="24"/>
  <c r="F57" i="24" s="1"/>
  <c r="E57" i="17"/>
  <c r="G36" i="26"/>
  <c r="G43" i="26" s="1"/>
  <c r="H36" i="23"/>
  <c r="H43" i="23" s="1"/>
  <c r="G36" i="25"/>
  <c r="G43" i="25" s="1"/>
  <c r="F42" i="24"/>
  <c r="F56" i="24" s="1"/>
  <c r="F43" i="23"/>
  <c r="F49" i="23" s="1"/>
  <c r="E56" i="17"/>
  <c r="G35" i="26"/>
  <c r="G42" i="26" s="1"/>
  <c r="E42" i="26"/>
  <c r="E56" i="26" s="1"/>
  <c r="N18" i="25"/>
  <c r="N18" i="24"/>
  <c r="J18" i="17"/>
  <c r="M24" i="24"/>
  <c r="M29" i="24" s="1"/>
  <c r="M26" i="24"/>
  <c r="M31" i="24" s="1"/>
  <c r="M25" i="24"/>
  <c r="M30" i="24" s="1"/>
  <c r="M23" i="24"/>
  <c r="M28" i="24" s="1"/>
  <c r="M22" i="24"/>
  <c r="M27" i="24" s="1"/>
  <c r="K22" i="26"/>
  <c r="K27" i="26" s="1"/>
  <c r="K25" i="26"/>
  <c r="K30" i="26" s="1"/>
  <c r="K23" i="26"/>
  <c r="K28" i="26" s="1"/>
  <c r="K24" i="26"/>
  <c r="K29" i="26" s="1"/>
  <c r="K26" i="26"/>
  <c r="K31" i="26" s="1"/>
  <c r="I26" i="17"/>
  <c r="I31" i="17" s="1"/>
  <c r="I24" i="17"/>
  <c r="I29" i="17" s="1"/>
  <c r="I22" i="17"/>
  <c r="I27" i="17" s="1"/>
  <c r="I25" i="17"/>
  <c r="I30" i="17" s="1"/>
  <c r="I23" i="17"/>
  <c r="I28" i="17" s="1"/>
  <c r="M26" i="25"/>
  <c r="M31" i="25" s="1"/>
  <c r="M22" i="25"/>
  <c r="M27" i="25" s="1"/>
  <c r="M23" i="25"/>
  <c r="M28" i="25" s="1"/>
  <c r="M25" i="25"/>
  <c r="M30" i="25" s="1"/>
  <c r="M24" i="25"/>
  <c r="M29" i="25" s="1"/>
  <c r="L18" i="26"/>
  <c r="D54" i="17"/>
  <c r="D46" i="17"/>
  <c r="D60" i="24"/>
  <c r="D60" i="26"/>
  <c r="C10" i="28"/>
  <c r="G33" i="24"/>
  <c r="H33" i="24" s="1"/>
  <c r="C59" i="23"/>
  <c r="C60" i="23" s="1"/>
  <c r="D60" i="23" s="1"/>
  <c r="D10" i="28"/>
  <c r="C60" i="25"/>
  <c r="E41" i="23"/>
  <c r="F34" i="23"/>
  <c r="D50" i="26"/>
  <c r="D58" i="26"/>
  <c r="E44" i="24"/>
  <c r="F37" i="24"/>
  <c r="D47" i="25"/>
  <c r="D55" i="25"/>
  <c r="D47" i="23"/>
  <c r="D55" i="23"/>
  <c r="E44" i="26"/>
  <c r="F37" i="26"/>
  <c r="D58" i="24"/>
  <c r="D50" i="24"/>
  <c r="F34" i="25"/>
  <c r="E41" i="25"/>
  <c r="D50" i="17"/>
  <c r="D58" i="17"/>
  <c r="D47" i="17"/>
  <c r="D55" i="17"/>
  <c r="F37" i="23"/>
  <c r="E44" i="23"/>
  <c r="D47" i="24"/>
  <c r="D55" i="24"/>
  <c r="E41" i="26"/>
  <c r="F34" i="26"/>
  <c r="D50" i="25"/>
  <c r="D58" i="25"/>
  <c r="F37" i="17"/>
  <c r="E44" i="17"/>
  <c r="E41" i="17"/>
  <c r="F34" i="17"/>
  <c r="D58" i="23"/>
  <c r="D50" i="23"/>
  <c r="F34" i="24"/>
  <c r="E41" i="24"/>
  <c r="D47" i="26"/>
  <c r="D55" i="26"/>
  <c r="F37" i="25"/>
  <c r="E44" i="25"/>
  <c r="C60" i="17"/>
  <c r="F49" i="17"/>
  <c r="F57" i="17"/>
  <c r="F48" i="17"/>
  <c r="F56" i="17"/>
  <c r="F48" i="26"/>
  <c r="F56" i="26"/>
  <c r="F49" i="26"/>
  <c r="F57" i="26"/>
  <c r="F48" i="25"/>
  <c r="F56" i="25"/>
  <c r="F49" i="25"/>
  <c r="F57" i="25"/>
  <c r="G49" i="23"/>
  <c r="G57" i="23"/>
  <c r="G48" i="23"/>
  <c r="G56" i="23"/>
  <c r="H35" i="17"/>
  <c r="G42" i="17"/>
  <c r="G42" i="25"/>
  <c r="H35" i="25"/>
  <c r="G43" i="17"/>
  <c r="H36" i="17"/>
  <c r="G42" i="24"/>
  <c r="H35" i="24"/>
  <c r="G43" i="24"/>
  <c r="H36" i="24"/>
  <c r="H42" i="23"/>
  <c r="I35" i="23"/>
  <c r="N22" i="23"/>
  <c r="N27" i="23" s="1"/>
  <c r="N24" i="23"/>
  <c r="N29" i="23" s="1"/>
  <c r="N23" i="23"/>
  <c r="N28" i="23" s="1"/>
  <c r="N25" i="23"/>
  <c r="N30" i="23" s="1"/>
  <c r="N26" i="23"/>
  <c r="N31" i="23" s="1"/>
  <c r="F54" i="24"/>
  <c r="F46" i="24"/>
  <c r="F45" i="24"/>
  <c r="F51" i="24" s="1"/>
  <c r="D59" i="25"/>
  <c r="D12" i="28"/>
  <c r="E11" i="28"/>
  <c r="E59" i="24"/>
  <c r="E59" i="26"/>
  <c r="E13" i="28"/>
  <c r="G33" i="17"/>
  <c r="F40" i="17"/>
  <c r="F46" i="26"/>
  <c r="F54" i="26"/>
  <c r="F45" i="26"/>
  <c r="F51" i="26" s="1"/>
  <c r="H33" i="23"/>
  <c r="G40" i="23"/>
  <c r="E54" i="17"/>
  <c r="E45" i="17"/>
  <c r="E51" i="17" s="1"/>
  <c r="E46" i="17"/>
  <c r="H25" i="27"/>
  <c r="G28" i="27"/>
  <c r="F54" i="23"/>
  <c r="F46" i="23"/>
  <c r="F45" i="23"/>
  <c r="F51" i="23" s="1"/>
  <c r="F40" i="25"/>
  <c r="G33" i="25"/>
  <c r="F29" i="27"/>
  <c r="F31" i="27" s="1"/>
  <c r="F30" i="27"/>
  <c r="F34" i="27"/>
  <c r="F35" i="27" s="1"/>
  <c r="F36" i="27" s="1"/>
  <c r="E10" i="28"/>
  <c r="E59" i="23"/>
  <c r="E46" i="25"/>
  <c r="E45" i="25"/>
  <c r="E51" i="25" s="1"/>
  <c r="E54" i="25"/>
  <c r="O18" i="23"/>
  <c r="G40" i="26" l="1"/>
  <c r="G45" i="26" s="1"/>
  <c r="G51" i="26" s="1"/>
  <c r="F49" i="24"/>
  <c r="H36" i="26"/>
  <c r="H43" i="26" s="1"/>
  <c r="F48" i="24"/>
  <c r="E48" i="26"/>
  <c r="H36" i="25"/>
  <c r="H43" i="25" s="1"/>
  <c r="F57" i="23"/>
  <c r="I36" i="23"/>
  <c r="I43" i="23" s="1"/>
  <c r="H35" i="26"/>
  <c r="H42" i="26" s="1"/>
  <c r="D59" i="17"/>
  <c r="D60" i="17" s="1"/>
  <c r="L22" i="26"/>
  <c r="L27" i="26" s="1"/>
  <c r="L23" i="26"/>
  <c r="L28" i="26" s="1"/>
  <c r="L26" i="26"/>
  <c r="L31" i="26" s="1"/>
  <c r="L25" i="26"/>
  <c r="L30" i="26" s="1"/>
  <c r="L24" i="26"/>
  <c r="L29" i="26" s="1"/>
  <c r="J23" i="17"/>
  <c r="J28" i="17" s="1"/>
  <c r="J22" i="17"/>
  <c r="J27" i="17" s="1"/>
  <c r="J25" i="17"/>
  <c r="J30" i="17" s="1"/>
  <c r="J24" i="17"/>
  <c r="J29" i="17" s="1"/>
  <c r="J26" i="17"/>
  <c r="J31" i="17" s="1"/>
  <c r="N25" i="25"/>
  <c r="N30" i="25" s="1"/>
  <c r="N26" i="25"/>
  <c r="N31" i="25" s="1"/>
  <c r="N22" i="25"/>
  <c r="N27" i="25" s="1"/>
  <c r="N24" i="25"/>
  <c r="N29" i="25" s="1"/>
  <c r="N23" i="25"/>
  <c r="N28" i="25" s="1"/>
  <c r="M18" i="26"/>
  <c r="O18" i="24"/>
  <c r="N26" i="24"/>
  <c r="N31" i="24" s="1"/>
  <c r="N25" i="24"/>
  <c r="N30" i="24" s="1"/>
  <c r="N24" i="24"/>
  <c r="N29" i="24" s="1"/>
  <c r="N22" i="24"/>
  <c r="N27" i="24" s="1"/>
  <c r="N23" i="24"/>
  <c r="N28" i="24" s="1"/>
  <c r="K18" i="17"/>
  <c r="O18" i="25"/>
  <c r="D14" i="28"/>
  <c r="E60" i="24"/>
  <c r="D60" i="25"/>
  <c r="E60" i="26"/>
  <c r="G40" i="24"/>
  <c r="G46" i="24" s="1"/>
  <c r="F44" i="24"/>
  <c r="G37" i="24"/>
  <c r="E58" i="25"/>
  <c r="E50" i="25"/>
  <c r="E55" i="24"/>
  <c r="E47" i="24"/>
  <c r="G34" i="17"/>
  <c r="F41" i="17"/>
  <c r="E55" i="25"/>
  <c r="E47" i="25"/>
  <c r="F44" i="26"/>
  <c r="G37" i="26"/>
  <c r="E58" i="17"/>
  <c r="E50" i="17"/>
  <c r="E50" i="23"/>
  <c r="E58" i="23"/>
  <c r="G34" i="23"/>
  <c r="F41" i="23"/>
  <c r="F44" i="25"/>
  <c r="G37" i="25"/>
  <c r="F41" i="24"/>
  <c r="G34" i="24"/>
  <c r="E47" i="17"/>
  <c r="E55" i="17"/>
  <c r="F41" i="25"/>
  <c r="G34" i="25"/>
  <c r="E58" i="26"/>
  <c r="E50" i="26"/>
  <c r="F41" i="26"/>
  <c r="G34" i="26"/>
  <c r="G37" i="17"/>
  <c r="F44" i="17"/>
  <c r="E55" i="26"/>
  <c r="E47" i="26"/>
  <c r="G37" i="23"/>
  <c r="F44" i="23"/>
  <c r="E50" i="24"/>
  <c r="E58" i="24"/>
  <c r="E47" i="23"/>
  <c r="E55" i="23"/>
  <c r="G49" i="17"/>
  <c r="G57" i="17"/>
  <c r="G48" i="17"/>
  <c r="G56" i="17"/>
  <c r="G49" i="26"/>
  <c r="G57" i="26"/>
  <c r="G48" i="26"/>
  <c r="G56" i="26"/>
  <c r="G48" i="25"/>
  <c r="G56" i="25"/>
  <c r="G49" i="25"/>
  <c r="G57" i="25"/>
  <c r="G49" i="24"/>
  <c r="G57" i="24"/>
  <c r="G48" i="24"/>
  <c r="G56" i="24"/>
  <c r="H49" i="23"/>
  <c r="H57" i="23"/>
  <c r="H48" i="23"/>
  <c r="H56" i="23"/>
  <c r="H42" i="25"/>
  <c r="I35" i="25"/>
  <c r="H43" i="24"/>
  <c r="I36" i="24"/>
  <c r="I35" i="24"/>
  <c r="H42" i="24"/>
  <c r="H43" i="17"/>
  <c r="I36" i="17"/>
  <c r="H42" i="17"/>
  <c r="I35" i="17"/>
  <c r="I42" i="23"/>
  <c r="J35" i="23"/>
  <c r="O22" i="23"/>
  <c r="O27" i="23" s="1"/>
  <c r="O23" i="23"/>
  <c r="O28" i="23" s="1"/>
  <c r="O26" i="23"/>
  <c r="O31" i="23" s="1"/>
  <c r="O24" i="23"/>
  <c r="O29" i="23" s="1"/>
  <c r="O25" i="23"/>
  <c r="O30" i="23" s="1"/>
  <c r="E60" i="23"/>
  <c r="E59" i="25"/>
  <c r="E12" i="28"/>
  <c r="F45" i="25"/>
  <c r="F51" i="25" s="1"/>
  <c r="F46" i="25"/>
  <c r="F54" i="25"/>
  <c r="I33" i="23"/>
  <c r="H40" i="23"/>
  <c r="I33" i="24"/>
  <c r="H40" i="24"/>
  <c r="F46" i="17"/>
  <c r="F45" i="17"/>
  <c r="F51" i="17" s="1"/>
  <c r="F54" i="17"/>
  <c r="G34" i="27"/>
  <c r="G35" i="27" s="1"/>
  <c r="G36" i="27" s="1"/>
  <c r="G29" i="27"/>
  <c r="G31" i="27" s="1"/>
  <c r="G30" i="27"/>
  <c r="E14" i="28"/>
  <c r="E59" i="17"/>
  <c r="H33" i="17"/>
  <c r="G40" i="17"/>
  <c r="I33" i="26"/>
  <c r="H40" i="26"/>
  <c r="G40" i="25"/>
  <c r="H33" i="25"/>
  <c r="F59" i="23"/>
  <c r="F10" i="28"/>
  <c r="H28" i="27"/>
  <c r="I25" i="27"/>
  <c r="G45" i="23"/>
  <c r="G51" i="23" s="1"/>
  <c r="G46" i="23"/>
  <c r="G54" i="23"/>
  <c r="F13" i="28"/>
  <c r="F59" i="26"/>
  <c r="F11" i="28"/>
  <c r="F59" i="24"/>
  <c r="P18" i="23"/>
  <c r="G54" i="26" l="1"/>
  <c r="G13" i="28" s="1"/>
  <c r="G46" i="26"/>
  <c r="I36" i="26"/>
  <c r="J36" i="26" s="1"/>
  <c r="I36" i="25"/>
  <c r="I43" i="25" s="1"/>
  <c r="J36" i="23"/>
  <c r="K36" i="23" s="1"/>
  <c r="I35" i="26"/>
  <c r="I42" i="26" s="1"/>
  <c r="P18" i="25"/>
  <c r="N18" i="26"/>
  <c r="O26" i="25"/>
  <c r="O31" i="25" s="1"/>
  <c r="O23" i="25"/>
  <c r="O28" i="25" s="1"/>
  <c r="O24" i="25"/>
  <c r="O29" i="25" s="1"/>
  <c r="O25" i="25"/>
  <c r="O30" i="25" s="1"/>
  <c r="O22" i="25"/>
  <c r="O27" i="25" s="1"/>
  <c r="O22" i="24"/>
  <c r="O27" i="24" s="1"/>
  <c r="O24" i="24"/>
  <c r="O29" i="24" s="1"/>
  <c r="O23" i="24"/>
  <c r="O28" i="24" s="1"/>
  <c r="O26" i="24"/>
  <c r="O31" i="24" s="1"/>
  <c r="O25" i="24"/>
  <c r="O30" i="24" s="1"/>
  <c r="K25" i="17"/>
  <c r="K30" i="17" s="1"/>
  <c r="K22" i="17"/>
  <c r="K27" i="17" s="1"/>
  <c r="K26" i="17"/>
  <c r="K31" i="17" s="1"/>
  <c r="K23" i="17"/>
  <c r="K28" i="17" s="1"/>
  <c r="K24" i="17"/>
  <c r="K29" i="17" s="1"/>
  <c r="P18" i="24"/>
  <c r="L18" i="17"/>
  <c r="M23" i="26"/>
  <c r="M28" i="26" s="1"/>
  <c r="M22" i="26"/>
  <c r="M27" i="26" s="1"/>
  <c r="M24" i="26"/>
  <c r="M29" i="26" s="1"/>
  <c r="M26" i="26"/>
  <c r="M31" i="26" s="1"/>
  <c r="M25" i="26"/>
  <c r="M30" i="26" s="1"/>
  <c r="F60" i="24"/>
  <c r="E60" i="25"/>
  <c r="F60" i="26"/>
  <c r="G45" i="24"/>
  <c r="G51" i="24" s="1"/>
  <c r="G54" i="24"/>
  <c r="G11" i="28" s="1"/>
  <c r="E60" i="17"/>
  <c r="F58" i="23"/>
  <c r="F50" i="23"/>
  <c r="F50" i="17"/>
  <c r="F58" i="17"/>
  <c r="H37" i="25"/>
  <c r="G44" i="25"/>
  <c r="H37" i="26"/>
  <c r="G44" i="26"/>
  <c r="F47" i="17"/>
  <c r="F55" i="17"/>
  <c r="G44" i="23"/>
  <c r="H37" i="23"/>
  <c r="H37" i="17"/>
  <c r="G44" i="17"/>
  <c r="F58" i="25"/>
  <c r="F50" i="25"/>
  <c r="F50" i="26"/>
  <c r="F58" i="26"/>
  <c r="G41" i="17"/>
  <c r="H34" i="17"/>
  <c r="H34" i="26"/>
  <c r="G41" i="26"/>
  <c r="H34" i="25"/>
  <c r="G41" i="25"/>
  <c r="H34" i="24"/>
  <c r="G41" i="24"/>
  <c r="F47" i="23"/>
  <c r="F55" i="23"/>
  <c r="H37" i="24"/>
  <c r="G44" i="24"/>
  <c r="F47" i="26"/>
  <c r="F55" i="26"/>
  <c r="F55" i="25"/>
  <c r="F47" i="25"/>
  <c r="F47" i="24"/>
  <c r="F55" i="24"/>
  <c r="G41" i="23"/>
  <c r="H34" i="23"/>
  <c r="F50" i="24"/>
  <c r="F58" i="24"/>
  <c r="H48" i="17"/>
  <c r="H56" i="17"/>
  <c r="H49" i="17"/>
  <c r="H57" i="17"/>
  <c r="H48" i="26"/>
  <c r="H56" i="26"/>
  <c r="H49" i="26"/>
  <c r="H57" i="26"/>
  <c r="H49" i="25"/>
  <c r="H57" i="25"/>
  <c r="H48" i="25"/>
  <c r="H56" i="25"/>
  <c r="H48" i="24"/>
  <c r="H56" i="24"/>
  <c r="H49" i="24"/>
  <c r="H57" i="24"/>
  <c r="I48" i="23"/>
  <c r="I56" i="23"/>
  <c r="I49" i="23"/>
  <c r="I57" i="23"/>
  <c r="J35" i="17"/>
  <c r="I42" i="17"/>
  <c r="I42" i="25"/>
  <c r="J35" i="25"/>
  <c r="I43" i="17"/>
  <c r="J36" i="17"/>
  <c r="I43" i="24"/>
  <c r="J36" i="24"/>
  <c r="I42" i="24"/>
  <c r="J35" i="24"/>
  <c r="K35" i="23"/>
  <c r="J42" i="23"/>
  <c r="P22" i="23"/>
  <c r="P27" i="23" s="1"/>
  <c r="P26" i="23"/>
  <c r="P31" i="23" s="1"/>
  <c r="P25" i="23"/>
  <c r="P30" i="23" s="1"/>
  <c r="P23" i="23"/>
  <c r="P28" i="23" s="1"/>
  <c r="P24" i="23"/>
  <c r="P29" i="23" s="1"/>
  <c r="F60" i="23"/>
  <c r="I28" i="27"/>
  <c r="J25" i="27"/>
  <c r="I33" i="25"/>
  <c r="H40" i="25"/>
  <c r="G46" i="17"/>
  <c r="G54" i="17"/>
  <c r="G45" i="17"/>
  <c r="G51" i="17" s="1"/>
  <c r="F12" i="28"/>
  <c r="F59" i="25"/>
  <c r="G59" i="23"/>
  <c r="G10" i="28"/>
  <c r="H30" i="27"/>
  <c r="H29" i="27"/>
  <c r="H31" i="27" s="1"/>
  <c r="H34" i="27"/>
  <c r="H35" i="27" s="1"/>
  <c r="H36" i="27" s="1"/>
  <c r="G45" i="25"/>
  <c r="G51" i="25" s="1"/>
  <c r="G46" i="25"/>
  <c r="G54" i="25"/>
  <c r="I33" i="17"/>
  <c r="H40" i="17"/>
  <c r="F14" i="28"/>
  <c r="F59" i="17"/>
  <c r="H45" i="26"/>
  <c r="H51" i="26" s="1"/>
  <c r="H46" i="26"/>
  <c r="H54" i="26"/>
  <c r="H54" i="24"/>
  <c r="H46" i="24"/>
  <c r="H45" i="24"/>
  <c r="H51" i="24" s="1"/>
  <c r="H54" i="23"/>
  <c r="H46" i="23"/>
  <c r="H45" i="23"/>
  <c r="H51" i="23" s="1"/>
  <c r="I40" i="26"/>
  <c r="J33" i="26"/>
  <c r="J33" i="24"/>
  <c r="I40" i="24"/>
  <c r="J33" i="23"/>
  <c r="I40" i="23"/>
  <c r="Q18" i="23"/>
  <c r="G59" i="26" l="1"/>
  <c r="G60" i="26" s="1"/>
  <c r="I43" i="26"/>
  <c r="I57" i="26" s="1"/>
  <c r="J43" i="23"/>
  <c r="J49" i="23" s="1"/>
  <c r="J36" i="25"/>
  <c r="J43" i="25" s="1"/>
  <c r="J35" i="26"/>
  <c r="J42" i="26" s="1"/>
  <c r="Q18" i="24"/>
  <c r="O18" i="26"/>
  <c r="M18" i="17"/>
  <c r="N23" i="26"/>
  <c r="N28" i="26" s="1"/>
  <c r="N25" i="26"/>
  <c r="N30" i="26" s="1"/>
  <c r="N26" i="26"/>
  <c r="N31" i="26" s="1"/>
  <c r="N24" i="26"/>
  <c r="N29" i="26" s="1"/>
  <c r="N22" i="26"/>
  <c r="N27" i="26" s="1"/>
  <c r="L25" i="17"/>
  <c r="L30" i="17" s="1"/>
  <c r="L22" i="17"/>
  <c r="L27" i="17" s="1"/>
  <c r="L26" i="17"/>
  <c r="L31" i="17" s="1"/>
  <c r="L23" i="17"/>
  <c r="L28" i="17" s="1"/>
  <c r="L24" i="17"/>
  <c r="L29" i="17" s="1"/>
  <c r="Q18" i="25"/>
  <c r="P24" i="24"/>
  <c r="P29" i="24" s="1"/>
  <c r="P22" i="24"/>
  <c r="P27" i="24" s="1"/>
  <c r="P25" i="24"/>
  <c r="P30" i="24" s="1"/>
  <c r="P23" i="24"/>
  <c r="P28" i="24" s="1"/>
  <c r="P26" i="24"/>
  <c r="P31" i="24" s="1"/>
  <c r="P22" i="25"/>
  <c r="P27" i="25" s="1"/>
  <c r="P25" i="25"/>
  <c r="P30" i="25" s="1"/>
  <c r="P26" i="25"/>
  <c r="P31" i="25" s="1"/>
  <c r="P24" i="25"/>
  <c r="P29" i="25" s="1"/>
  <c r="P23" i="25"/>
  <c r="P28" i="25" s="1"/>
  <c r="F60" i="25"/>
  <c r="G59" i="24"/>
  <c r="G60" i="24" s="1"/>
  <c r="F60" i="17"/>
  <c r="G47" i="25"/>
  <c r="G55" i="25"/>
  <c r="G50" i="26"/>
  <c r="G58" i="26"/>
  <c r="H44" i="26"/>
  <c r="I37" i="26"/>
  <c r="I34" i="23"/>
  <c r="H41" i="23"/>
  <c r="G50" i="24"/>
  <c r="G58" i="24"/>
  <c r="G47" i="24"/>
  <c r="G55" i="24"/>
  <c r="G47" i="26"/>
  <c r="G55" i="26"/>
  <c r="G50" i="17"/>
  <c r="G58" i="17"/>
  <c r="G50" i="25"/>
  <c r="G58" i="25"/>
  <c r="H41" i="17"/>
  <c r="I34" i="17"/>
  <c r="I37" i="23"/>
  <c r="H44" i="23"/>
  <c r="H41" i="25"/>
  <c r="I34" i="25"/>
  <c r="G47" i="17"/>
  <c r="G55" i="17"/>
  <c r="G58" i="23"/>
  <c r="G50" i="23"/>
  <c r="G55" i="23"/>
  <c r="G47" i="23"/>
  <c r="H44" i="24"/>
  <c r="I37" i="24"/>
  <c r="H41" i="24"/>
  <c r="I34" i="24"/>
  <c r="H41" i="26"/>
  <c r="I34" i="26"/>
  <c r="H44" i="17"/>
  <c r="I37" i="17"/>
  <c r="H44" i="25"/>
  <c r="I37" i="25"/>
  <c r="I48" i="17"/>
  <c r="I56" i="17"/>
  <c r="I49" i="17"/>
  <c r="I57" i="17"/>
  <c r="I48" i="26"/>
  <c r="I56" i="26"/>
  <c r="I49" i="25"/>
  <c r="I57" i="25"/>
  <c r="I48" i="25"/>
  <c r="I56" i="25"/>
  <c r="I48" i="24"/>
  <c r="I56" i="24"/>
  <c r="I49" i="24"/>
  <c r="I57" i="24"/>
  <c r="J48" i="23"/>
  <c r="J56" i="23"/>
  <c r="J42" i="24"/>
  <c r="K35" i="24"/>
  <c r="J43" i="26"/>
  <c r="K36" i="26"/>
  <c r="J43" i="24"/>
  <c r="K36" i="24"/>
  <c r="J42" i="25"/>
  <c r="K35" i="25"/>
  <c r="J43" i="17"/>
  <c r="K36" i="17"/>
  <c r="J42" i="17"/>
  <c r="K35" i="17"/>
  <c r="K43" i="23"/>
  <c r="L36" i="23"/>
  <c r="K42" i="23"/>
  <c r="L35" i="23"/>
  <c r="Q22" i="23"/>
  <c r="Q27" i="23" s="1"/>
  <c r="Q25" i="23"/>
  <c r="Q30" i="23" s="1"/>
  <c r="Q26" i="23"/>
  <c r="Q31" i="23" s="1"/>
  <c r="Q24" i="23"/>
  <c r="Q29" i="23" s="1"/>
  <c r="Q23" i="23"/>
  <c r="Q28" i="23" s="1"/>
  <c r="G60" i="23"/>
  <c r="H59" i="24"/>
  <c r="H11" i="28"/>
  <c r="I46" i="23"/>
  <c r="I54" i="23"/>
  <c r="I45" i="23"/>
  <c r="I51" i="23" s="1"/>
  <c r="K33" i="26"/>
  <c r="J40" i="26"/>
  <c r="H59" i="23"/>
  <c r="H10" i="28"/>
  <c r="H59" i="26"/>
  <c r="H13" i="28"/>
  <c r="G59" i="25"/>
  <c r="G12" i="28"/>
  <c r="I40" i="25"/>
  <c r="J33" i="25"/>
  <c r="I40" i="17"/>
  <c r="J33" i="17"/>
  <c r="H54" i="25"/>
  <c r="H46" i="25"/>
  <c r="H45" i="25"/>
  <c r="H51" i="25" s="1"/>
  <c r="J40" i="23"/>
  <c r="K33" i="23"/>
  <c r="I54" i="26"/>
  <c r="I46" i="26"/>
  <c r="I45" i="26"/>
  <c r="I51" i="26" s="1"/>
  <c r="G14" i="28"/>
  <c r="G59" i="17"/>
  <c r="K25" i="27"/>
  <c r="J28" i="27"/>
  <c r="K33" i="24"/>
  <c r="J40" i="24"/>
  <c r="I45" i="24"/>
  <c r="I51" i="24" s="1"/>
  <c r="I54" i="24"/>
  <c r="I46" i="24"/>
  <c r="H45" i="17"/>
  <c r="H51" i="17" s="1"/>
  <c r="H54" i="17"/>
  <c r="H46" i="17"/>
  <c r="I29" i="27"/>
  <c r="I31" i="27" s="1"/>
  <c r="I34" i="27"/>
  <c r="I35" i="27" s="1"/>
  <c r="I36" i="27" s="1"/>
  <c r="I30" i="27"/>
  <c r="R18" i="23"/>
  <c r="I49" i="26" l="1"/>
  <c r="J57" i="23"/>
  <c r="K36" i="25"/>
  <c r="L36" i="25" s="1"/>
  <c r="K35" i="26"/>
  <c r="K42" i="26" s="1"/>
  <c r="P18" i="26"/>
  <c r="O23" i="26"/>
  <c r="O28" i="26" s="1"/>
  <c r="O24" i="26"/>
  <c r="O29" i="26" s="1"/>
  <c r="O22" i="26"/>
  <c r="O27" i="26" s="1"/>
  <c r="O25" i="26"/>
  <c r="O30" i="26" s="1"/>
  <c r="O26" i="26"/>
  <c r="O31" i="26" s="1"/>
  <c r="R18" i="25"/>
  <c r="M22" i="17"/>
  <c r="M27" i="17" s="1"/>
  <c r="M25" i="17"/>
  <c r="M30" i="17" s="1"/>
  <c r="M26" i="17"/>
  <c r="M31" i="17" s="1"/>
  <c r="M24" i="17"/>
  <c r="M29" i="17" s="1"/>
  <c r="M23" i="17"/>
  <c r="M28" i="17" s="1"/>
  <c r="R18" i="24"/>
  <c r="Q22" i="25"/>
  <c r="Q27" i="25" s="1"/>
  <c r="Q26" i="25"/>
  <c r="Q31" i="25" s="1"/>
  <c r="Q23" i="25"/>
  <c r="Q28" i="25" s="1"/>
  <c r="Q24" i="25"/>
  <c r="Q29" i="25" s="1"/>
  <c r="Q25" i="25"/>
  <c r="Q30" i="25" s="1"/>
  <c r="N18" i="17"/>
  <c r="Q26" i="24"/>
  <c r="Q31" i="24" s="1"/>
  <c r="Q24" i="24"/>
  <c r="Q29" i="24" s="1"/>
  <c r="Q22" i="24"/>
  <c r="Q27" i="24" s="1"/>
  <c r="Q25" i="24"/>
  <c r="Q30" i="24" s="1"/>
  <c r="Q23" i="24"/>
  <c r="Q28" i="24" s="1"/>
  <c r="H60" i="24"/>
  <c r="H60" i="26"/>
  <c r="G60" i="17"/>
  <c r="I44" i="17"/>
  <c r="J37" i="17"/>
  <c r="I44" i="26"/>
  <c r="J37" i="26"/>
  <c r="I44" i="25"/>
  <c r="J37" i="25"/>
  <c r="I41" i="26"/>
  <c r="J34" i="26"/>
  <c r="I44" i="24"/>
  <c r="J37" i="24"/>
  <c r="I41" i="25"/>
  <c r="J34" i="25"/>
  <c r="I41" i="17"/>
  <c r="J34" i="17"/>
  <c r="H47" i="23"/>
  <c r="H55" i="23"/>
  <c r="H50" i="25"/>
  <c r="H58" i="25"/>
  <c r="H47" i="26"/>
  <c r="H55" i="26"/>
  <c r="H50" i="24"/>
  <c r="H58" i="24"/>
  <c r="H47" i="25"/>
  <c r="H55" i="25"/>
  <c r="H47" i="17"/>
  <c r="H55" i="17"/>
  <c r="I41" i="23"/>
  <c r="J34" i="23"/>
  <c r="I41" i="24"/>
  <c r="J34" i="24"/>
  <c r="H50" i="23"/>
  <c r="H58" i="23"/>
  <c r="H50" i="17"/>
  <c r="H58" i="17"/>
  <c r="H47" i="24"/>
  <c r="H55" i="24"/>
  <c r="I44" i="23"/>
  <c r="J37" i="23"/>
  <c r="H50" i="26"/>
  <c r="H58" i="26"/>
  <c r="G60" i="25"/>
  <c r="J48" i="17"/>
  <c r="J56" i="17"/>
  <c r="J49" i="17"/>
  <c r="J57" i="17"/>
  <c r="J48" i="26"/>
  <c r="J56" i="26"/>
  <c r="J49" i="26"/>
  <c r="J57" i="26"/>
  <c r="J48" i="25"/>
  <c r="J56" i="25"/>
  <c r="J49" i="25"/>
  <c r="J57" i="25"/>
  <c r="J49" i="24"/>
  <c r="J57" i="24"/>
  <c r="J48" i="24"/>
  <c r="J56" i="24"/>
  <c r="K48" i="23"/>
  <c r="K56" i="23"/>
  <c r="K49" i="23"/>
  <c r="K57" i="23"/>
  <c r="K42" i="17"/>
  <c r="L35" i="17"/>
  <c r="K43" i="17"/>
  <c r="L36" i="17"/>
  <c r="K43" i="24"/>
  <c r="L36" i="24"/>
  <c r="K43" i="26"/>
  <c r="L36" i="26"/>
  <c r="K42" i="25"/>
  <c r="L35" i="25"/>
  <c r="K42" i="24"/>
  <c r="L35" i="24"/>
  <c r="L43" i="23"/>
  <c r="M36" i="23"/>
  <c r="L42" i="23"/>
  <c r="M35" i="23"/>
  <c r="R22" i="23"/>
  <c r="R27" i="23" s="1"/>
  <c r="R24" i="23"/>
  <c r="R29" i="23" s="1"/>
  <c r="R25" i="23"/>
  <c r="R30" i="23" s="1"/>
  <c r="R23" i="23"/>
  <c r="R28" i="23" s="1"/>
  <c r="R26" i="23"/>
  <c r="R31" i="23" s="1"/>
  <c r="H60" i="23"/>
  <c r="K40" i="24"/>
  <c r="L33" i="24"/>
  <c r="I59" i="24"/>
  <c r="I11" i="28"/>
  <c r="J46" i="24"/>
  <c r="J45" i="24"/>
  <c r="J51" i="24" s="1"/>
  <c r="J54" i="24"/>
  <c r="I59" i="26"/>
  <c r="I13" i="28"/>
  <c r="J40" i="25"/>
  <c r="K33" i="25"/>
  <c r="K40" i="23"/>
  <c r="L33" i="23"/>
  <c r="H12" i="28"/>
  <c r="H59" i="25"/>
  <c r="I45" i="25"/>
  <c r="I51" i="25" s="1"/>
  <c r="I54" i="25"/>
  <c r="I46" i="25"/>
  <c r="J54" i="26"/>
  <c r="J46" i="26"/>
  <c r="J45" i="26"/>
  <c r="J51" i="26" s="1"/>
  <c r="I10" i="28"/>
  <c r="I59" i="23"/>
  <c r="J30" i="27"/>
  <c r="J34" i="27"/>
  <c r="J35" i="27" s="1"/>
  <c r="J36" i="27" s="1"/>
  <c r="J29" i="27"/>
  <c r="J31" i="27" s="1"/>
  <c r="J45" i="23"/>
  <c r="J51" i="23" s="1"/>
  <c r="J46" i="23"/>
  <c r="J54" i="23"/>
  <c r="J40" i="17"/>
  <c r="K33" i="17"/>
  <c r="K40" i="26"/>
  <c r="L33" i="26"/>
  <c r="H14" i="28"/>
  <c r="H59" i="17"/>
  <c r="L25" i="27"/>
  <c r="K28" i="27"/>
  <c r="I46" i="17"/>
  <c r="I45" i="17"/>
  <c r="I51" i="17" s="1"/>
  <c r="I54" i="17"/>
  <c r="S18" i="23"/>
  <c r="K43" i="25" l="1"/>
  <c r="K57" i="25" s="1"/>
  <c r="L35" i="26"/>
  <c r="L42" i="26" s="1"/>
  <c r="N24" i="17"/>
  <c r="N29" i="17" s="1"/>
  <c r="N22" i="17"/>
  <c r="N27" i="17" s="1"/>
  <c r="N25" i="17"/>
  <c r="N30" i="17" s="1"/>
  <c r="N26" i="17"/>
  <c r="N31" i="17" s="1"/>
  <c r="N23" i="17"/>
  <c r="N28" i="17" s="1"/>
  <c r="S18" i="24"/>
  <c r="R25" i="24"/>
  <c r="R30" i="24" s="1"/>
  <c r="R26" i="24"/>
  <c r="R31" i="24" s="1"/>
  <c r="R22" i="24"/>
  <c r="R27" i="24" s="1"/>
  <c r="R23" i="24"/>
  <c r="R28" i="24" s="1"/>
  <c r="R24" i="24"/>
  <c r="R29" i="24" s="1"/>
  <c r="O18" i="17"/>
  <c r="P23" i="26"/>
  <c r="P28" i="26" s="1"/>
  <c r="P22" i="26"/>
  <c r="P27" i="26" s="1"/>
  <c r="P26" i="26"/>
  <c r="P31" i="26" s="1"/>
  <c r="P24" i="26"/>
  <c r="P29" i="26" s="1"/>
  <c r="P25" i="26"/>
  <c r="P30" i="26" s="1"/>
  <c r="R24" i="25"/>
  <c r="R29" i="25" s="1"/>
  <c r="R26" i="25"/>
  <c r="R31" i="25" s="1"/>
  <c r="R22" i="25"/>
  <c r="R27" i="25" s="1"/>
  <c r="R23" i="25"/>
  <c r="R28" i="25" s="1"/>
  <c r="R25" i="25"/>
  <c r="R30" i="25" s="1"/>
  <c r="S18" i="25"/>
  <c r="Q18" i="26"/>
  <c r="I60" i="24"/>
  <c r="I60" i="26"/>
  <c r="H60" i="17"/>
  <c r="J41" i="23"/>
  <c r="K34" i="23"/>
  <c r="J41" i="26"/>
  <c r="K34" i="26"/>
  <c r="I47" i="26"/>
  <c r="I55" i="26"/>
  <c r="J44" i="23"/>
  <c r="K37" i="23"/>
  <c r="J41" i="24"/>
  <c r="K34" i="24"/>
  <c r="J41" i="17"/>
  <c r="K34" i="17"/>
  <c r="K37" i="24"/>
  <c r="J44" i="24"/>
  <c r="J44" i="25"/>
  <c r="K37" i="25"/>
  <c r="J44" i="17"/>
  <c r="K37" i="17"/>
  <c r="J41" i="25"/>
  <c r="K34" i="25"/>
  <c r="J44" i="26"/>
  <c r="K37" i="26"/>
  <c r="I47" i="23"/>
  <c r="I55" i="23"/>
  <c r="I47" i="25"/>
  <c r="I55" i="25"/>
  <c r="I50" i="26"/>
  <c r="I58" i="26"/>
  <c r="I50" i="23"/>
  <c r="I58" i="23"/>
  <c r="I47" i="24"/>
  <c r="I55" i="24"/>
  <c r="I47" i="17"/>
  <c r="I55" i="17"/>
  <c r="I50" i="24"/>
  <c r="I58" i="24"/>
  <c r="I50" i="25"/>
  <c r="I58" i="25"/>
  <c r="I50" i="17"/>
  <c r="I58" i="17"/>
  <c r="H60" i="25"/>
  <c r="K49" i="17"/>
  <c r="K57" i="17"/>
  <c r="K48" i="17"/>
  <c r="K56" i="17"/>
  <c r="K48" i="26"/>
  <c r="K56" i="26"/>
  <c r="K49" i="26"/>
  <c r="K57" i="26"/>
  <c r="K48" i="25"/>
  <c r="K56" i="25"/>
  <c r="K48" i="24"/>
  <c r="K56" i="24"/>
  <c r="K49" i="24"/>
  <c r="K57" i="24"/>
  <c r="L48" i="23"/>
  <c r="L56" i="23"/>
  <c r="L49" i="23"/>
  <c r="L57" i="23"/>
  <c r="L42" i="25"/>
  <c r="M35" i="25"/>
  <c r="L42" i="24"/>
  <c r="M35" i="24"/>
  <c r="L43" i="25"/>
  <c r="M36" i="25"/>
  <c r="L43" i="24"/>
  <c r="M36" i="24"/>
  <c r="M36" i="17"/>
  <c r="L43" i="17"/>
  <c r="L43" i="26"/>
  <c r="M36" i="26"/>
  <c r="L42" i="17"/>
  <c r="M35" i="17"/>
  <c r="N36" i="23"/>
  <c r="M43" i="23"/>
  <c r="M42" i="23"/>
  <c r="N35" i="23"/>
  <c r="S22" i="23"/>
  <c r="S27" i="23" s="1"/>
  <c r="S23" i="23"/>
  <c r="S28" i="23" s="1"/>
  <c r="S24" i="23"/>
  <c r="S29" i="23" s="1"/>
  <c r="S26" i="23"/>
  <c r="S31" i="23" s="1"/>
  <c r="S25" i="23"/>
  <c r="S30" i="23" s="1"/>
  <c r="I60" i="23"/>
  <c r="K40" i="17"/>
  <c r="L33" i="17"/>
  <c r="J11" i="28"/>
  <c r="J59" i="24"/>
  <c r="J54" i="17"/>
  <c r="J45" i="17"/>
  <c r="J51" i="17" s="1"/>
  <c r="J46" i="17"/>
  <c r="J54" i="25"/>
  <c r="J46" i="25"/>
  <c r="J45" i="25"/>
  <c r="J51" i="25" s="1"/>
  <c r="I14" i="28"/>
  <c r="I59" i="17"/>
  <c r="M25" i="27"/>
  <c r="L28" i="27"/>
  <c r="K40" i="25"/>
  <c r="L33" i="25"/>
  <c r="M33" i="26"/>
  <c r="L40" i="26"/>
  <c r="J59" i="23"/>
  <c r="J10" i="28"/>
  <c r="I59" i="25"/>
  <c r="I12" i="28"/>
  <c r="L40" i="23"/>
  <c r="M33" i="23"/>
  <c r="L40" i="24"/>
  <c r="M33" i="24"/>
  <c r="J59" i="26"/>
  <c r="J13" i="28"/>
  <c r="K34" i="27"/>
  <c r="K35" i="27" s="1"/>
  <c r="K36" i="27" s="1"/>
  <c r="K30" i="27"/>
  <c r="K29" i="27"/>
  <c r="K31" i="27" s="1"/>
  <c r="K46" i="26"/>
  <c r="K54" i="26"/>
  <c r="K45" i="26"/>
  <c r="K51" i="26" s="1"/>
  <c r="K54" i="23"/>
  <c r="K46" i="23"/>
  <c r="K45" i="23"/>
  <c r="K51" i="23" s="1"/>
  <c r="K45" i="24"/>
  <c r="K51" i="24" s="1"/>
  <c r="K46" i="24"/>
  <c r="K54" i="24"/>
  <c r="T18" i="23"/>
  <c r="K49" i="25" l="1"/>
  <c r="M35" i="26"/>
  <c r="M42" i="26" s="1"/>
  <c r="S23" i="24"/>
  <c r="S28" i="24" s="1"/>
  <c r="S25" i="24"/>
  <c r="S30" i="24" s="1"/>
  <c r="S24" i="24"/>
  <c r="S29" i="24" s="1"/>
  <c r="S22" i="24"/>
  <c r="S27" i="24" s="1"/>
  <c r="S26" i="24"/>
  <c r="S31" i="24" s="1"/>
  <c r="S23" i="25"/>
  <c r="S28" i="25" s="1"/>
  <c r="S24" i="25"/>
  <c r="S29" i="25" s="1"/>
  <c r="S26" i="25"/>
  <c r="S31" i="25" s="1"/>
  <c r="S22" i="25"/>
  <c r="S27" i="25" s="1"/>
  <c r="S25" i="25"/>
  <c r="S30" i="25" s="1"/>
  <c r="P18" i="17"/>
  <c r="T18" i="24"/>
  <c r="R18" i="26"/>
  <c r="Q26" i="26"/>
  <c r="Q31" i="26" s="1"/>
  <c r="Q23" i="26"/>
  <c r="Q28" i="26" s="1"/>
  <c r="Q24" i="26"/>
  <c r="Q29" i="26" s="1"/>
  <c r="Q22" i="26"/>
  <c r="Q27" i="26" s="1"/>
  <c r="Q25" i="26"/>
  <c r="Q30" i="26" s="1"/>
  <c r="T18" i="25"/>
  <c r="O26" i="17"/>
  <c r="O31" i="17" s="1"/>
  <c r="O23" i="17"/>
  <c r="O28" i="17" s="1"/>
  <c r="O25" i="17"/>
  <c r="O30" i="17" s="1"/>
  <c r="O22" i="17"/>
  <c r="O27" i="17" s="1"/>
  <c r="O24" i="17"/>
  <c r="O29" i="17" s="1"/>
  <c r="J60" i="24"/>
  <c r="J60" i="26"/>
  <c r="I60" i="17"/>
  <c r="L34" i="25"/>
  <c r="K41" i="25"/>
  <c r="L37" i="25"/>
  <c r="K44" i="25"/>
  <c r="L34" i="17"/>
  <c r="K41" i="17"/>
  <c r="K44" i="23"/>
  <c r="L37" i="23"/>
  <c r="L34" i="26"/>
  <c r="K41" i="26"/>
  <c r="J55" i="25"/>
  <c r="J47" i="25"/>
  <c r="J58" i="25"/>
  <c r="J50" i="25"/>
  <c r="J55" i="17"/>
  <c r="J47" i="17"/>
  <c r="J50" i="23"/>
  <c r="J58" i="23"/>
  <c r="J55" i="26"/>
  <c r="J47" i="26"/>
  <c r="L37" i="26"/>
  <c r="K44" i="26"/>
  <c r="L37" i="17"/>
  <c r="K44" i="17"/>
  <c r="J58" i="24"/>
  <c r="J50" i="24"/>
  <c r="L34" i="24"/>
  <c r="K41" i="24"/>
  <c r="K41" i="23"/>
  <c r="L34" i="23"/>
  <c r="J58" i="26"/>
  <c r="J50" i="26"/>
  <c r="J58" i="17"/>
  <c r="J50" i="17"/>
  <c r="L37" i="24"/>
  <c r="K44" i="24"/>
  <c r="J47" i="24"/>
  <c r="J55" i="24"/>
  <c r="J47" i="23"/>
  <c r="J55" i="23"/>
  <c r="I60" i="25"/>
  <c r="L49" i="17"/>
  <c r="L57" i="17"/>
  <c r="L48" i="17"/>
  <c r="L56" i="17"/>
  <c r="L48" i="26"/>
  <c r="L56" i="26"/>
  <c r="L49" i="26"/>
  <c r="L57" i="26"/>
  <c r="L49" i="25"/>
  <c r="L57" i="25"/>
  <c r="L48" i="25"/>
  <c r="L56" i="25"/>
  <c r="L49" i="24"/>
  <c r="L57" i="24"/>
  <c r="L48" i="24"/>
  <c r="L56" i="24"/>
  <c r="M49" i="23"/>
  <c r="M57" i="23"/>
  <c r="M48" i="23"/>
  <c r="M56" i="23"/>
  <c r="M43" i="24"/>
  <c r="N36" i="24"/>
  <c r="M42" i="24"/>
  <c r="N35" i="24"/>
  <c r="N35" i="17"/>
  <c r="M42" i="17"/>
  <c r="M43" i="26"/>
  <c r="N36" i="26"/>
  <c r="M43" i="25"/>
  <c r="N36" i="25"/>
  <c r="M42" i="25"/>
  <c r="N35" i="25"/>
  <c r="M43" i="17"/>
  <c r="N36" i="17"/>
  <c r="N42" i="23"/>
  <c r="O35" i="23"/>
  <c r="N43" i="23"/>
  <c r="O36" i="23"/>
  <c r="T22" i="23"/>
  <c r="T27" i="23" s="1"/>
  <c r="T26" i="23"/>
  <c r="T31" i="23" s="1"/>
  <c r="T23" i="23"/>
  <c r="T28" i="23" s="1"/>
  <c r="T25" i="23"/>
  <c r="T30" i="23" s="1"/>
  <c r="T24" i="23"/>
  <c r="T29" i="23" s="1"/>
  <c r="J60" i="23"/>
  <c r="L54" i="24"/>
  <c r="L46" i="24"/>
  <c r="L45" i="24"/>
  <c r="L51" i="24" s="1"/>
  <c r="L40" i="17"/>
  <c r="M33" i="17"/>
  <c r="K59" i="24"/>
  <c r="K11" i="28"/>
  <c r="N33" i="24"/>
  <c r="M40" i="24"/>
  <c r="L45" i="26"/>
  <c r="L51" i="26" s="1"/>
  <c r="L46" i="26"/>
  <c r="L54" i="26"/>
  <c r="L34" i="27"/>
  <c r="L35" i="27" s="1"/>
  <c r="L36" i="27" s="1"/>
  <c r="L30" i="27"/>
  <c r="L29" i="27"/>
  <c r="L31" i="27" s="1"/>
  <c r="J59" i="17"/>
  <c r="J14" i="28"/>
  <c r="K59" i="23"/>
  <c r="K10" i="28"/>
  <c r="N33" i="26"/>
  <c r="M40" i="26"/>
  <c r="N25" i="27"/>
  <c r="M28" i="27"/>
  <c r="M40" i="23"/>
  <c r="N33" i="23"/>
  <c r="M33" i="25"/>
  <c r="L40" i="25"/>
  <c r="J59" i="25"/>
  <c r="J12" i="28"/>
  <c r="K46" i="17"/>
  <c r="K45" i="17"/>
  <c r="K51" i="17" s="1"/>
  <c r="K54" i="17"/>
  <c r="K13" i="28"/>
  <c r="K59" i="26"/>
  <c r="L45" i="23"/>
  <c r="L51" i="23" s="1"/>
  <c r="L46" i="23"/>
  <c r="L54" i="23"/>
  <c r="K45" i="25"/>
  <c r="K51" i="25" s="1"/>
  <c r="K46" i="25"/>
  <c r="K54" i="25"/>
  <c r="U18" i="23"/>
  <c r="N35" i="26" l="1"/>
  <c r="N42" i="26" s="1"/>
  <c r="S18" i="26"/>
  <c r="Q18" i="17"/>
  <c r="T25" i="25"/>
  <c r="T30" i="25" s="1"/>
  <c r="T26" i="25"/>
  <c r="T31" i="25" s="1"/>
  <c r="T22" i="25"/>
  <c r="T27" i="25" s="1"/>
  <c r="T23" i="25"/>
  <c r="T28" i="25" s="1"/>
  <c r="T24" i="25"/>
  <c r="T29" i="25" s="1"/>
  <c r="R26" i="26"/>
  <c r="R31" i="26" s="1"/>
  <c r="R25" i="26"/>
  <c r="R30" i="26" s="1"/>
  <c r="R22" i="26"/>
  <c r="R27" i="26" s="1"/>
  <c r="R23" i="26"/>
  <c r="R28" i="26" s="1"/>
  <c r="R24" i="26"/>
  <c r="R29" i="26" s="1"/>
  <c r="P24" i="17"/>
  <c r="P29" i="17" s="1"/>
  <c r="P23" i="17"/>
  <c r="P28" i="17" s="1"/>
  <c r="P25" i="17"/>
  <c r="P30" i="17" s="1"/>
  <c r="P26" i="17"/>
  <c r="P31" i="17" s="1"/>
  <c r="P22" i="17"/>
  <c r="P27" i="17" s="1"/>
  <c r="U18" i="25"/>
  <c r="T23" i="24"/>
  <c r="T28" i="24" s="1"/>
  <c r="T26" i="24"/>
  <c r="T31" i="24" s="1"/>
  <c r="T24" i="24"/>
  <c r="T29" i="24" s="1"/>
  <c r="T22" i="24"/>
  <c r="T27" i="24" s="1"/>
  <c r="T25" i="24"/>
  <c r="T30" i="24" s="1"/>
  <c r="U18" i="24"/>
  <c r="K60" i="24"/>
  <c r="K60" i="26"/>
  <c r="J60" i="17"/>
  <c r="J60" i="25"/>
  <c r="K50" i="24"/>
  <c r="K58" i="24"/>
  <c r="K47" i="24"/>
  <c r="K55" i="24"/>
  <c r="K58" i="17"/>
  <c r="K50" i="17"/>
  <c r="M37" i="23"/>
  <c r="L44" i="23"/>
  <c r="K50" i="25"/>
  <c r="K58" i="25"/>
  <c r="M34" i="24"/>
  <c r="L41" i="24"/>
  <c r="L44" i="25"/>
  <c r="M37" i="25"/>
  <c r="M34" i="23"/>
  <c r="L41" i="23"/>
  <c r="K50" i="26"/>
  <c r="K58" i="26"/>
  <c r="K47" i="26"/>
  <c r="K55" i="26"/>
  <c r="K47" i="17"/>
  <c r="K55" i="17"/>
  <c r="K55" i="25"/>
  <c r="K47" i="25"/>
  <c r="L44" i="24"/>
  <c r="M37" i="24"/>
  <c r="L44" i="17"/>
  <c r="M37" i="17"/>
  <c r="K58" i="23"/>
  <c r="K50" i="23"/>
  <c r="K55" i="23"/>
  <c r="K47" i="23"/>
  <c r="L44" i="26"/>
  <c r="M37" i="26"/>
  <c r="L41" i="26"/>
  <c r="M34" i="26"/>
  <c r="M34" i="17"/>
  <c r="L41" i="17"/>
  <c r="M34" i="25"/>
  <c r="L41" i="25"/>
  <c r="M48" i="17"/>
  <c r="M56" i="17"/>
  <c r="M49" i="17"/>
  <c r="M57" i="17"/>
  <c r="M48" i="26"/>
  <c r="M56" i="26"/>
  <c r="M49" i="26"/>
  <c r="M57" i="26"/>
  <c r="M48" i="25"/>
  <c r="M56" i="25"/>
  <c r="M49" i="25"/>
  <c r="M57" i="25"/>
  <c r="M48" i="24"/>
  <c r="M56" i="24"/>
  <c r="M49" i="24"/>
  <c r="M57" i="24"/>
  <c r="N49" i="23"/>
  <c r="N57" i="23"/>
  <c r="N48" i="23"/>
  <c r="N56" i="23"/>
  <c r="N43" i="17"/>
  <c r="O36" i="17"/>
  <c r="N43" i="25"/>
  <c r="O36" i="25"/>
  <c r="N42" i="24"/>
  <c r="O35" i="24"/>
  <c r="N42" i="25"/>
  <c r="O35" i="25"/>
  <c r="N43" i="26"/>
  <c r="O36" i="26"/>
  <c r="N43" i="24"/>
  <c r="O36" i="24"/>
  <c r="N42" i="17"/>
  <c r="O35" i="17"/>
  <c r="O42" i="23"/>
  <c r="P35" i="23"/>
  <c r="O43" i="23"/>
  <c r="P36" i="23"/>
  <c r="U22" i="23"/>
  <c r="U27" i="23" s="1"/>
  <c r="U25" i="23"/>
  <c r="U30" i="23" s="1"/>
  <c r="U24" i="23"/>
  <c r="U29" i="23" s="1"/>
  <c r="U26" i="23"/>
  <c r="U31" i="23" s="1"/>
  <c r="U23" i="23"/>
  <c r="U28" i="23" s="1"/>
  <c r="K60" i="23"/>
  <c r="L10" i="28"/>
  <c r="L59" i="23"/>
  <c r="N40" i="23"/>
  <c r="O33" i="23"/>
  <c r="M30" i="27"/>
  <c r="M34" i="27"/>
  <c r="M35" i="27" s="1"/>
  <c r="M36" i="27" s="1"/>
  <c r="M29" i="27"/>
  <c r="M31" i="27" s="1"/>
  <c r="K14" i="28"/>
  <c r="K59" i="17"/>
  <c r="M54" i="23"/>
  <c r="M46" i="23"/>
  <c r="M45" i="23"/>
  <c r="M51" i="23" s="1"/>
  <c r="N28" i="27"/>
  <c r="O25" i="27"/>
  <c r="K12" i="28"/>
  <c r="K59" i="25"/>
  <c r="L45" i="25"/>
  <c r="L51" i="25" s="1"/>
  <c r="L54" i="25"/>
  <c r="L46" i="25"/>
  <c r="M46" i="26"/>
  <c r="M45" i="26"/>
  <c r="M51" i="26" s="1"/>
  <c r="M54" i="26"/>
  <c r="M46" i="24"/>
  <c r="M45" i="24"/>
  <c r="M51" i="24" s="1"/>
  <c r="M54" i="24"/>
  <c r="N33" i="17"/>
  <c r="M40" i="17"/>
  <c r="L11" i="28"/>
  <c r="L59" i="24"/>
  <c r="M40" i="25"/>
  <c r="N33" i="25"/>
  <c r="O33" i="26"/>
  <c r="N40" i="26"/>
  <c r="L13" i="28"/>
  <c r="L59" i="26"/>
  <c r="O33" i="24"/>
  <c r="N40" i="24"/>
  <c r="L45" i="17"/>
  <c r="L51" i="17" s="1"/>
  <c r="L46" i="17"/>
  <c r="L54" i="17"/>
  <c r="V18" i="23"/>
  <c r="O35" i="26" l="1"/>
  <c r="O42" i="26" s="1"/>
  <c r="U26" i="24"/>
  <c r="U31" i="24" s="1"/>
  <c r="U25" i="24"/>
  <c r="U30" i="24" s="1"/>
  <c r="U23" i="24"/>
  <c r="U28" i="24" s="1"/>
  <c r="U22" i="24"/>
  <c r="U27" i="24" s="1"/>
  <c r="U24" i="24"/>
  <c r="U29" i="24" s="1"/>
  <c r="U26" i="25"/>
  <c r="U31" i="25" s="1"/>
  <c r="U25" i="25"/>
  <c r="U30" i="25" s="1"/>
  <c r="U22" i="25"/>
  <c r="U27" i="25" s="1"/>
  <c r="U23" i="25"/>
  <c r="U28" i="25" s="1"/>
  <c r="U24" i="25"/>
  <c r="U29" i="25" s="1"/>
  <c r="R18" i="17"/>
  <c r="V18" i="24"/>
  <c r="Q22" i="17"/>
  <c r="Q27" i="17" s="1"/>
  <c r="Q24" i="17"/>
  <c r="Q29" i="17" s="1"/>
  <c r="Q26" i="17"/>
  <c r="Q31" i="17" s="1"/>
  <c r="Q23" i="17"/>
  <c r="Q28" i="17" s="1"/>
  <c r="Q25" i="17"/>
  <c r="Q30" i="17" s="1"/>
  <c r="T18" i="26"/>
  <c r="V18" i="25"/>
  <c r="S24" i="26"/>
  <c r="S29" i="26" s="1"/>
  <c r="S22" i="26"/>
  <c r="S27" i="26" s="1"/>
  <c r="S25" i="26"/>
  <c r="S30" i="26" s="1"/>
  <c r="S23" i="26"/>
  <c r="S28" i="26" s="1"/>
  <c r="S26" i="26"/>
  <c r="S31" i="26" s="1"/>
  <c r="L60" i="24"/>
  <c r="L60" i="26"/>
  <c r="K60" i="17"/>
  <c r="K60" i="25"/>
  <c r="L47" i="25"/>
  <c r="L55" i="25"/>
  <c r="L47" i="24"/>
  <c r="L55" i="24"/>
  <c r="N34" i="25"/>
  <c r="M41" i="25"/>
  <c r="L58" i="17"/>
  <c r="L50" i="17"/>
  <c r="N34" i="24"/>
  <c r="M41" i="24"/>
  <c r="L55" i="17"/>
  <c r="L47" i="17"/>
  <c r="N37" i="26"/>
  <c r="M44" i="26"/>
  <c r="N37" i="24"/>
  <c r="M44" i="24"/>
  <c r="N37" i="25"/>
  <c r="M44" i="25"/>
  <c r="M41" i="26"/>
  <c r="N34" i="26"/>
  <c r="N37" i="17"/>
  <c r="M44" i="17"/>
  <c r="L47" i="23"/>
  <c r="L55" i="23"/>
  <c r="L58" i="23"/>
  <c r="L50" i="23"/>
  <c r="L55" i="26"/>
  <c r="L47" i="26"/>
  <c r="N34" i="23"/>
  <c r="M41" i="23"/>
  <c r="M44" i="23"/>
  <c r="N37" i="23"/>
  <c r="N34" i="17"/>
  <c r="M41" i="17"/>
  <c r="L50" i="26"/>
  <c r="L58" i="26"/>
  <c r="L50" i="24"/>
  <c r="L58" i="24"/>
  <c r="L50" i="25"/>
  <c r="L58" i="25"/>
  <c r="N48" i="17"/>
  <c r="N56" i="17"/>
  <c r="N49" i="17"/>
  <c r="N57" i="17"/>
  <c r="N49" i="26"/>
  <c r="N57" i="26"/>
  <c r="N48" i="26"/>
  <c r="N56" i="26"/>
  <c r="N48" i="25"/>
  <c r="N56" i="25"/>
  <c r="N49" i="25"/>
  <c r="N57" i="25"/>
  <c r="N49" i="24"/>
  <c r="N57" i="24"/>
  <c r="N48" i="24"/>
  <c r="N56" i="24"/>
  <c r="O49" i="23"/>
  <c r="O57" i="23"/>
  <c r="O48" i="23"/>
  <c r="O56" i="23"/>
  <c r="O43" i="24"/>
  <c r="P36" i="24"/>
  <c r="O42" i="24"/>
  <c r="P35" i="24"/>
  <c r="O42" i="17"/>
  <c r="P35" i="17"/>
  <c r="O43" i="26"/>
  <c r="P36" i="26"/>
  <c r="O42" i="25"/>
  <c r="P35" i="25"/>
  <c r="O43" i="25"/>
  <c r="P36" i="25"/>
  <c r="P36" i="17"/>
  <c r="O43" i="17"/>
  <c r="P42" i="23"/>
  <c r="Q35" i="23"/>
  <c r="P43" i="23"/>
  <c r="Q36" i="23"/>
  <c r="V22" i="23"/>
  <c r="V27" i="23" s="1"/>
  <c r="V24" i="23"/>
  <c r="V29" i="23" s="1"/>
  <c r="V23" i="23"/>
  <c r="V28" i="23" s="1"/>
  <c r="V25" i="23"/>
  <c r="V30" i="23" s="1"/>
  <c r="V26" i="23"/>
  <c r="V31" i="23" s="1"/>
  <c r="L60" i="23"/>
  <c r="M11" i="28"/>
  <c r="M59" i="24"/>
  <c r="L14" i="28"/>
  <c r="L59" i="17"/>
  <c r="P33" i="24"/>
  <c r="O40" i="24"/>
  <c r="P33" i="26"/>
  <c r="O40" i="26"/>
  <c r="M45" i="25"/>
  <c r="M51" i="25" s="1"/>
  <c r="M46" i="25"/>
  <c r="M54" i="25"/>
  <c r="N40" i="17"/>
  <c r="O33" i="17"/>
  <c r="M13" i="28"/>
  <c r="M59" i="26"/>
  <c r="P25" i="27"/>
  <c r="O28" i="27"/>
  <c r="M59" i="23"/>
  <c r="M10" i="28"/>
  <c r="O40" i="23"/>
  <c r="P33" i="23"/>
  <c r="N29" i="27"/>
  <c r="N31" i="27" s="1"/>
  <c r="N30" i="27"/>
  <c r="N34" i="27"/>
  <c r="N35" i="27" s="1"/>
  <c r="N36" i="27" s="1"/>
  <c r="N45" i="23"/>
  <c r="N51" i="23" s="1"/>
  <c r="N46" i="23"/>
  <c r="N54" i="23"/>
  <c r="N46" i="24"/>
  <c r="N45" i="24"/>
  <c r="N51" i="24" s="1"/>
  <c r="N54" i="24"/>
  <c r="N46" i="26"/>
  <c r="N54" i="26"/>
  <c r="N45" i="26"/>
  <c r="N51" i="26" s="1"/>
  <c r="N40" i="25"/>
  <c r="O33" i="25"/>
  <c r="M45" i="17"/>
  <c r="M51" i="17" s="1"/>
  <c r="M54" i="17"/>
  <c r="M46" i="17"/>
  <c r="L59" i="25"/>
  <c r="L12" i="28"/>
  <c r="W18" i="23"/>
  <c r="P35" i="26" l="1"/>
  <c r="P42" i="26" s="1"/>
  <c r="W18" i="25"/>
  <c r="R22" i="17"/>
  <c r="R27" i="17" s="1"/>
  <c r="R25" i="17"/>
  <c r="R30" i="17" s="1"/>
  <c r="R24" i="17"/>
  <c r="R29" i="17" s="1"/>
  <c r="R26" i="17"/>
  <c r="R31" i="17" s="1"/>
  <c r="R23" i="17"/>
  <c r="R28" i="17" s="1"/>
  <c r="V23" i="25"/>
  <c r="V28" i="25" s="1"/>
  <c r="V26" i="25"/>
  <c r="V31" i="25" s="1"/>
  <c r="V22" i="25"/>
  <c r="V27" i="25" s="1"/>
  <c r="V24" i="25"/>
  <c r="V29" i="25" s="1"/>
  <c r="V25" i="25"/>
  <c r="V30" i="25" s="1"/>
  <c r="V23" i="24"/>
  <c r="V28" i="24" s="1"/>
  <c r="V26" i="24"/>
  <c r="V31" i="24" s="1"/>
  <c r="V24" i="24"/>
  <c r="V29" i="24" s="1"/>
  <c r="V22" i="24"/>
  <c r="V27" i="24" s="1"/>
  <c r="V25" i="24"/>
  <c r="V30" i="24" s="1"/>
  <c r="T26" i="26"/>
  <c r="T31" i="26" s="1"/>
  <c r="T22" i="26"/>
  <c r="T27" i="26" s="1"/>
  <c r="T24" i="26"/>
  <c r="T29" i="26" s="1"/>
  <c r="T23" i="26"/>
  <c r="T28" i="26" s="1"/>
  <c r="T25" i="26"/>
  <c r="T30" i="26" s="1"/>
  <c r="S18" i="17"/>
  <c r="U18" i="26"/>
  <c r="W18" i="24"/>
  <c r="M60" i="24"/>
  <c r="M60" i="26"/>
  <c r="L60" i="17"/>
  <c r="L60" i="25"/>
  <c r="O37" i="23"/>
  <c r="N44" i="23"/>
  <c r="N41" i="26"/>
  <c r="O34" i="26"/>
  <c r="M50" i="24"/>
  <c r="M58" i="24"/>
  <c r="M50" i="23"/>
  <c r="M58" i="23"/>
  <c r="M47" i="26"/>
  <c r="M55" i="26"/>
  <c r="N44" i="24"/>
  <c r="O37" i="24"/>
  <c r="M47" i="17"/>
  <c r="M55" i="17"/>
  <c r="M55" i="23"/>
  <c r="M47" i="23"/>
  <c r="M50" i="17"/>
  <c r="M58" i="17"/>
  <c r="M50" i="25"/>
  <c r="M58" i="25"/>
  <c r="M50" i="26"/>
  <c r="M58" i="26"/>
  <c r="M47" i="24"/>
  <c r="M55" i="24"/>
  <c r="M47" i="25"/>
  <c r="M55" i="25"/>
  <c r="N41" i="17"/>
  <c r="O34" i="17"/>
  <c r="N41" i="23"/>
  <c r="O34" i="23"/>
  <c r="N44" i="17"/>
  <c r="O37" i="17"/>
  <c r="O37" i="25"/>
  <c r="N44" i="25"/>
  <c r="N44" i="26"/>
  <c r="O37" i="26"/>
  <c r="O34" i="24"/>
  <c r="N41" i="24"/>
  <c r="N41" i="25"/>
  <c r="O34" i="25"/>
  <c r="O49" i="17"/>
  <c r="O57" i="17"/>
  <c r="O48" i="17"/>
  <c r="O56" i="17"/>
  <c r="O48" i="26"/>
  <c r="O56" i="26"/>
  <c r="O49" i="26"/>
  <c r="O57" i="26"/>
  <c r="O49" i="25"/>
  <c r="O57" i="25"/>
  <c r="O48" i="25"/>
  <c r="O56" i="25"/>
  <c r="O48" i="24"/>
  <c r="O56" i="24"/>
  <c r="O49" i="24"/>
  <c r="O57" i="24"/>
  <c r="P49" i="23"/>
  <c r="P57" i="23"/>
  <c r="P48" i="23"/>
  <c r="P56" i="23"/>
  <c r="P42" i="25"/>
  <c r="Q35" i="25"/>
  <c r="P43" i="25"/>
  <c r="Q36" i="25"/>
  <c r="P43" i="26"/>
  <c r="Q36" i="26"/>
  <c r="P42" i="24"/>
  <c r="Q35" i="24"/>
  <c r="P43" i="24"/>
  <c r="Q36" i="24"/>
  <c r="P43" i="17"/>
  <c r="Q36" i="17"/>
  <c r="P42" i="17"/>
  <c r="Q35" i="17"/>
  <c r="Q42" i="23"/>
  <c r="R35" i="23"/>
  <c r="Q43" i="23"/>
  <c r="R36" i="23"/>
  <c r="W22" i="23"/>
  <c r="W27" i="23" s="1"/>
  <c r="W23" i="23"/>
  <c r="W28" i="23" s="1"/>
  <c r="W26" i="23"/>
  <c r="W31" i="23" s="1"/>
  <c r="W24" i="23"/>
  <c r="W29" i="23" s="1"/>
  <c r="W25" i="23"/>
  <c r="W30" i="23" s="1"/>
  <c r="M60" i="23"/>
  <c r="O40" i="25"/>
  <c r="P33" i="25"/>
  <c r="N13" i="28"/>
  <c r="N59" i="26"/>
  <c r="N45" i="17"/>
  <c r="N51" i="17" s="1"/>
  <c r="N54" i="17"/>
  <c r="N46" i="17"/>
  <c r="O45" i="26"/>
  <c r="O51" i="26" s="1"/>
  <c r="O54" i="26"/>
  <c r="O46" i="26"/>
  <c r="P40" i="23"/>
  <c r="Q33" i="23"/>
  <c r="O30" i="27"/>
  <c r="O34" i="27"/>
  <c r="O35" i="27" s="1"/>
  <c r="O36" i="27" s="1"/>
  <c r="O29" i="27"/>
  <c r="O31" i="27" s="1"/>
  <c r="M12" i="28"/>
  <c r="M59" i="25"/>
  <c r="Q33" i="26"/>
  <c r="P40" i="26"/>
  <c r="N45" i="25"/>
  <c r="N51" i="25" s="1"/>
  <c r="N46" i="25"/>
  <c r="N54" i="25"/>
  <c r="N59" i="24"/>
  <c r="N11" i="28"/>
  <c r="O45" i="23"/>
  <c r="O51" i="23" s="1"/>
  <c r="O54" i="23"/>
  <c r="O46" i="23"/>
  <c r="Q25" i="27"/>
  <c r="P28" i="27"/>
  <c r="O46" i="24"/>
  <c r="O45" i="24"/>
  <c r="O51" i="24" s="1"/>
  <c r="O54" i="24"/>
  <c r="M14" i="28"/>
  <c r="M59" i="17"/>
  <c r="N59" i="23"/>
  <c r="N10" i="28"/>
  <c r="P33" i="17"/>
  <c r="O40" i="17"/>
  <c r="Q33" i="24"/>
  <c r="P40" i="24"/>
  <c r="X18" i="23"/>
  <c r="Q35" i="26" l="1"/>
  <c r="Q42" i="26" s="1"/>
  <c r="W26" i="24"/>
  <c r="W31" i="24" s="1"/>
  <c r="W24" i="24"/>
  <c r="W29" i="24" s="1"/>
  <c r="W25" i="24"/>
  <c r="W30" i="24" s="1"/>
  <c r="W22" i="24"/>
  <c r="W27" i="24" s="1"/>
  <c r="W23" i="24"/>
  <c r="W28" i="24" s="1"/>
  <c r="T18" i="17"/>
  <c r="X18" i="24"/>
  <c r="S22" i="17"/>
  <c r="S27" i="17" s="1"/>
  <c r="S25" i="17"/>
  <c r="S30" i="17" s="1"/>
  <c r="S26" i="17"/>
  <c r="S31" i="17" s="1"/>
  <c r="S23" i="17"/>
  <c r="S28" i="17" s="1"/>
  <c r="S24" i="17"/>
  <c r="S29" i="17" s="1"/>
  <c r="V18" i="26"/>
  <c r="X18" i="25"/>
  <c r="U23" i="26"/>
  <c r="U28" i="26" s="1"/>
  <c r="U22" i="26"/>
  <c r="U27" i="26" s="1"/>
  <c r="U24" i="26"/>
  <c r="U29" i="26" s="1"/>
  <c r="U26" i="26"/>
  <c r="U31" i="26" s="1"/>
  <c r="U25" i="26"/>
  <c r="U30" i="26" s="1"/>
  <c r="W23" i="25"/>
  <c r="W28" i="25" s="1"/>
  <c r="W22" i="25"/>
  <c r="W27" i="25" s="1"/>
  <c r="W25" i="25"/>
  <c r="W30" i="25" s="1"/>
  <c r="W24" i="25"/>
  <c r="W29" i="25" s="1"/>
  <c r="W26" i="25"/>
  <c r="W31" i="25" s="1"/>
  <c r="N60" i="24"/>
  <c r="N60" i="26"/>
  <c r="M60" i="17"/>
  <c r="M60" i="25"/>
  <c r="O41" i="25"/>
  <c r="P34" i="25"/>
  <c r="O44" i="26"/>
  <c r="P37" i="26"/>
  <c r="P37" i="17"/>
  <c r="O44" i="17"/>
  <c r="P34" i="17"/>
  <c r="O41" i="17"/>
  <c r="O44" i="24"/>
  <c r="P37" i="24"/>
  <c r="O41" i="26"/>
  <c r="P34" i="26"/>
  <c r="N50" i="17"/>
  <c r="N58" i="17"/>
  <c r="N47" i="24"/>
  <c r="N55" i="24"/>
  <c r="N50" i="25"/>
  <c r="N58" i="25"/>
  <c r="O41" i="23"/>
  <c r="P34" i="23"/>
  <c r="N50" i="23"/>
  <c r="N58" i="23"/>
  <c r="N47" i="25"/>
  <c r="N55" i="25"/>
  <c r="N50" i="26"/>
  <c r="N58" i="26"/>
  <c r="N47" i="17"/>
  <c r="N55" i="17"/>
  <c r="N50" i="24"/>
  <c r="N58" i="24"/>
  <c r="N47" i="26"/>
  <c r="N55" i="26"/>
  <c r="O41" i="24"/>
  <c r="P34" i="24"/>
  <c r="O44" i="25"/>
  <c r="P37" i="25"/>
  <c r="N47" i="23"/>
  <c r="N55" i="23"/>
  <c r="P37" i="23"/>
  <c r="O44" i="23"/>
  <c r="P48" i="17"/>
  <c r="P56" i="17"/>
  <c r="P49" i="17"/>
  <c r="P57" i="17"/>
  <c r="P49" i="26"/>
  <c r="P57" i="26"/>
  <c r="P48" i="26"/>
  <c r="P56" i="26"/>
  <c r="P49" i="25"/>
  <c r="P57" i="25"/>
  <c r="P48" i="25"/>
  <c r="P56" i="25"/>
  <c r="P49" i="24"/>
  <c r="P57" i="24"/>
  <c r="P48" i="24"/>
  <c r="P56" i="24"/>
  <c r="Q49" i="23"/>
  <c r="Q57" i="23"/>
  <c r="Q48" i="23"/>
  <c r="Q56" i="23"/>
  <c r="Q43" i="24"/>
  <c r="R36" i="24"/>
  <c r="Q42" i="24"/>
  <c r="R35" i="24"/>
  <c r="Q43" i="25"/>
  <c r="R36" i="25"/>
  <c r="Q42" i="25"/>
  <c r="R35" i="25"/>
  <c r="Q43" i="17"/>
  <c r="R36" i="17"/>
  <c r="Q43" i="26"/>
  <c r="R36" i="26"/>
  <c r="R35" i="17"/>
  <c r="Q42" i="17"/>
  <c r="R43" i="23"/>
  <c r="S36" i="23"/>
  <c r="R42" i="23"/>
  <c r="S35" i="23"/>
  <c r="X22" i="23"/>
  <c r="X27" i="23" s="1"/>
  <c r="X26" i="23"/>
  <c r="X31" i="23" s="1"/>
  <c r="X25" i="23"/>
  <c r="X30" i="23" s="1"/>
  <c r="X23" i="23"/>
  <c r="X28" i="23" s="1"/>
  <c r="X24" i="23"/>
  <c r="X29" i="23" s="1"/>
  <c r="N60" i="23"/>
  <c r="N59" i="25"/>
  <c r="N12" i="28"/>
  <c r="R33" i="24"/>
  <c r="Q40" i="24"/>
  <c r="O11" i="28"/>
  <c r="O59" i="24"/>
  <c r="Q28" i="27"/>
  <c r="R25" i="27"/>
  <c r="P45" i="26"/>
  <c r="P51" i="26" s="1"/>
  <c r="P54" i="26"/>
  <c r="P46" i="26"/>
  <c r="P45" i="23"/>
  <c r="P51" i="23" s="1"/>
  <c r="P54" i="23"/>
  <c r="P46" i="23"/>
  <c r="N59" i="17"/>
  <c r="N14" i="28"/>
  <c r="Q40" i="26"/>
  <c r="R33" i="26"/>
  <c r="Q33" i="17"/>
  <c r="P40" i="17"/>
  <c r="O59" i="23"/>
  <c r="O10" i="28"/>
  <c r="P40" i="25"/>
  <c r="Q33" i="25"/>
  <c r="O45" i="17"/>
  <c r="O51" i="17" s="1"/>
  <c r="O46" i="17"/>
  <c r="O54" i="17"/>
  <c r="O13" i="28"/>
  <c r="O59" i="26"/>
  <c r="P54" i="24"/>
  <c r="P45" i="24"/>
  <c r="P51" i="24" s="1"/>
  <c r="P46" i="24"/>
  <c r="P29" i="27"/>
  <c r="P31" i="27" s="1"/>
  <c r="P34" i="27"/>
  <c r="P35" i="27" s="1"/>
  <c r="P36" i="27" s="1"/>
  <c r="P30" i="27"/>
  <c r="R33" i="23"/>
  <c r="Q40" i="23"/>
  <c r="O46" i="25"/>
  <c r="O54" i="25"/>
  <c r="O45" i="25"/>
  <c r="O51" i="25" s="1"/>
  <c r="Y18" i="23"/>
  <c r="R35" i="26" l="1"/>
  <c r="R42" i="26" s="1"/>
  <c r="W18" i="26"/>
  <c r="V23" i="26"/>
  <c r="V28" i="26" s="1"/>
  <c r="V24" i="26"/>
  <c r="V29" i="26" s="1"/>
  <c r="V22" i="26"/>
  <c r="V27" i="26" s="1"/>
  <c r="V26" i="26"/>
  <c r="V31" i="26" s="1"/>
  <c r="V25" i="26"/>
  <c r="V30" i="26" s="1"/>
  <c r="U18" i="17"/>
  <c r="Y18" i="25"/>
  <c r="T22" i="17"/>
  <c r="T27" i="17" s="1"/>
  <c r="T26" i="17"/>
  <c r="T31" i="17" s="1"/>
  <c r="T23" i="17"/>
  <c r="T28" i="17" s="1"/>
  <c r="T24" i="17"/>
  <c r="T29" i="17" s="1"/>
  <c r="T25" i="17"/>
  <c r="T30" i="17" s="1"/>
  <c r="Y18" i="24"/>
  <c r="X23" i="25"/>
  <c r="X28" i="25" s="1"/>
  <c r="X24" i="25"/>
  <c r="X29" i="25" s="1"/>
  <c r="X26" i="25"/>
  <c r="X31" i="25" s="1"/>
  <c r="X22" i="25"/>
  <c r="X27" i="25" s="1"/>
  <c r="X25" i="25"/>
  <c r="X30" i="25" s="1"/>
  <c r="X25" i="24"/>
  <c r="X30" i="24" s="1"/>
  <c r="X23" i="24"/>
  <c r="X28" i="24" s="1"/>
  <c r="X22" i="24"/>
  <c r="X27" i="24" s="1"/>
  <c r="X24" i="24"/>
  <c r="X29" i="24" s="1"/>
  <c r="X26" i="24"/>
  <c r="X31" i="24" s="1"/>
  <c r="O60" i="24"/>
  <c r="N60" i="17"/>
  <c r="O60" i="26"/>
  <c r="N60" i="25"/>
  <c r="O50" i="23"/>
  <c r="O58" i="23"/>
  <c r="P44" i="25"/>
  <c r="Q37" i="25"/>
  <c r="P41" i="23"/>
  <c r="Q34" i="23"/>
  <c r="Q34" i="26"/>
  <c r="P41" i="26"/>
  <c r="O47" i="17"/>
  <c r="O55" i="17"/>
  <c r="P44" i="26"/>
  <c r="Q37" i="26"/>
  <c r="P44" i="23"/>
  <c r="Q37" i="23"/>
  <c r="O50" i="25"/>
  <c r="O58" i="25"/>
  <c r="O47" i="23"/>
  <c r="O55" i="23"/>
  <c r="O47" i="26"/>
  <c r="O55" i="26"/>
  <c r="P41" i="17"/>
  <c r="Q34" i="17"/>
  <c r="O50" i="26"/>
  <c r="O58" i="26"/>
  <c r="P41" i="24"/>
  <c r="Q34" i="24"/>
  <c r="P44" i="24"/>
  <c r="Q37" i="24"/>
  <c r="O50" i="17"/>
  <c r="O58" i="17"/>
  <c r="P41" i="25"/>
  <c r="Q34" i="25"/>
  <c r="O47" i="24"/>
  <c r="O55" i="24"/>
  <c r="O50" i="24"/>
  <c r="O58" i="24"/>
  <c r="P44" i="17"/>
  <c r="Q37" i="17"/>
  <c r="O47" i="25"/>
  <c r="O55" i="25"/>
  <c r="Q48" i="17"/>
  <c r="Q56" i="17"/>
  <c r="Q49" i="17"/>
  <c r="Q57" i="17"/>
  <c r="Q48" i="26"/>
  <c r="Q56" i="26"/>
  <c r="Q49" i="26"/>
  <c r="Q57" i="26"/>
  <c r="Q48" i="25"/>
  <c r="Q56" i="25"/>
  <c r="Q49" i="25"/>
  <c r="Q57" i="25"/>
  <c r="Q48" i="24"/>
  <c r="Q56" i="24"/>
  <c r="Q49" i="24"/>
  <c r="Q57" i="24"/>
  <c r="R48" i="23"/>
  <c r="R56" i="23"/>
  <c r="R49" i="23"/>
  <c r="R57" i="23"/>
  <c r="R43" i="25"/>
  <c r="S36" i="25"/>
  <c r="R43" i="24"/>
  <c r="S36" i="24"/>
  <c r="R43" i="26"/>
  <c r="S36" i="26"/>
  <c r="R42" i="25"/>
  <c r="S35" i="25"/>
  <c r="R42" i="17"/>
  <c r="S35" i="17"/>
  <c r="R43" i="17"/>
  <c r="S36" i="17"/>
  <c r="R42" i="24"/>
  <c r="S35" i="24"/>
  <c r="T36" i="23"/>
  <c r="S43" i="23"/>
  <c r="S42" i="23"/>
  <c r="T35" i="23"/>
  <c r="Y22" i="23"/>
  <c r="Y27" i="23" s="1"/>
  <c r="Y25" i="23"/>
  <c r="Y30" i="23" s="1"/>
  <c r="Y26" i="23"/>
  <c r="Y31" i="23" s="1"/>
  <c r="Y24" i="23"/>
  <c r="Y29" i="23" s="1"/>
  <c r="Y23" i="23"/>
  <c r="Y28" i="23" s="1"/>
  <c r="O60" i="23"/>
  <c r="O59" i="17"/>
  <c r="O14" i="28"/>
  <c r="P45" i="25"/>
  <c r="P51" i="25" s="1"/>
  <c r="P54" i="25"/>
  <c r="P46" i="25"/>
  <c r="S33" i="26"/>
  <c r="R40" i="26"/>
  <c r="P13" i="28"/>
  <c r="P59" i="26"/>
  <c r="P11" i="28"/>
  <c r="P59" i="24"/>
  <c r="Q54" i="26"/>
  <c r="Q46" i="26"/>
  <c r="Q45" i="26"/>
  <c r="Q51" i="26" s="1"/>
  <c r="P10" i="28"/>
  <c r="P59" i="23"/>
  <c r="O12" i="28"/>
  <c r="O59" i="25"/>
  <c r="Q54" i="23"/>
  <c r="Q46" i="23"/>
  <c r="Q45" i="23"/>
  <c r="Q51" i="23" s="1"/>
  <c r="P46" i="17"/>
  <c r="P45" i="17"/>
  <c r="P51" i="17" s="1"/>
  <c r="P54" i="17"/>
  <c r="S25" i="27"/>
  <c r="R28" i="27"/>
  <c r="Q45" i="24"/>
  <c r="Q51" i="24" s="1"/>
  <c r="Q54" i="24"/>
  <c r="Q46" i="24"/>
  <c r="S33" i="23"/>
  <c r="R40" i="23"/>
  <c r="Q40" i="25"/>
  <c r="R33" i="25"/>
  <c r="R33" i="17"/>
  <c r="Q40" i="17"/>
  <c r="Q29" i="27"/>
  <c r="Q31" i="27" s="1"/>
  <c r="Q30" i="27"/>
  <c r="Q34" i="27"/>
  <c r="Q35" i="27" s="1"/>
  <c r="Q36" i="27" s="1"/>
  <c r="R40" i="24"/>
  <c r="S33" i="24"/>
  <c r="Z18" i="23"/>
  <c r="AA18" i="23"/>
  <c r="S35" i="26" l="1"/>
  <c r="S42" i="26" s="1"/>
  <c r="Z18" i="24"/>
  <c r="AA18" i="24"/>
  <c r="Y26" i="25"/>
  <c r="Y31" i="25" s="1"/>
  <c r="Y25" i="25"/>
  <c r="Y30" i="25" s="1"/>
  <c r="Y22" i="25"/>
  <c r="Y27" i="25" s="1"/>
  <c r="Y23" i="25"/>
  <c r="Y28" i="25" s="1"/>
  <c r="Y24" i="25"/>
  <c r="Y29" i="25" s="1"/>
  <c r="X18" i="26"/>
  <c r="U22" i="17"/>
  <c r="U27" i="17" s="1"/>
  <c r="U23" i="17"/>
  <c r="U28" i="17" s="1"/>
  <c r="U26" i="17"/>
  <c r="U31" i="17" s="1"/>
  <c r="U25" i="17"/>
  <c r="U30" i="17" s="1"/>
  <c r="U24" i="17"/>
  <c r="U29" i="17" s="1"/>
  <c r="Z18" i="25"/>
  <c r="AA18" i="25"/>
  <c r="Y26" i="24"/>
  <c r="Y31" i="24" s="1"/>
  <c r="Y24" i="24"/>
  <c r="Y29" i="24" s="1"/>
  <c r="Y25" i="24"/>
  <c r="Y30" i="24" s="1"/>
  <c r="Y23" i="24"/>
  <c r="Y28" i="24" s="1"/>
  <c r="Y22" i="24"/>
  <c r="Y27" i="24" s="1"/>
  <c r="V18" i="17"/>
  <c r="W25" i="26"/>
  <c r="W30" i="26" s="1"/>
  <c r="W22" i="26"/>
  <c r="W27" i="26" s="1"/>
  <c r="W23" i="26"/>
  <c r="W28" i="26" s="1"/>
  <c r="W24" i="26"/>
  <c r="W29" i="26" s="1"/>
  <c r="W26" i="26"/>
  <c r="W31" i="26" s="1"/>
  <c r="P60" i="24"/>
  <c r="P60" i="26"/>
  <c r="O60" i="17"/>
  <c r="O60" i="25"/>
  <c r="Q41" i="25"/>
  <c r="R34" i="25"/>
  <c r="Q44" i="24"/>
  <c r="R37" i="24"/>
  <c r="R37" i="26"/>
  <c r="Q44" i="26"/>
  <c r="P47" i="26"/>
  <c r="P55" i="26"/>
  <c r="Q44" i="25"/>
  <c r="R37" i="25"/>
  <c r="P47" i="25"/>
  <c r="P55" i="25"/>
  <c r="P50" i="24"/>
  <c r="P58" i="24"/>
  <c r="P50" i="26"/>
  <c r="P58" i="26"/>
  <c r="Q41" i="26"/>
  <c r="R34" i="26"/>
  <c r="P50" i="25"/>
  <c r="P58" i="25"/>
  <c r="R37" i="17"/>
  <c r="Q44" i="17"/>
  <c r="Q41" i="24"/>
  <c r="R34" i="24"/>
  <c r="Q41" i="17"/>
  <c r="R34" i="17"/>
  <c r="Q44" i="23"/>
  <c r="R37" i="23"/>
  <c r="Q41" i="23"/>
  <c r="R34" i="23"/>
  <c r="P50" i="17"/>
  <c r="P58" i="17"/>
  <c r="P47" i="24"/>
  <c r="P55" i="24"/>
  <c r="P47" i="17"/>
  <c r="P55" i="17"/>
  <c r="P50" i="23"/>
  <c r="P58" i="23"/>
  <c r="P47" i="23"/>
  <c r="P55" i="23"/>
  <c r="R49" i="17"/>
  <c r="R57" i="17"/>
  <c r="R48" i="17"/>
  <c r="R56" i="17"/>
  <c r="R49" i="26"/>
  <c r="R57" i="26"/>
  <c r="R48" i="26"/>
  <c r="R56" i="26"/>
  <c r="R48" i="25"/>
  <c r="R56" i="25"/>
  <c r="R49" i="25"/>
  <c r="R57" i="25"/>
  <c r="R48" i="24"/>
  <c r="R56" i="24"/>
  <c r="R49" i="24"/>
  <c r="R57" i="24"/>
  <c r="S49" i="23"/>
  <c r="S57" i="23"/>
  <c r="S48" i="23"/>
  <c r="S56" i="23"/>
  <c r="S42" i="24"/>
  <c r="T35" i="24"/>
  <c r="S42" i="17"/>
  <c r="T35" i="17"/>
  <c r="S42" i="25"/>
  <c r="T35" i="25"/>
  <c r="S43" i="25"/>
  <c r="T36" i="25"/>
  <c r="T36" i="17"/>
  <c r="S43" i="17"/>
  <c r="S43" i="26"/>
  <c r="T36" i="26"/>
  <c r="S43" i="24"/>
  <c r="T36" i="24"/>
  <c r="P60" i="23"/>
  <c r="T43" i="23"/>
  <c r="U36" i="23"/>
  <c r="T42" i="23"/>
  <c r="U35" i="23"/>
  <c r="Z22" i="23"/>
  <c r="Z27" i="23" s="1"/>
  <c r="Z24" i="23"/>
  <c r="Z29" i="23" s="1"/>
  <c r="Z25" i="23"/>
  <c r="Z30" i="23" s="1"/>
  <c r="Z23" i="23"/>
  <c r="Z28" i="23" s="1"/>
  <c r="Z26" i="23"/>
  <c r="Z31" i="23" s="1"/>
  <c r="AA22" i="23"/>
  <c r="AA27" i="23" s="1"/>
  <c r="AA23" i="23"/>
  <c r="AA28" i="23" s="1"/>
  <c r="AA24" i="23"/>
  <c r="AA29" i="23" s="1"/>
  <c r="AA26" i="23"/>
  <c r="AA31" i="23" s="1"/>
  <c r="AA25" i="23"/>
  <c r="AA30" i="23" s="1"/>
  <c r="T25" i="27"/>
  <c r="S28" i="27"/>
  <c r="S40" i="24"/>
  <c r="T33" i="24"/>
  <c r="S33" i="25"/>
  <c r="R40" i="25"/>
  <c r="R29" i="27"/>
  <c r="R31" i="27" s="1"/>
  <c r="R30" i="27"/>
  <c r="R34" i="27"/>
  <c r="R35" i="27" s="1"/>
  <c r="R36" i="27" s="1"/>
  <c r="R54" i="26"/>
  <c r="R45" i="26"/>
  <c r="R51" i="26" s="1"/>
  <c r="R46" i="26"/>
  <c r="Q46" i="17"/>
  <c r="Q45" i="17"/>
  <c r="Q51" i="17" s="1"/>
  <c r="Q54" i="17"/>
  <c r="R45" i="23"/>
  <c r="R51" i="23" s="1"/>
  <c r="R46" i="23"/>
  <c r="R54" i="23"/>
  <c r="Q59" i="24"/>
  <c r="Q11" i="28"/>
  <c r="P14" i="28"/>
  <c r="P59" i="17"/>
  <c r="Q59" i="26"/>
  <c r="Q13" i="28"/>
  <c r="R54" i="24"/>
  <c r="R45" i="24"/>
  <c r="R51" i="24" s="1"/>
  <c r="R46" i="24"/>
  <c r="Q46" i="25"/>
  <c r="Q54" i="25"/>
  <c r="Q45" i="25"/>
  <c r="Q51" i="25" s="1"/>
  <c r="S40" i="26"/>
  <c r="T33" i="26"/>
  <c r="R40" i="17"/>
  <c r="S33" i="17"/>
  <c r="S40" i="23"/>
  <c r="T33" i="23"/>
  <c r="Q10" i="28"/>
  <c r="Q59" i="23"/>
  <c r="P59" i="25"/>
  <c r="P12" i="28"/>
  <c r="T35" i="26" l="1"/>
  <c r="U35" i="26" s="1"/>
  <c r="W18" i="17"/>
  <c r="Z23" i="25"/>
  <c r="Z28" i="25" s="1"/>
  <c r="Z24" i="25"/>
  <c r="Z29" i="25" s="1"/>
  <c r="Z26" i="25"/>
  <c r="Z31" i="25" s="1"/>
  <c r="Z22" i="25"/>
  <c r="Z27" i="25" s="1"/>
  <c r="Z25" i="25"/>
  <c r="Z30" i="25" s="1"/>
  <c r="V22" i="17"/>
  <c r="V27" i="17" s="1"/>
  <c r="V25" i="17"/>
  <c r="V30" i="17" s="1"/>
  <c r="V23" i="17"/>
  <c r="V28" i="17" s="1"/>
  <c r="V26" i="17"/>
  <c r="V31" i="17" s="1"/>
  <c r="V24" i="17"/>
  <c r="V29" i="17" s="1"/>
  <c r="AA22" i="24"/>
  <c r="AA27" i="24" s="1"/>
  <c r="AA25" i="24"/>
  <c r="AA30" i="24" s="1"/>
  <c r="AA23" i="24"/>
  <c r="AA28" i="24" s="1"/>
  <c r="AA24" i="24"/>
  <c r="AA29" i="24" s="1"/>
  <c r="AA26" i="24"/>
  <c r="AA31" i="24" s="1"/>
  <c r="AA24" i="25"/>
  <c r="AA29" i="25" s="1"/>
  <c r="AA22" i="25"/>
  <c r="AA27" i="25" s="1"/>
  <c r="AA26" i="25"/>
  <c r="AA31" i="25" s="1"/>
  <c r="AA23" i="25"/>
  <c r="AA28" i="25" s="1"/>
  <c r="AA25" i="25"/>
  <c r="AA30" i="25" s="1"/>
  <c r="Y18" i="26"/>
  <c r="X24" i="26"/>
  <c r="X29" i="26" s="1"/>
  <c r="X22" i="26"/>
  <c r="X27" i="26" s="1"/>
  <c r="X25" i="26"/>
  <c r="X30" i="26" s="1"/>
  <c r="X23" i="26"/>
  <c r="X28" i="26" s="1"/>
  <c r="X26" i="26"/>
  <c r="X31" i="26" s="1"/>
  <c r="Z24" i="24"/>
  <c r="Z29" i="24" s="1"/>
  <c r="Z22" i="24"/>
  <c r="Z27" i="24" s="1"/>
  <c r="Z25" i="24"/>
  <c r="Z30" i="24" s="1"/>
  <c r="Z23" i="24"/>
  <c r="Z28" i="24" s="1"/>
  <c r="Z26" i="24"/>
  <c r="Z31" i="24" s="1"/>
  <c r="Q60" i="24"/>
  <c r="P60" i="17"/>
  <c r="Q60" i="26"/>
  <c r="P60" i="25"/>
  <c r="S37" i="23"/>
  <c r="R44" i="23"/>
  <c r="R41" i="24"/>
  <c r="S34" i="24"/>
  <c r="R44" i="24"/>
  <c r="S37" i="24"/>
  <c r="Q50" i="24"/>
  <c r="Q58" i="24"/>
  <c r="R41" i="23"/>
  <c r="S34" i="23"/>
  <c r="R41" i="17"/>
  <c r="S34" i="17"/>
  <c r="Q50" i="17"/>
  <c r="Q58" i="17"/>
  <c r="R41" i="26"/>
  <c r="S34" i="26"/>
  <c r="R44" i="25"/>
  <c r="S37" i="25"/>
  <c r="Q50" i="26"/>
  <c r="Q58" i="26"/>
  <c r="R41" i="25"/>
  <c r="S34" i="25"/>
  <c r="Q50" i="23"/>
  <c r="Q58" i="23"/>
  <c r="Q47" i="24"/>
  <c r="Q55" i="24"/>
  <c r="Q47" i="23"/>
  <c r="Q55" i="23"/>
  <c r="Q47" i="17"/>
  <c r="Q55" i="17"/>
  <c r="R44" i="17"/>
  <c r="S37" i="17"/>
  <c r="Q47" i="26"/>
  <c r="Q55" i="26"/>
  <c r="Q50" i="25"/>
  <c r="Q58" i="25"/>
  <c r="R44" i="26"/>
  <c r="S37" i="26"/>
  <c r="Q47" i="25"/>
  <c r="Q55" i="25"/>
  <c r="S49" i="17"/>
  <c r="S57" i="17"/>
  <c r="S48" i="17"/>
  <c r="S56" i="17"/>
  <c r="S48" i="26"/>
  <c r="S56" i="26"/>
  <c r="S49" i="26"/>
  <c r="S57" i="26"/>
  <c r="S49" i="25"/>
  <c r="S57" i="25"/>
  <c r="S48" i="25"/>
  <c r="S56" i="25"/>
  <c r="S49" i="24"/>
  <c r="S57" i="24"/>
  <c r="S48" i="24"/>
  <c r="S56" i="24"/>
  <c r="T48" i="23"/>
  <c r="T56" i="23"/>
  <c r="T49" i="23"/>
  <c r="T57" i="23"/>
  <c r="F63" i="23"/>
  <c r="AS19" i="16" s="1"/>
  <c r="T43" i="24"/>
  <c r="U36" i="24"/>
  <c r="T43" i="17"/>
  <c r="U36" i="17"/>
  <c r="U36" i="26"/>
  <c r="T43" i="26"/>
  <c r="T43" i="25"/>
  <c r="U36" i="25"/>
  <c r="T42" i="25"/>
  <c r="U35" i="25"/>
  <c r="T42" i="17"/>
  <c r="U35" i="17"/>
  <c r="U35" i="24"/>
  <c r="T42" i="24"/>
  <c r="Q60" i="23"/>
  <c r="U43" i="23"/>
  <c r="V36" i="23"/>
  <c r="U42" i="23"/>
  <c r="V35" i="23"/>
  <c r="B63" i="23"/>
  <c r="E63" i="23"/>
  <c r="D63" i="23"/>
  <c r="C63" i="23"/>
  <c r="U33" i="26"/>
  <c r="T40" i="26"/>
  <c r="T33" i="17"/>
  <c r="S40" i="17"/>
  <c r="R10" i="28"/>
  <c r="R59" i="23"/>
  <c r="S46" i="24"/>
  <c r="S45" i="24"/>
  <c r="S51" i="24" s="1"/>
  <c r="S54" i="24"/>
  <c r="U33" i="23"/>
  <c r="T40" i="23"/>
  <c r="R45" i="17"/>
  <c r="R51" i="17" s="1"/>
  <c r="R54" i="17"/>
  <c r="R46" i="17"/>
  <c r="Q12" i="28"/>
  <c r="Q59" i="25"/>
  <c r="R59" i="24"/>
  <c r="R11" i="28"/>
  <c r="R13" i="28"/>
  <c r="R59" i="26"/>
  <c r="R45" i="25"/>
  <c r="R51" i="25" s="1"/>
  <c r="R46" i="25"/>
  <c r="R54" i="25"/>
  <c r="S34" i="27"/>
  <c r="S35" i="27" s="1"/>
  <c r="S36" i="27" s="1"/>
  <c r="S30" i="27"/>
  <c r="S29" i="27"/>
  <c r="S31" i="27" s="1"/>
  <c r="T33" i="25"/>
  <c r="S40" i="25"/>
  <c r="U25" i="27"/>
  <c r="T28" i="27"/>
  <c r="S54" i="23"/>
  <c r="S45" i="23"/>
  <c r="S51" i="23" s="1"/>
  <c r="S46" i="23"/>
  <c r="S45" i="26"/>
  <c r="S51" i="26" s="1"/>
  <c r="S46" i="26"/>
  <c r="S54" i="26"/>
  <c r="Q59" i="17"/>
  <c r="Q14" i="28"/>
  <c r="U33" i="24"/>
  <c r="T40" i="24"/>
  <c r="T42" i="26" l="1"/>
  <c r="T48" i="26" s="1"/>
  <c r="E63" i="24"/>
  <c r="AL28" i="16" s="1"/>
  <c r="F63" i="25"/>
  <c r="AS37" i="16" s="1"/>
  <c r="B63" i="24"/>
  <c r="F63" i="24"/>
  <c r="AS28" i="16" s="1"/>
  <c r="AU28" i="16" s="1"/>
  <c r="D63" i="24"/>
  <c r="AE28" i="16" s="1"/>
  <c r="D63" i="25"/>
  <c r="AE37" i="16" s="1"/>
  <c r="C63" i="24"/>
  <c r="E63" i="25"/>
  <c r="AL37" i="16" s="1"/>
  <c r="C63" i="25"/>
  <c r="Y23" i="26"/>
  <c r="Y28" i="26" s="1"/>
  <c r="Y22" i="26"/>
  <c r="Y27" i="26" s="1"/>
  <c r="Y26" i="26"/>
  <c r="Y31" i="26" s="1"/>
  <c r="Y24" i="26"/>
  <c r="Y29" i="26" s="1"/>
  <c r="Y25" i="26"/>
  <c r="Y30" i="26" s="1"/>
  <c r="Z18" i="26"/>
  <c r="AA18" i="26"/>
  <c r="B63" i="25"/>
  <c r="X18" i="17"/>
  <c r="W22" i="17"/>
  <c r="W27" i="17" s="1"/>
  <c r="W26" i="17"/>
  <c r="W31" i="17" s="1"/>
  <c r="W23" i="17"/>
  <c r="W28" i="17" s="1"/>
  <c r="W25" i="17"/>
  <c r="W30" i="17" s="1"/>
  <c r="W24" i="17"/>
  <c r="W29" i="17" s="1"/>
  <c r="R60" i="24"/>
  <c r="Q60" i="17"/>
  <c r="R60" i="26"/>
  <c r="Q60" i="25"/>
  <c r="Q19" i="16"/>
  <c r="R50" i="17"/>
  <c r="R58" i="17"/>
  <c r="T34" i="26"/>
  <c r="S41" i="26"/>
  <c r="T34" i="17"/>
  <c r="S41" i="17"/>
  <c r="S41" i="24"/>
  <c r="T34" i="24"/>
  <c r="T37" i="26"/>
  <c r="S44" i="26"/>
  <c r="R47" i="26"/>
  <c r="R55" i="26"/>
  <c r="R47" i="17"/>
  <c r="R55" i="17"/>
  <c r="R55" i="24"/>
  <c r="R47" i="24"/>
  <c r="R50" i="26"/>
  <c r="R58" i="26"/>
  <c r="T34" i="25"/>
  <c r="S41" i="25"/>
  <c r="T37" i="25"/>
  <c r="S44" i="25"/>
  <c r="T34" i="23"/>
  <c r="S41" i="23"/>
  <c r="S44" i="24"/>
  <c r="T37" i="24"/>
  <c r="R50" i="23"/>
  <c r="R58" i="23"/>
  <c r="T37" i="17"/>
  <c r="S44" i="17"/>
  <c r="R47" i="25"/>
  <c r="R55" i="25"/>
  <c r="R58" i="25"/>
  <c r="R50" i="25"/>
  <c r="R47" i="23"/>
  <c r="R55" i="23"/>
  <c r="R50" i="24"/>
  <c r="R58" i="24"/>
  <c r="S44" i="23"/>
  <c r="T37" i="23"/>
  <c r="T48" i="17"/>
  <c r="T56" i="17"/>
  <c r="T49" i="17"/>
  <c r="T57" i="17"/>
  <c r="T49" i="26"/>
  <c r="T57" i="26"/>
  <c r="T48" i="25"/>
  <c r="T56" i="25"/>
  <c r="T49" i="25"/>
  <c r="T57" i="25"/>
  <c r="T49" i="24"/>
  <c r="T57" i="24"/>
  <c r="T48" i="24"/>
  <c r="T56" i="24"/>
  <c r="U48" i="23"/>
  <c r="U56" i="23"/>
  <c r="U49" i="23"/>
  <c r="U57" i="23"/>
  <c r="U42" i="25"/>
  <c r="V35" i="25"/>
  <c r="U42" i="24"/>
  <c r="V35" i="24"/>
  <c r="U43" i="26"/>
  <c r="V36" i="26"/>
  <c r="U42" i="17"/>
  <c r="V35" i="17"/>
  <c r="U43" i="25"/>
  <c r="V36" i="25"/>
  <c r="U42" i="26"/>
  <c r="V35" i="26"/>
  <c r="U43" i="17"/>
  <c r="V36" i="17"/>
  <c r="U43" i="24"/>
  <c r="V36" i="24"/>
  <c r="R60" i="23"/>
  <c r="AL19" i="16"/>
  <c r="AE19" i="16"/>
  <c r="X19" i="16"/>
  <c r="V42" i="23"/>
  <c r="W35" i="23"/>
  <c r="V43" i="23"/>
  <c r="W36" i="23"/>
  <c r="U40" i="24"/>
  <c r="V33" i="24"/>
  <c r="S13" i="28"/>
  <c r="S59" i="26"/>
  <c r="S45" i="25"/>
  <c r="S51" i="25" s="1"/>
  <c r="S54" i="25"/>
  <c r="S46" i="25"/>
  <c r="S46" i="17"/>
  <c r="S54" i="17"/>
  <c r="S45" i="17"/>
  <c r="S51" i="17" s="1"/>
  <c r="S59" i="23"/>
  <c r="S10" i="28"/>
  <c r="R59" i="25"/>
  <c r="R12" i="28"/>
  <c r="T46" i="23"/>
  <c r="T45" i="23"/>
  <c r="T51" i="23" s="1"/>
  <c r="T54" i="23"/>
  <c r="T40" i="17"/>
  <c r="U33" i="17"/>
  <c r="T29" i="27"/>
  <c r="T31" i="27" s="1"/>
  <c r="T34" i="27"/>
  <c r="T35" i="27" s="1"/>
  <c r="T36" i="27" s="1"/>
  <c r="T30" i="27"/>
  <c r="U40" i="23"/>
  <c r="V33" i="23"/>
  <c r="T45" i="26"/>
  <c r="T51" i="26" s="1"/>
  <c r="T54" i="26"/>
  <c r="T46" i="26"/>
  <c r="U33" i="25"/>
  <c r="T40" i="25"/>
  <c r="T54" i="24"/>
  <c r="T45" i="24"/>
  <c r="T51" i="24" s="1"/>
  <c r="T46" i="24"/>
  <c r="U28" i="27"/>
  <c r="V25" i="27"/>
  <c r="R59" i="17"/>
  <c r="R14" i="28"/>
  <c r="S11" i="28"/>
  <c r="S59" i="24"/>
  <c r="V33" i="26"/>
  <c r="U40" i="26"/>
  <c r="T56" i="26" l="1"/>
  <c r="Q37" i="16"/>
  <c r="X37" i="16"/>
  <c r="X28" i="16"/>
  <c r="Z28" i="16" s="1"/>
  <c r="Q28" i="16"/>
  <c r="S28" i="16" s="1"/>
  <c r="AU37" i="16"/>
  <c r="AN28" i="16"/>
  <c r="AN37" i="16"/>
  <c r="AG28" i="16"/>
  <c r="AG37" i="16"/>
  <c r="X22" i="17"/>
  <c r="X27" i="17" s="1"/>
  <c r="X25" i="17"/>
  <c r="X30" i="17" s="1"/>
  <c r="X24" i="17"/>
  <c r="X29" i="17" s="1"/>
  <c r="X23" i="17"/>
  <c r="X28" i="17" s="1"/>
  <c r="X26" i="17"/>
  <c r="X31" i="17" s="1"/>
  <c r="Z22" i="26"/>
  <c r="Z27" i="26" s="1"/>
  <c r="Z26" i="26"/>
  <c r="Z31" i="26" s="1"/>
  <c r="Z24" i="26"/>
  <c r="Z29" i="26" s="1"/>
  <c r="Z25" i="26"/>
  <c r="Z30" i="26" s="1"/>
  <c r="Z23" i="26"/>
  <c r="Z28" i="26" s="1"/>
  <c r="Y18" i="17"/>
  <c r="AA24" i="26"/>
  <c r="AA29" i="26" s="1"/>
  <c r="AA25" i="26"/>
  <c r="AA30" i="26" s="1"/>
  <c r="AA23" i="26"/>
  <c r="AA28" i="26" s="1"/>
  <c r="AA22" i="26"/>
  <c r="AA27" i="26" s="1"/>
  <c r="AA26" i="26"/>
  <c r="AA31" i="26" s="1"/>
  <c r="S60" i="24"/>
  <c r="R60" i="17"/>
  <c r="S60" i="26"/>
  <c r="R60" i="25"/>
  <c r="U37" i="23"/>
  <c r="T44" i="23"/>
  <c r="S47" i="23"/>
  <c r="S55" i="23"/>
  <c r="S47" i="25"/>
  <c r="S55" i="25"/>
  <c r="T41" i="24"/>
  <c r="U34" i="24"/>
  <c r="S47" i="26"/>
  <c r="S55" i="26"/>
  <c r="T41" i="23"/>
  <c r="U34" i="23"/>
  <c r="U34" i="26"/>
  <c r="T41" i="26"/>
  <c r="S50" i="17"/>
  <c r="S58" i="17"/>
  <c r="U37" i="24"/>
  <c r="T44" i="24"/>
  <c r="S50" i="25"/>
  <c r="S58" i="25"/>
  <c r="S50" i="26"/>
  <c r="S58" i="26"/>
  <c r="S47" i="17"/>
  <c r="S55" i="17"/>
  <c r="S50" i="23"/>
  <c r="S58" i="23"/>
  <c r="U34" i="25"/>
  <c r="T41" i="25"/>
  <c r="S47" i="24"/>
  <c r="S55" i="24"/>
  <c r="U37" i="17"/>
  <c r="T44" i="17"/>
  <c r="S50" i="24"/>
  <c r="S58" i="24"/>
  <c r="U37" i="25"/>
  <c r="T44" i="25"/>
  <c r="U37" i="26"/>
  <c r="T44" i="26"/>
  <c r="T41" i="17"/>
  <c r="U34" i="17"/>
  <c r="U49" i="17"/>
  <c r="U57" i="17"/>
  <c r="U48" i="17"/>
  <c r="U56" i="17"/>
  <c r="U48" i="26"/>
  <c r="U56" i="26"/>
  <c r="U49" i="26"/>
  <c r="U57" i="26"/>
  <c r="U49" i="25"/>
  <c r="U57" i="25"/>
  <c r="U48" i="25"/>
  <c r="U56" i="25"/>
  <c r="U49" i="24"/>
  <c r="U57" i="24"/>
  <c r="U48" i="24"/>
  <c r="U56" i="24"/>
  <c r="V49" i="23"/>
  <c r="V57" i="23"/>
  <c r="V48" i="23"/>
  <c r="V56" i="23"/>
  <c r="S60" i="23"/>
  <c r="V42" i="26"/>
  <c r="W35" i="26"/>
  <c r="V43" i="24"/>
  <c r="W36" i="24"/>
  <c r="V43" i="25"/>
  <c r="W36" i="25"/>
  <c r="W36" i="26"/>
  <c r="V43" i="26"/>
  <c r="V43" i="17"/>
  <c r="W36" i="17"/>
  <c r="V42" i="24"/>
  <c r="W35" i="24"/>
  <c r="V42" i="25"/>
  <c r="W35" i="25"/>
  <c r="V42" i="17"/>
  <c r="W35" i="17"/>
  <c r="W42" i="23"/>
  <c r="X35" i="23"/>
  <c r="W43" i="23"/>
  <c r="X36" i="23"/>
  <c r="T54" i="25"/>
  <c r="T45" i="25"/>
  <c r="T51" i="25" s="1"/>
  <c r="T46" i="25"/>
  <c r="S59" i="17"/>
  <c r="S14" i="28"/>
  <c r="U29" i="27"/>
  <c r="U31" i="27" s="1"/>
  <c r="U34" i="27"/>
  <c r="U35" i="27" s="1"/>
  <c r="U36" i="27" s="1"/>
  <c r="U30" i="27"/>
  <c r="T59" i="24"/>
  <c r="T11" i="28"/>
  <c r="T13" i="28"/>
  <c r="T59" i="26"/>
  <c r="T46" i="17"/>
  <c r="T45" i="17"/>
  <c r="T51" i="17" s="1"/>
  <c r="T54" i="17"/>
  <c r="U46" i="26"/>
  <c r="U45" i="26"/>
  <c r="U51" i="26" s="1"/>
  <c r="U54" i="26"/>
  <c r="T10" i="28"/>
  <c r="T59" i="23"/>
  <c r="W33" i="26"/>
  <c r="V40" i="26"/>
  <c r="U40" i="25"/>
  <c r="V33" i="25"/>
  <c r="W33" i="23"/>
  <c r="V40" i="23"/>
  <c r="S12" i="28"/>
  <c r="S59" i="25"/>
  <c r="W33" i="24"/>
  <c r="V40" i="24"/>
  <c r="W25" i="27"/>
  <c r="V28" i="27"/>
  <c r="U54" i="23"/>
  <c r="U45" i="23"/>
  <c r="U51" i="23" s="1"/>
  <c r="U46" i="23"/>
  <c r="V33" i="17"/>
  <c r="U40" i="17"/>
  <c r="U46" i="24"/>
  <c r="U45" i="24"/>
  <c r="U51" i="24" s="1"/>
  <c r="U54" i="24"/>
  <c r="Z37" i="16" l="1"/>
  <c r="S37" i="16"/>
  <c r="D63" i="26"/>
  <c r="AE46" i="16" s="1"/>
  <c r="AG46" i="16" s="1"/>
  <c r="B63" i="26"/>
  <c r="F63" i="26"/>
  <c r="AS46" i="16" s="1"/>
  <c r="AU46" i="16" s="1"/>
  <c r="C63" i="26"/>
  <c r="Z18" i="17"/>
  <c r="AA18" i="17"/>
  <c r="E63" i="26"/>
  <c r="AL46" i="16" s="1"/>
  <c r="AN46" i="16" s="1"/>
  <c r="Y22" i="17"/>
  <c r="Y27" i="17" s="1"/>
  <c r="Y23" i="17"/>
  <c r="Y28" i="17" s="1"/>
  <c r="Y25" i="17"/>
  <c r="Y30" i="17" s="1"/>
  <c r="Y26" i="17"/>
  <c r="Y31" i="17" s="1"/>
  <c r="Y24" i="17"/>
  <c r="Y29" i="17" s="1"/>
  <c r="S60" i="17"/>
  <c r="T60" i="24"/>
  <c r="T60" i="26"/>
  <c r="T60" i="23"/>
  <c r="S60" i="25"/>
  <c r="V37" i="25"/>
  <c r="U44" i="25"/>
  <c r="T47" i="24"/>
  <c r="T55" i="24"/>
  <c r="U41" i="17"/>
  <c r="V34" i="17"/>
  <c r="T50" i="25"/>
  <c r="T58" i="25"/>
  <c r="T58" i="17"/>
  <c r="T50" i="17"/>
  <c r="T47" i="25"/>
  <c r="T55" i="25"/>
  <c r="V34" i="23"/>
  <c r="U41" i="23"/>
  <c r="U41" i="24"/>
  <c r="V34" i="24"/>
  <c r="U41" i="25"/>
  <c r="V34" i="25"/>
  <c r="T50" i="26"/>
  <c r="T58" i="26"/>
  <c r="T50" i="24"/>
  <c r="T58" i="24"/>
  <c r="T47" i="26"/>
  <c r="T55" i="26"/>
  <c r="T50" i="23"/>
  <c r="T58" i="23"/>
  <c r="T47" i="17"/>
  <c r="T55" i="17"/>
  <c r="V37" i="17"/>
  <c r="U44" i="17"/>
  <c r="T47" i="23"/>
  <c r="T55" i="23"/>
  <c r="U44" i="26"/>
  <c r="V37" i="26"/>
  <c r="U44" i="24"/>
  <c r="V37" i="24"/>
  <c r="U41" i="26"/>
  <c r="V34" i="26"/>
  <c r="U44" i="23"/>
  <c r="V37" i="23"/>
  <c r="V48" i="17"/>
  <c r="V56" i="17"/>
  <c r="V49" i="17"/>
  <c r="V57" i="17"/>
  <c r="V48" i="26"/>
  <c r="V56" i="26"/>
  <c r="V49" i="26"/>
  <c r="V57" i="26"/>
  <c r="V48" i="25"/>
  <c r="V56" i="25"/>
  <c r="V49" i="25"/>
  <c r="V57" i="25"/>
  <c r="V48" i="24"/>
  <c r="V56" i="24"/>
  <c r="V49" i="24"/>
  <c r="V57" i="24"/>
  <c r="W49" i="23"/>
  <c r="W57" i="23"/>
  <c r="W48" i="23"/>
  <c r="W56" i="23"/>
  <c r="W42" i="25"/>
  <c r="X35" i="25"/>
  <c r="X35" i="24"/>
  <c r="W42" i="24"/>
  <c r="W43" i="25"/>
  <c r="X36" i="25"/>
  <c r="W43" i="24"/>
  <c r="X36" i="24"/>
  <c r="W42" i="26"/>
  <c r="X35" i="26"/>
  <c r="W42" i="17"/>
  <c r="X35" i="17"/>
  <c r="W43" i="17"/>
  <c r="X36" i="17"/>
  <c r="W43" i="26"/>
  <c r="X36" i="26"/>
  <c r="X43" i="23"/>
  <c r="Y36" i="23"/>
  <c r="X42" i="23"/>
  <c r="Y35" i="23"/>
  <c r="U54" i="17"/>
  <c r="U46" i="17"/>
  <c r="U45" i="17"/>
  <c r="U51" i="17" s="1"/>
  <c r="U10" i="28"/>
  <c r="U59" i="23"/>
  <c r="X33" i="24"/>
  <c r="W40" i="24"/>
  <c r="W40" i="23"/>
  <c r="X33" i="23"/>
  <c r="X33" i="26"/>
  <c r="W40" i="26"/>
  <c r="U59" i="24"/>
  <c r="U11" i="28"/>
  <c r="W33" i="25"/>
  <c r="V40" i="25"/>
  <c r="T12" i="28"/>
  <c r="T59" i="25"/>
  <c r="W28" i="27"/>
  <c r="X25" i="27"/>
  <c r="U54" i="25"/>
  <c r="U45" i="25"/>
  <c r="U51" i="25" s="1"/>
  <c r="U46" i="25"/>
  <c r="T14" i="28"/>
  <c r="T59" i="17"/>
  <c r="V40" i="17"/>
  <c r="W33" i="17"/>
  <c r="V30" i="27"/>
  <c r="V34" i="27"/>
  <c r="V35" i="27" s="1"/>
  <c r="V36" i="27" s="1"/>
  <c r="V29" i="27"/>
  <c r="V31" i="27" s="1"/>
  <c r="V54" i="24"/>
  <c r="V46" i="24"/>
  <c r="V45" i="24"/>
  <c r="V51" i="24" s="1"/>
  <c r="V46" i="23"/>
  <c r="V45" i="23"/>
  <c r="V51" i="23" s="1"/>
  <c r="V54" i="23"/>
  <c r="V46" i="26"/>
  <c r="V54" i="26"/>
  <c r="V45" i="26"/>
  <c r="V51" i="26" s="1"/>
  <c r="U13" i="28"/>
  <c r="U59" i="26"/>
  <c r="Q46" i="16" l="1"/>
  <c r="S46" i="16" s="1"/>
  <c r="X46" i="16"/>
  <c r="Z46" i="16" s="1"/>
  <c r="Z25" i="17"/>
  <c r="Z30" i="17" s="1"/>
  <c r="Z22" i="17"/>
  <c r="Z27" i="17" s="1"/>
  <c r="Z24" i="17"/>
  <c r="Z29" i="17" s="1"/>
  <c r="Z23" i="17"/>
  <c r="Z28" i="17" s="1"/>
  <c r="Z26" i="17"/>
  <c r="Z31" i="17" s="1"/>
  <c r="AA26" i="17"/>
  <c r="AA31" i="17" s="1"/>
  <c r="AA22" i="17"/>
  <c r="AA27" i="17" s="1"/>
  <c r="AA23" i="17"/>
  <c r="AA28" i="17" s="1"/>
  <c r="AA24" i="17"/>
  <c r="AA29" i="17" s="1"/>
  <c r="AA25" i="17"/>
  <c r="AA30" i="17" s="1"/>
  <c r="T60" i="17"/>
  <c r="U60" i="24"/>
  <c r="U60" i="26"/>
  <c r="U60" i="23"/>
  <c r="T60" i="25"/>
  <c r="V44" i="23"/>
  <c r="W37" i="23"/>
  <c r="V44" i="24"/>
  <c r="W37" i="24"/>
  <c r="W34" i="24"/>
  <c r="V41" i="24"/>
  <c r="U50" i="23"/>
  <c r="U58" i="23"/>
  <c r="U50" i="24"/>
  <c r="U58" i="24"/>
  <c r="U47" i="24"/>
  <c r="U55" i="24"/>
  <c r="U47" i="26"/>
  <c r="U55" i="26"/>
  <c r="V41" i="26"/>
  <c r="W34" i="26"/>
  <c r="W37" i="26"/>
  <c r="V44" i="26"/>
  <c r="U50" i="17"/>
  <c r="U58" i="17"/>
  <c r="W34" i="25"/>
  <c r="V41" i="25"/>
  <c r="U55" i="23"/>
  <c r="U47" i="23"/>
  <c r="W34" i="17"/>
  <c r="V41" i="17"/>
  <c r="U50" i="25"/>
  <c r="U58" i="25"/>
  <c r="U58" i="26"/>
  <c r="U50" i="26"/>
  <c r="W37" i="17"/>
  <c r="V44" i="17"/>
  <c r="U47" i="25"/>
  <c r="U55" i="25"/>
  <c r="W34" i="23"/>
  <c r="V41" i="23"/>
  <c r="U47" i="17"/>
  <c r="U55" i="17"/>
  <c r="W37" i="25"/>
  <c r="V44" i="25"/>
  <c r="W49" i="17"/>
  <c r="W57" i="17"/>
  <c r="W48" i="17"/>
  <c r="W56" i="17"/>
  <c r="W49" i="26"/>
  <c r="W57" i="26"/>
  <c r="W48" i="26"/>
  <c r="W56" i="26"/>
  <c r="W49" i="25"/>
  <c r="W57" i="25"/>
  <c r="W48" i="25"/>
  <c r="W56" i="25"/>
  <c r="W48" i="24"/>
  <c r="W56" i="24"/>
  <c r="W49" i="24"/>
  <c r="W57" i="24"/>
  <c r="X48" i="23"/>
  <c r="X56" i="23"/>
  <c r="X49" i="23"/>
  <c r="X57" i="23"/>
  <c r="X42" i="24"/>
  <c r="Y35" i="24"/>
  <c r="X43" i="26"/>
  <c r="Y36" i="26"/>
  <c r="X43" i="17"/>
  <c r="Y36" i="17"/>
  <c r="X42" i="26"/>
  <c r="Y35" i="26"/>
  <c r="X43" i="24"/>
  <c r="Y36" i="24"/>
  <c r="X42" i="25"/>
  <c r="Y35" i="25"/>
  <c r="X42" i="17"/>
  <c r="Y35" i="17"/>
  <c r="X43" i="25"/>
  <c r="Y36" i="25"/>
  <c r="Y43" i="23"/>
  <c r="Z36" i="23"/>
  <c r="Y42" i="23"/>
  <c r="Z35" i="23"/>
  <c r="V59" i="26"/>
  <c r="V13" i="28"/>
  <c r="W40" i="17"/>
  <c r="X33" i="17"/>
  <c r="X28" i="27"/>
  <c r="Y25" i="27"/>
  <c r="V46" i="25"/>
  <c r="V45" i="25"/>
  <c r="V51" i="25" s="1"/>
  <c r="V54" i="25"/>
  <c r="W54" i="26"/>
  <c r="W46" i="26"/>
  <c r="W45" i="26"/>
  <c r="W51" i="26" s="1"/>
  <c r="W46" i="24"/>
  <c r="W45" i="24"/>
  <c r="W51" i="24" s="1"/>
  <c r="W54" i="24"/>
  <c r="V46" i="17"/>
  <c r="V45" i="17"/>
  <c r="V51" i="17" s="1"/>
  <c r="V54" i="17"/>
  <c r="W29" i="27"/>
  <c r="W31" i="27" s="1"/>
  <c r="W30" i="27"/>
  <c r="W34" i="27"/>
  <c r="W35" i="27" s="1"/>
  <c r="W36" i="27" s="1"/>
  <c r="W40" i="25"/>
  <c r="X33" i="25"/>
  <c r="X40" i="26"/>
  <c r="Y33" i="26"/>
  <c r="X40" i="24"/>
  <c r="Y33" i="24"/>
  <c r="V11" i="28"/>
  <c r="V59" i="24"/>
  <c r="U12" i="28"/>
  <c r="U59" i="25"/>
  <c r="W46" i="23"/>
  <c r="W45" i="23"/>
  <c r="W51" i="23" s="1"/>
  <c r="W54" i="23"/>
  <c r="V59" i="23"/>
  <c r="V10" i="28"/>
  <c r="Y33" i="23"/>
  <c r="X40" i="23"/>
  <c r="U59" i="17"/>
  <c r="U14" i="28"/>
  <c r="D63" i="17" l="1"/>
  <c r="AE55" i="16" s="1"/>
  <c r="AG55" i="16" s="1"/>
  <c r="F63" i="17"/>
  <c r="AS55" i="16" s="1"/>
  <c r="AU55" i="16" s="1"/>
  <c r="C63" i="17"/>
  <c r="E63" i="17"/>
  <c r="AL55" i="16" s="1"/>
  <c r="AN55" i="16" s="1"/>
  <c r="B63" i="17"/>
  <c r="V60" i="24"/>
  <c r="V60" i="23"/>
  <c r="U60" i="17"/>
  <c r="V60" i="26"/>
  <c r="U60" i="25"/>
  <c r="V58" i="25"/>
  <c r="V50" i="25"/>
  <c r="V47" i="23"/>
  <c r="V55" i="23"/>
  <c r="V50" i="17"/>
  <c r="V58" i="17"/>
  <c r="W41" i="26"/>
  <c r="X34" i="26"/>
  <c r="X37" i="24"/>
  <c r="W44" i="24"/>
  <c r="W44" i="25"/>
  <c r="X37" i="25"/>
  <c r="X34" i="23"/>
  <c r="W41" i="23"/>
  <c r="X37" i="17"/>
  <c r="W44" i="17"/>
  <c r="V47" i="26"/>
  <c r="V55" i="26"/>
  <c r="V50" i="24"/>
  <c r="V58" i="24"/>
  <c r="V55" i="17"/>
  <c r="V47" i="17"/>
  <c r="V47" i="25"/>
  <c r="V55" i="25"/>
  <c r="V58" i="26"/>
  <c r="V50" i="26"/>
  <c r="V55" i="24"/>
  <c r="V47" i="24"/>
  <c r="W44" i="23"/>
  <c r="X37" i="23"/>
  <c r="X34" i="17"/>
  <c r="W41" i="17"/>
  <c r="X34" i="25"/>
  <c r="W41" i="25"/>
  <c r="W44" i="26"/>
  <c r="X37" i="26"/>
  <c r="X34" i="24"/>
  <c r="W41" i="24"/>
  <c r="V50" i="23"/>
  <c r="V58" i="23"/>
  <c r="X48" i="17"/>
  <c r="X56" i="17"/>
  <c r="X49" i="17"/>
  <c r="X57" i="17"/>
  <c r="X48" i="26"/>
  <c r="X56" i="26"/>
  <c r="X49" i="26"/>
  <c r="X57" i="26"/>
  <c r="X49" i="25"/>
  <c r="X57" i="25"/>
  <c r="X48" i="25"/>
  <c r="X56" i="25"/>
  <c r="X49" i="24"/>
  <c r="X57" i="24"/>
  <c r="X48" i="24"/>
  <c r="X56" i="24"/>
  <c r="Y48" i="23"/>
  <c r="Y56" i="23"/>
  <c r="Y49" i="23"/>
  <c r="Y57" i="23"/>
  <c r="Y42" i="25"/>
  <c r="Z35" i="25"/>
  <c r="Y43" i="24"/>
  <c r="Z36" i="24"/>
  <c r="Y43" i="26"/>
  <c r="Z36" i="26"/>
  <c r="Z36" i="25"/>
  <c r="Y43" i="25"/>
  <c r="Y42" i="17"/>
  <c r="Z35" i="17"/>
  <c r="Y42" i="26"/>
  <c r="Z35" i="26"/>
  <c r="Y43" i="17"/>
  <c r="Z36" i="17"/>
  <c r="Y42" i="24"/>
  <c r="Z35" i="24"/>
  <c r="AA36" i="23"/>
  <c r="AA43" i="23" s="1"/>
  <c r="Z43" i="23"/>
  <c r="AA35" i="23"/>
  <c r="AA42" i="23" s="1"/>
  <c r="Z42" i="23"/>
  <c r="X54" i="26"/>
  <c r="X46" i="26"/>
  <c r="X45" i="26"/>
  <c r="X51" i="26" s="1"/>
  <c r="X45" i="23"/>
  <c r="X51" i="23" s="1"/>
  <c r="X54" i="23"/>
  <c r="X46" i="23"/>
  <c r="Z33" i="24"/>
  <c r="Y40" i="24"/>
  <c r="Y33" i="25"/>
  <c r="X40" i="25"/>
  <c r="W59" i="24"/>
  <c r="W11" i="28"/>
  <c r="W54" i="17"/>
  <c r="W46" i="17"/>
  <c r="W45" i="17"/>
  <c r="W51" i="17" s="1"/>
  <c r="X40" i="17"/>
  <c r="Y33" i="17"/>
  <c r="Z33" i="23"/>
  <c r="Y40" i="23"/>
  <c r="W59" i="23"/>
  <c r="W10" i="28"/>
  <c r="X46" i="24"/>
  <c r="X54" i="24"/>
  <c r="X45" i="24"/>
  <c r="X51" i="24" s="1"/>
  <c r="W46" i="25"/>
  <c r="W54" i="25"/>
  <c r="W45" i="25"/>
  <c r="W51" i="25" s="1"/>
  <c r="V59" i="17"/>
  <c r="V14" i="28"/>
  <c r="W59" i="26"/>
  <c r="W13" i="28"/>
  <c r="Y28" i="27"/>
  <c r="Z25" i="27"/>
  <c r="Y40" i="26"/>
  <c r="Z33" i="26"/>
  <c r="V12" i="28"/>
  <c r="V59" i="25"/>
  <c r="X34" i="27"/>
  <c r="X35" i="27" s="1"/>
  <c r="X36" i="27" s="1"/>
  <c r="X30" i="27"/>
  <c r="X29" i="27"/>
  <c r="X31" i="27" s="1"/>
  <c r="X55" i="16" l="1"/>
  <c r="Z55" i="16" s="1"/>
  <c r="C20" i="31"/>
  <c r="Q55" i="16"/>
  <c r="S55" i="16" s="1"/>
  <c r="W60" i="24"/>
  <c r="W60" i="23"/>
  <c r="V60" i="17"/>
  <c r="W60" i="26"/>
  <c r="V60" i="25"/>
  <c r="X44" i="26"/>
  <c r="Y37" i="26"/>
  <c r="W47" i="17"/>
  <c r="W55" i="17"/>
  <c r="W50" i="17"/>
  <c r="W58" i="17"/>
  <c r="X44" i="25"/>
  <c r="Y37" i="25"/>
  <c r="X41" i="26"/>
  <c r="Y34" i="26"/>
  <c r="W50" i="26"/>
  <c r="W58" i="26"/>
  <c r="X41" i="17"/>
  <c r="Y34" i="17"/>
  <c r="X44" i="17"/>
  <c r="Y37" i="17"/>
  <c r="W50" i="25"/>
  <c r="W58" i="25"/>
  <c r="W47" i="26"/>
  <c r="W55" i="26"/>
  <c r="W47" i="24"/>
  <c r="W55" i="24"/>
  <c r="W47" i="25"/>
  <c r="W55" i="25"/>
  <c r="X44" i="23"/>
  <c r="Y37" i="23"/>
  <c r="W47" i="23"/>
  <c r="W55" i="23"/>
  <c r="W50" i="24"/>
  <c r="W58" i="24"/>
  <c r="X41" i="24"/>
  <c r="Y34" i="24"/>
  <c r="X41" i="25"/>
  <c r="Y34" i="25"/>
  <c r="W58" i="23"/>
  <c r="W50" i="23"/>
  <c r="Y34" i="23"/>
  <c r="X41" i="23"/>
  <c r="X44" i="24"/>
  <c r="Y37" i="24"/>
  <c r="Y49" i="17"/>
  <c r="Y57" i="17"/>
  <c r="Y48" i="17"/>
  <c r="Y56" i="17"/>
  <c r="Y48" i="26"/>
  <c r="Y56" i="26"/>
  <c r="Y49" i="26"/>
  <c r="Y57" i="26"/>
  <c r="Y49" i="25"/>
  <c r="Y57" i="25"/>
  <c r="Y48" i="25"/>
  <c r="Y56" i="25"/>
  <c r="Y48" i="24"/>
  <c r="Y56" i="24"/>
  <c r="Y49" i="24"/>
  <c r="Y57" i="24"/>
  <c r="Z48" i="23"/>
  <c r="Z56" i="23"/>
  <c r="Z49" i="23"/>
  <c r="Z57" i="23"/>
  <c r="AA48" i="23"/>
  <c r="AA56" i="23"/>
  <c r="AA49" i="23"/>
  <c r="AA57" i="23"/>
  <c r="AA35" i="26"/>
  <c r="AA42" i="26" s="1"/>
  <c r="Z42" i="26"/>
  <c r="AA36" i="17"/>
  <c r="AA43" i="17" s="1"/>
  <c r="Z43" i="17"/>
  <c r="Z42" i="17"/>
  <c r="AA35" i="17"/>
  <c r="AA42" i="17" s="1"/>
  <c r="Z43" i="26"/>
  <c r="AA36" i="26"/>
  <c r="AA43" i="26" s="1"/>
  <c r="AA35" i="24"/>
  <c r="AA42" i="24" s="1"/>
  <c r="Z42" i="24"/>
  <c r="Z43" i="25"/>
  <c r="AA36" i="25"/>
  <c r="AA43" i="25" s="1"/>
  <c r="AA36" i="24"/>
  <c r="AA43" i="24" s="1"/>
  <c r="Z43" i="24"/>
  <c r="Z42" i="25"/>
  <c r="AA35" i="25"/>
  <c r="AA42" i="25" s="1"/>
  <c r="X46" i="17"/>
  <c r="X45" i="17"/>
  <c r="X51" i="17" s="1"/>
  <c r="X54" i="17"/>
  <c r="Y45" i="24"/>
  <c r="Y51" i="24" s="1"/>
  <c r="Y46" i="24"/>
  <c r="Y54" i="24"/>
  <c r="Y45" i="26"/>
  <c r="Y51" i="26" s="1"/>
  <c r="Y54" i="26"/>
  <c r="Y46" i="26"/>
  <c r="X11" i="28"/>
  <c r="X59" i="24"/>
  <c r="Y45" i="23"/>
  <c r="Y51" i="23" s="1"/>
  <c r="Y54" i="23"/>
  <c r="Y46" i="23"/>
  <c r="Z40" i="24"/>
  <c r="AA33" i="24"/>
  <c r="AA40" i="24" s="1"/>
  <c r="W59" i="25"/>
  <c r="W12" i="28"/>
  <c r="AA33" i="23"/>
  <c r="AA40" i="23" s="1"/>
  <c r="Z40" i="23"/>
  <c r="X45" i="25"/>
  <c r="X51" i="25" s="1"/>
  <c r="X46" i="25"/>
  <c r="X54" i="25"/>
  <c r="Z40" i="26"/>
  <c r="AA33" i="26"/>
  <c r="AA40" i="26" s="1"/>
  <c r="Y30" i="27"/>
  <c r="Y34" i="27"/>
  <c r="Y35" i="27" s="1"/>
  <c r="Y36" i="27" s="1"/>
  <c r="Y29" i="27"/>
  <c r="Y31" i="27" s="1"/>
  <c r="Z28" i="27"/>
  <c r="AA25" i="27"/>
  <c r="AA28" i="27" s="1"/>
  <c r="Z33" i="17"/>
  <c r="Y40" i="17"/>
  <c r="W14" i="28"/>
  <c r="W59" i="17"/>
  <c r="Y40" i="25"/>
  <c r="Z33" i="25"/>
  <c r="X10" i="28"/>
  <c r="X59" i="23"/>
  <c r="X13" i="28"/>
  <c r="X59" i="26"/>
  <c r="G68" i="30" l="1"/>
  <c r="G69" i="30"/>
  <c r="X60" i="24"/>
  <c r="X60" i="23"/>
  <c r="W60" i="17"/>
  <c r="X60" i="26"/>
  <c r="W60" i="25"/>
  <c r="Y44" i="24"/>
  <c r="Z37" i="24"/>
  <c r="Y41" i="24"/>
  <c r="Z34" i="24"/>
  <c r="Y44" i="17"/>
  <c r="Z37" i="17"/>
  <c r="Y44" i="25"/>
  <c r="Z37" i="25"/>
  <c r="X50" i="24"/>
  <c r="X58" i="24"/>
  <c r="X47" i="24"/>
  <c r="X55" i="24"/>
  <c r="X50" i="17"/>
  <c r="X58" i="17"/>
  <c r="X50" i="25"/>
  <c r="X58" i="25"/>
  <c r="X47" i="23"/>
  <c r="X55" i="23"/>
  <c r="Y41" i="25"/>
  <c r="Z34" i="25"/>
  <c r="Y44" i="23"/>
  <c r="Z37" i="23"/>
  <c r="Y41" i="17"/>
  <c r="Z34" i="17"/>
  <c r="Y41" i="26"/>
  <c r="Z34" i="26"/>
  <c r="Z37" i="26"/>
  <c r="Y44" i="26"/>
  <c r="Y41" i="23"/>
  <c r="Z34" i="23"/>
  <c r="X47" i="25"/>
  <c r="X55" i="25"/>
  <c r="X50" i="23"/>
  <c r="X58" i="23"/>
  <c r="X47" i="17"/>
  <c r="X55" i="17"/>
  <c r="X47" i="26"/>
  <c r="X55" i="26"/>
  <c r="X50" i="26"/>
  <c r="X58" i="26"/>
  <c r="D64" i="23"/>
  <c r="AA48" i="17"/>
  <c r="AA56" i="17"/>
  <c r="Z49" i="17"/>
  <c r="Z57" i="17"/>
  <c r="Z48" i="17"/>
  <c r="Z56" i="17"/>
  <c r="AA49" i="17"/>
  <c r="AA57" i="17"/>
  <c r="AA49" i="26"/>
  <c r="AA57" i="26"/>
  <c r="Z48" i="26"/>
  <c r="Z56" i="26"/>
  <c r="Z49" i="26"/>
  <c r="Z57" i="26"/>
  <c r="AA48" i="26"/>
  <c r="AA56" i="26"/>
  <c r="AA48" i="25"/>
  <c r="AA56" i="25"/>
  <c r="AA49" i="25"/>
  <c r="AA57" i="25"/>
  <c r="Z48" i="25"/>
  <c r="Z56" i="25"/>
  <c r="Z49" i="25"/>
  <c r="Z57" i="25"/>
  <c r="Z49" i="24"/>
  <c r="Z57" i="24"/>
  <c r="Z48" i="24"/>
  <c r="Z56" i="24"/>
  <c r="AA49" i="24"/>
  <c r="AA57" i="24"/>
  <c r="AA48" i="24"/>
  <c r="AA56" i="24"/>
  <c r="E64" i="23"/>
  <c r="AA45" i="23"/>
  <c r="AA51" i="23" s="1"/>
  <c r="AA46" i="23"/>
  <c r="AA54" i="23"/>
  <c r="X59" i="17"/>
  <c r="X14" i="28"/>
  <c r="AA29" i="27"/>
  <c r="AA31" i="27" s="1"/>
  <c r="AA30" i="27"/>
  <c r="AA34" i="27"/>
  <c r="AA35" i="27" s="1"/>
  <c r="Y11" i="28"/>
  <c r="Y59" i="24"/>
  <c r="Y45" i="25"/>
  <c r="Y51" i="25" s="1"/>
  <c r="Y46" i="25"/>
  <c r="Y54" i="25"/>
  <c r="X59" i="25"/>
  <c r="X12" i="28"/>
  <c r="Z34" i="27"/>
  <c r="Z35" i="27" s="1"/>
  <c r="Z36" i="27" s="1"/>
  <c r="Z30" i="27"/>
  <c r="Z29" i="27"/>
  <c r="Z31" i="27" s="1"/>
  <c r="AA54" i="26"/>
  <c r="AA46" i="26"/>
  <c r="AA45" i="26"/>
  <c r="AA51" i="26" s="1"/>
  <c r="Y10" i="28"/>
  <c r="Y59" i="23"/>
  <c r="Z40" i="17"/>
  <c r="AA33" i="17"/>
  <c r="AA40" i="17" s="1"/>
  <c r="Z45" i="24"/>
  <c r="Z51" i="24" s="1"/>
  <c r="Z54" i="24"/>
  <c r="Z46" i="24"/>
  <c r="AA33" i="25"/>
  <c r="AA40" i="25" s="1"/>
  <c r="Z40" i="25"/>
  <c r="Y46" i="17"/>
  <c r="Y45" i="17"/>
  <c r="Y51" i="17" s="1"/>
  <c r="Y54" i="17"/>
  <c r="Z46" i="26"/>
  <c r="Z54" i="26"/>
  <c r="Z45" i="26"/>
  <c r="Z51" i="26" s="1"/>
  <c r="Z54" i="23"/>
  <c r="Z45" i="23"/>
  <c r="Z51" i="23" s="1"/>
  <c r="Z46" i="23"/>
  <c r="AA46" i="24"/>
  <c r="AA54" i="24"/>
  <c r="AA45" i="24"/>
  <c r="AA51" i="24" s="1"/>
  <c r="Y59" i="26"/>
  <c r="Y13" i="28"/>
  <c r="K71" i="30" l="1"/>
  <c r="K69" i="30"/>
  <c r="K68" i="30"/>
  <c r="S68" i="30"/>
  <c r="W69" i="30"/>
  <c r="O69" i="30"/>
  <c r="O68" i="30"/>
  <c r="S69" i="30"/>
  <c r="W68" i="30"/>
  <c r="S71" i="30"/>
  <c r="G71" i="30"/>
  <c r="Y60" i="24"/>
  <c r="Y60" i="23"/>
  <c r="X60" i="17"/>
  <c r="X60" i="25"/>
  <c r="E64" i="26"/>
  <c r="E65" i="26" s="1"/>
  <c r="AL52" i="16" s="1"/>
  <c r="Y60" i="26"/>
  <c r="E64" i="25"/>
  <c r="E65" i="25" s="1"/>
  <c r="AL43" i="16" s="1"/>
  <c r="D64" i="17"/>
  <c r="D65" i="17" s="1"/>
  <c r="D66" i="17" s="1"/>
  <c r="AE62" i="16" s="1"/>
  <c r="D64" i="25"/>
  <c r="D65" i="25" s="1"/>
  <c r="AE43" i="16" s="1"/>
  <c r="E65" i="23"/>
  <c r="D65" i="23"/>
  <c r="D66" i="23" s="1"/>
  <c r="Z44" i="26"/>
  <c r="AA37" i="26"/>
  <c r="AA44" i="26" s="1"/>
  <c r="Y47" i="17"/>
  <c r="Y55" i="17"/>
  <c r="Y50" i="25"/>
  <c r="Y58" i="25"/>
  <c r="AA34" i="23"/>
  <c r="AA41" i="23" s="1"/>
  <c r="Z41" i="23"/>
  <c r="AA34" i="26"/>
  <c r="AA41" i="26" s="1"/>
  <c r="Z41" i="26"/>
  <c r="AA37" i="23"/>
  <c r="AA44" i="23" s="1"/>
  <c r="Z44" i="23"/>
  <c r="AA37" i="17"/>
  <c r="AA44" i="17" s="1"/>
  <c r="Z44" i="17"/>
  <c r="Z44" i="24"/>
  <c r="AA37" i="24"/>
  <c r="AA44" i="24" s="1"/>
  <c r="Y47" i="23"/>
  <c r="Y55" i="23"/>
  <c r="Y55" i="26"/>
  <c r="Y47" i="26"/>
  <c r="Y50" i="23"/>
  <c r="Y58" i="23"/>
  <c r="Y50" i="17"/>
  <c r="Y58" i="17"/>
  <c r="Y58" i="24"/>
  <c r="Y50" i="24"/>
  <c r="Y47" i="25"/>
  <c r="Y55" i="25"/>
  <c r="Y47" i="24"/>
  <c r="Y55" i="24"/>
  <c r="Y50" i="26"/>
  <c r="Y58" i="26"/>
  <c r="AA34" i="17"/>
  <c r="AA41" i="17" s="1"/>
  <c r="Z41" i="17"/>
  <c r="AA34" i="25"/>
  <c r="AA41" i="25" s="1"/>
  <c r="Z41" i="25"/>
  <c r="AA37" i="25"/>
  <c r="AA44" i="25" s="1"/>
  <c r="Z44" i="25"/>
  <c r="AA34" i="24"/>
  <c r="AA41" i="24" s="1"/>
  <c r="Z41" i="24"/>
  <c r="E64" i="24"/>
  <c r="E65" i="24" s="1"/>
  <c r="E66" i="24" s="1"/>
  <c r="AL35" i="16" s="1"/>
  <c r="D64" i="26"/>
  <c r="D65" i="26" s="1"/>
  <c r="D64" i="24"/>
  <c r="D65" i="24" s="1"/>
  <c r="D66" i="24" s="1"/>
  <c r="AE35" i="16" s="1"/>
  <c r="E64" i="17"/>
  <c r="E65" i="17" s="1"/>
  <c r="B64" i="23"/>
  <c r="B64" i="24"/>
  <c r="B39" i="27"/>
  <c r="B40" i="27" s="1"/>
  <c r="B64" i="26"/>
  <c r="AA36" i="27"/>
  <c r="Z54" i="25"/>
  <c r="Z45" i="25"/>
  <c r="Z51" i="25" s="1"/>
  <c r="Z46" i="25"/>
  <c r="Z54" i="17"/>
  <c r="Z45" i="17"/>
  <c r="Z51" i="17" s="1"/>
  <c r="Z46" i="17"/>
  <c r="AA10" i="28"/>
  <c r="AA59" i="23"/>
  <c r="AA45" i="25"/>
  <c r="AA51" i="25" s="1"/>
  <c r="AA46" i="25"/>
  <c r="AA54" i="25"/>
  <c r="Z13" i="28"/>
  <c r="Z59" i="26"/>
  <c r="Z11" i="28"/>
  <c r="Z59" i="24"/>
  <c r="Y12" i="28"/>
  <c r="Y59" i="25"/>
  <c r="AA11" i="28"/>
  <c r="AA59" i="24"/>
  <c r="Z10" i="28"/>
  <c r="Z59" i="23"/>
  <c r="Y59" i="17"/>
  <c r="Y14" i="28"/>
  <c r="AA54" i="17"/>
  <c r="AA45" i="17"/>
  <c r="AA51" i="17" s="1"/>
  <c r="AA46" i="17"/>
  <c r="AA13" i="28"/>
  <c r="AA59" i="26"/>
  <c r="W71" i="30" l="1"/>
  <c r="O71" i="30"/>
  <c r="Z60" i="24"/>
  <c r="AA60" i="24" s="1"/>
  <c r="Z60" i="23"/>
  <c r="AA60" i="23" s="1"/>
  <c r="Y60" i="17"/>
  <c r="Y60" i="25"/>
  <c r="E66" i="26"/>
  <c r="AL53" i="16" s="1"/>
  <c r="Z60" i="26"/>
  <c r="AA60" i="26" s="1"/>
  <c r="E66" i="25"/>
  <c r="AL44" i="16" s="1"/>
  <c r="D66" i="25"/>
  <c r="AE44" i="16" s="1"/>
  <c r="AE61" i="16"/>
  <c r="B65" i="26"/>
  <c r="Q81" i="30" s="1" a="1"/>
  <c r="B65" i="24"/>
  <c r="Q34" i="16" s="1"/>
  <c r="B65" i="23"/>
  <c r="N85" i="32" s="1" a="1"/>
  <c r="AE26" i="16"/>
  <c r="AL25" i="16"/>
  <c r="E66" i="23"/>
  <c r="AE25" i="16"/>
  <c r="AN52" i="16"/>
  <c r="AN53" i="16" s="1"/>
  <c r="AL34" i="16"/>
  <c r="AA47" i="24"/>
  <c r="AA55" i="24"/>
  <c r="AA47" i="25"/>
  <c r="AA55" i="25"/>
  <c r="Z50" i="24"/>
  <c r="Z58" i="24"/>
  <c r="AA50" i="23"/>
  <c r="AA58" i="23"/>
  <c r="AA55" i="23"/>
  <c r="AA47" i="23"/>
  <c r="Z50" i="25"/>
  <c r="Z58" i="25"/>
  <c r="Z47" i="17"/>
  <c r="Z55" i="17"/>
  <c r="Z50" i="17"/>
  <c r="Z58" i="17"/>
  <c r="Z55" i="26"/>
  <c r="Z47" i="26"/>
  <c r="AA50" i="26"/>
  <c r="AA58" i="26"/>
  <c r="AA50" i="25"/>
  <c r="AA58" i="25"/>
  <c r="AA47" i="17"/>
  <c r="AA55" i="17"/>
  <c r="AA50" i="17"/>
  <c r="AA58" i="17"/>
  <c r="AA55" i="26"/>
  <c r="AA47" i="26"/>
  <c r="Z50" i="26"/>
  <c r="Z58" i="26"/>
  <c r="Z55" i="24"/>
  <c r="Z47" i="24"/>
  <c r="Z47" i="25"/>
  <c r="Z55" i="25"/>
  <c r="AA58" i="24"/>
  <c r="AA50" i="24"/>
  <c r="Z50" i="23"/>
  <c r="Z58" i="23"/>
  <c r="Z55" i="23"/>
  <c r="Z47" i="23"/>
  <c r="E66" i="17"/>
  <c r="AL62" i="16" s="1"/>
  <c r="AL61" i="16"/>
  <c r="AN61" i="16" s="1"/>
  <c r="AN62" i="16" s="1"/>
  <c r="D66" i="26"/>
  <c r="AE53" i="16" s="1"/>
  <c r="AE52" i="16"/>
  <c r="AE34" i="16"/>
  <c r="B64" i="25"/>
  <c r="B64" i="17"/>
  <c r="AA12" i="28"/>
  <c r="AA59" i="25"/>
  <c r="AA14" i="28"/>
  <c r="AA59" i="17"/>
  <c r="Z14" i="28"/>
  <c r="Z59" i="17"/>
  <c r="Z59" i="25"/>
  <c r="Z12" i="28"/>
  <c r="N87" i="32" l="1"/>
  <c r="N86" i="32"/>
  <c r="N85" i="32"/>
  <c r="N97" i="32" a="1"/>
  <c r="N89" i="32" a="1"/>
  <c r="W70" i="30"/>
  <c r="O70" i="30"/>
  <c r="K67" i="30"/>
  <c r="G67" i="30"/>
  <c r="W67" i="30"/>
  <c r="S70" i="30"/>
  <c r="G70" i="30"/>
  <c r="O67" i="30"/>
  <c r="K70" i="30"/>
  <c r="S67" i="30"/>
  <c r="Z60" i="17"/>
  <c r="AA60" i="17" s="1"/>
  <c r="Z60" i="25"/>
  <c r="AA60" i="25" s="1"/>
  <c r="C16" i="31"/>
  <c r="E81" i="30" a="1"/>
  <c r="E81" i="30" s="1"/>
  <c r="AG61" i="16"/>
  <c r="AG62" i="16" s="1"/>
  <c r="Q52" i="16"/>
  <c r="B66" i="26"/>
  <c r="N100" i="32" s="1"/>
  <c r="B65" i="17"/>
  <c r="Q61" i="16" s="1"/>
  <c r="S81" i="30"/>
  <c r="R81" i="30"/>
  <c r="Q81" i="30"/>
  <c r="B65" i="25"/>
  <c r="B66" i="25" s="1"/>
  <c r="N96" i="32" s="1"/>
  <c r="I81" i="30" a="1"/>
  <c r="K81" i="30" s="1"/>
  <c r="B66" i="24"/>
  <c r="N92" i="32" s="1"/>
  <c r="Q25" i="16"/>
  <c r="S34" i="16" s="1"/>
  <c r="S35" i="16" s="1"/>
  <c r="B66" i="23"/>
  <c r="N88" i="32" s="1"/>
  <c r="AN34" i="16"/>
  <c r="AN35" i="16" s="1"/>
  <c r="AL26" i="16"/>
  <c r="C64" i="25"/>
  <c r="C64" i="26"/>
  <c r="C64" i="23"/>
  <c r="C64" i="24"/>
  <c r="F64" i="25"/>
  <c r="F65" i="25" s="1"/>
  <c r="F64" i="26"/>
  <c r="F65" i="26" s="1"/>
  <c r="AS52" i="16" s="1"/>
  <c r="F64" i="23"/>
  <c r="F65" i="23" s="1"/>
  <c r="AS25" i="16" s="1"/>
  <c r="AN43" i="16"/>
  <c r="AN44" i="16" s="1"/>
  <c r="C64" i="17"/>
  <c r="F64" i="24"/>
  <c r="F65" i="24" s="1"/>
  <c r="F64" i="17"/>
  <c r="F65" i="17" s="1"/>
  <c r="AG52" i="16"/>
  <c r="AG53" i="16" s="1"/>
  <c r="AG34" i="16"/>
  <c r="AG35" i="16" s="1"/>
  <c r="AG43" i="16"/>
  <c r="AG44" i="16" s="1"/>
  <c r="N93" i="32" l="1" a="1"/>
  <c r="N90" i="32"/>
  <c r="N89" i="32"/>
  <c r="N91" i="32"/>
  <c r="N99" i="32"/>
  <c r="N98" i="32"/>
  <c r="N97" i="32"/>
  <c r="N101" i="32" a="1"/>
  <c r="G81" i="30"/>
  <c r="C23" i="31"/>
  <c r="F81" i="30"/>
  <c r="T81" i="30"/>
  <c r="M81" i="30" a="1"/>
  <c r="O81" i="30" s="1"/>
  <c r="P81" i="30"/>
  <c r="Q53" i="16"/>
  <c r="L81" i="30"/>
  <c r="H81" i="30"/>
  <c r="S61" i="16"/>
  <c r="S62" i="16" s="1"/>
  <c r="U81" i="30" a="1"/>
  <c r="V81" i="30" s="1"/>
  <c r="B66" i="17"/>
  <c r="N104" i="32" s="1"/>
  <c r="C65" i="17"/>
  <c r="X61" i="16" s="1"/>
  <c r="C65" i="26"/>
  <c r="C66" i="26" s="1"/>
  <c r="I81" i="30"/>
  <c r="Q43" i="16"/>
  <c r="S43" i="16" s="1"/>
  <c r="S44" i="16" s="1"/>
  <c r="J81" i="30"/>
  <c r="Q44" i="16"/>
  <c r="C65" i="25"/>
  <c r="M77" i="30" s="1" a="1"/>
  <c r="Q35" i="16"/>
  <c r="C65" i="24"/>
  <c r="C66" i="24" s="1"/>
  <c r="Q26" i="16"/>
  <c r="C65" i="23"/>
  <c r="E77" i="30" s="1" a="1"/>
  <c r="F66" i="26"/>
  <c r="AS53" i="16" s="1"/>
  <c r="F66" i="25"/>
  <c r="AS44" i="16" s="1"/>
  <c r="AS43" i="16"/>
  <c r="AU52" i="16" s="1"/>
  <c r="AU53" i="16" s="1"/>
  <c r="F66" i="23"/>
  <c r="AS26" i="16" s="1"/>
  <c r="F66" i="17"/>
  <c r="AS62" i="16" s="1"/>
  <c r="AS61" i="16"/>
  <c r="AU61" i="16" s="1"/>
  <c r="AU62" i="16" s="1"/>
  <c r="F66" i="24"/>
  <c r="AS35" i="16" s="1"/>
  <c r="AS34" i="16"/>
  <c r="J89" i="32" l="1" a="1"/>
  <c r="J93" i="32" a="1"/>
  <c r="J101" i="32" a="1"/>
  <c r="J97" i="32" a="1"/>
  <c r="N103" i="32"/>
  <c r="N102" i="32"/>
  <c r="N101" i="32"/>
  <c r="J85" i="32" a="1"/>
  <c r="N93" i="32"/>
  <c r="N95" i="32"/>
  <c r="N94" i="32"/>
  <c r="J100" i="32" a="1"/>
  <c r="J100" i="32" s="1"/>
  <c r="J92" i="32" a="1"/>
  <c r="M92" i="32" s="1"/>
  <c r="X81" i="30"/>
  <c r="C24" i="31"/>
  <c r="N81" i="30"/>
  <c r="T77" i="30" a="1"/>
  <c r="T78" i="30" s="1"/>
  <c r="M81" i="30"/>
  <c r="O80" i="30"/>
  <c r="N79" i="30"/>
  <c r="M78" i="30"/>
  <c r="M77" i="30"/>
  <c r="N80" i="30"/>
  <c r="M79" i="30"/>
  <c r="O77" i="30"/>
  <c r="M80" i="30"/>
  <c r="O78" i="30"/>
  <c r="N77" i="30"/>
  <c r="O79" i="30"/>
  <c r="N78" i="30"/>
  <c r="L77" i="30" a="1"/>
  <c r="L79" i="30" s="1"/>
  <c r="W81" i="30"/>
  <c r="U81" i="30"/>
  <c r="C66" i="17"/>
  <c r="J104" i="32" s="1" a="1"/>
  <c r="U77" i="30" a="1"/>
  <c r="V77" i="30" s="1"/>
  <c r="X52" i="16"/>
  <c r="Z61" i="16" s="1"/>
  <c r="Z62" i="16" s="1"/>
  <c r="S52" i="16"/>
  <c r="S53" i="16" s="1"/>
  <c r="Q62" i="16"/>
  <c r="Q77" i="30" a="1"/>
  <c r="Q80" i="30" s="1"/>
  <c r="X53" i="16"/>
  <c r="X43" i="16"/>
  <c r="C66" i="25"/>
  <c r="J96" i="32" s="1" a="1"/>
  <c r="X34" i="16"/>
  <c r="I77" i="30" a="1"/>
  <c r="K79" i="30" s="1"/>
  <c r="X35" i="16"/>
  <c r="E78" i="30"/>
  <c r="F79" i="30"/>
  <c r="G80" i="30"/>
  <c r="E77" i="30"/>
  <c r="F78" i="30"/>
  <c r="G79" i="30"/>
  <c r="F77" i="30"/>
  <c r="G78" i="30"/>
  <c r="E80" i="30"/>
  <c r="G77" i="30"/>
  <c r="E79" i="30"/>
  <c r="F80" i="30"/>
  <c r="C66" i="23"/>
  <c r="J88" i="32" s="1" a="1"/>
  <c r="X25" i="16"/>
  <c r="AU34" i="16"/>
  <c r="AU35" i="16" s="1"/>
  <c r="AU43" i="16"/>
  <c r="AU44" i="16" s="1"/>
  <c r="M87" i="32" l="1"/>
  <c r="M86" i="32"/>
  <c r="M85" i="32"/>
  <c r="L87" i="32"/>
  <c r="L86" i="32"/>
  <c r="L85" i="32"/>
  <c r="K87" i="32"/>
  <c r="K86" i="32"/>
  <c r="K85" i="32"/>
  <c r="J87" i="32"/>
  <c r="J86" i="32"/>
  <c r="J85" i="32"/>
  <c r="J99" i="32"/>
  <c r="J98" i="32"/>
  <c r="J97" i="32"/>
  <c r="M99" i="32"/>
  <c r="M98" i="32"/>
  <c r="M97" i="32"/>
  <c r="L99" i="32"/>
  <c r="L98" i="32"/>
  <c r="L97" i="32"/>
  <c r="K99" i="32"/>
  <c r="K98" i="32"/>
  <c r="K97" i="32"/>
  <c r="M103" i="32"/>
  <c r="M102" i="32"/>
  <c r="M101" i="32"/>
  <c r="L103" i="32"/>
  <c r="L102" i="32"/>
  <c r="L101" i="32"/>
  <c r="K103" i="32"/>
  <c r="K102" i="32"/>
  <c r="K101" i="32"/>
  <c r="J103" i="32"/>
  <c r="J102" i="32"/>
  <c r="J101" i="32"/>
  <c r="K95" i="32"/>
  <c r="K94" i="32"/>
  <c r="K93" i="32"/>
  <c r="J95" i="32"/>
  <c r="J94" i="32"/>
  <c r="J93" i="32"/>
  <c r="M95" i="32"/>
  <c r="M94" i="32"/>
  <c r="M93" i="32"/>
  <c r="L95" i="32"/>
  <c r="L94" i="32"/>
  <c r="L93" i="32"/>
  <c r="L91" i="32"/>
  <c r="L90" i="32"/>
  <c r="L89" i="32"/>
  <c r="K91" i="32"/>
  <c r="K90" i="32"/>
  <c r="K89" i="32"/>
  <c r="J91" i="32"/>
  <c r="J90" i="32"/>
  <c r="J89" i="32"/>
  <c r="M91" i="32"/>
  <c r="M90" i="32"/>
  <c r="M89" i="32"/>
  <c r="M100" i="32"/>
  <c r="L100" i="32"/>
  <c r="K100" i="32"/>
  <c r="L92" i="32"/>
  <c r="K92" i="32"/>
  <c r="J92" i="32"/>
  <c r="M104" i="32"/>
  <c r="J104" i="32"/>
  <c r="K104" i="32"/>
  <c r="L104" i="32"/>
  <c r="J96" i="32"/>
  <c r="K96" i="32"/>
  <c r="L96" i="32"/>
  <c r="M96" i="32"/>
  <c r="M88" i="32"/>
  <c r="J88" i="32"/>
  <c r="K88" i="32"/>
  <c r="L88" i="32"/>
  <c r="L80" i="30"/>
  <c r="T79" i="30"/>
  <c r="L77" i="30"/>
  <c r="T80" i="30"/>
  <c r="L78" i="30"/>
  <c r="T77" i="30"/>
  <c r="X62" i="16"/>
  <c r="X77" i="30" a="1"/>
  <c r="P77" i="30" a="1"/>
  <c r="H77" i="30" a="1"/>
  <c r="H77" i="30" s="1"/>
  <c r="Z52" i="16"/>
  <c r="Z53" i="16" s="1"/>
  <c r="W77" i="30"/>
  <c r="V78" i="30"/>
  <c r="V79" i="30"/>
  <c r="U80" i="30"/>
  <c r="V80" i="30"/>
  <c r="W78" i="30"/>
  <c r="U77" i="30"/>
  <c r="U78" i="30"/>
  <c r="W79" i="30"/>
  <c r="U79" i="30"/>
  <c r="W80" i="30"/>
  <c r="Z34" i="16"/>
  <c r="Z35" i="16" s="1"/>
  <c r="S80" i="30"/>
  <c r="Q77" i="30"/>
  <c r="S77" i="30"/>
  <c r="R79" i="30"/>
  <c r="Q79" i="30"/>
  <c r="R77" i="30"/>
  <c r="R80" i="30"/>
  <c r="R78" i="30"/>
  <c r="S78" i="30"/>
  <c r="Q78" i="30"/>
  <c r="S79" i="30"/>
  <c r="Z43" i="16"/>
  <c r="Z44" i="16" s="1"/>
  <c r="J77" i="30"/>
  <c r="J78" i="30"/>
  <c r="I79" i="30"/>
  <c r="K80" i="30"/>
  <c r="X44" i="16"/>
  <c r="I78" i="30"/>
  <c r="I80" i="30"/>
  <c r="J80" i="30"/>
  <c r="I77" i="30"/>
  <c r="K78" i="30"/>
  <c r="K77" i="30"/>
  <c r="J79" i="30"/>
  <c r="X26" i="16"/>
  <c r="H79" i="30" l="1"/>
  <c r="H78" i="30"/>
  <c r="H80" i="30"/>
  <c r="X79" i="30"/>
  <c r="X78" i="30"/>
  <c r="X77" i="30"/>
  <c r="X80" i="30"/>
  <c r="P79" i="30"/>
  <c r="P78" i="30"/>
  <c r="P80" i="30"/>
  <c r="P77" i="30"/>
</calcChain>
</file>

<file path=xl/sharedStrings.xml><?xml version="1.0" encoding="utf-8"?>
<sst xmlns="http://schemas.openxmlformats.org/spreadsheetml/2006/main" count="1312" uniqueCount="318">
  <si>
    <t>Asset Information</t>
  </si>
  <si>
    <t>Value of Preventing a Fatality</t>
  </si>
  <si>
    <t>Asset</t>
  </si>
  <si>
    <t>Other</t>
  </si>
  <si>
    <t>Locos/Motorised</t>
  </si>
  <si>
    <t>Wagon/Trailer</t>
  </si>
  <si>
    <t>Asset Count Calculation</t>
  </si>
  <si>
    <t>Fleet</t>
  </si>
  <si>
    <t>Config</t>
  </si>
  <si>
    <t>Assets per L/M</t>
  </si>
  <si>
    <t>Assets per W/T</t>
  </si>
  <si>
    <t>Infrastructure</t>
  </si>
  <si>
    <t>Infrastructure Assets</t>
  </si>
  <si>
    <t>Subtotal</t>
  </si>
  <si>
    <t>Total Asset Count</t>
  </si>
  <si>
    <t>Average Vehicle Miles per year</t>
  </si>
  <si>
    <t>Asset Utilisation Calculation (Optional)</t>
  </si>
  <si>
    <t>Average Vehicle Impact per year</t>
  </si>
  <si>
    <t>Asset Specific</t>
  </si>
  <si>
    <t>Asset Related</t>
  </si>
  <si>
    <t>Total Safety Risk</t>
  </si>
  <si>
    <t>FWI</t>
  </si>
  <si>
    <t>Service affecting incidents</t>
  </si>
  <si>
    <t>Other Genuine</t>
  </si>
  <si>
    <t>Total Incidents</t>
  </si>
  <si>
    <t>Delay per Incident</t>
  </si>
  <si>
    <t>Cancellation %</t>
  </si>
  <si>
    <t>Cancellation Cost</t>
  </si>
  <si>
    <t>Total Service Cost</t>
  </si>
  <si>
    <t>TOTAL</t>
  </si>
  <si>
    <t>Other Impacts</t>
  </si>
  <si>
    <t>General wear and tear</t>
  </si>
  <si>
    <t>Major incidents per year</t>
  </si>
  <si>
    <t>Cost per major incident</t>
  </si>
  <si>
    <t>Total Safety Cost</t>
  </si>
  <si>
    <t>Total Other Costs</t>
  </si>
  <si>
    <t>Total Asset Risk Cost</t>
  </si>
  <si>
    <t>Failures</t>
  </si>
  <si>
    <t>Fault Fixing Cost</t>
  </si>
  <si>
    <t>Asset Faults (in-service)</t>
  </si>
  <si>
    <t>Reactive Cost per Fault</t>
  </si>
  <si>
    <t>Service 1</t>
  </si>
  <si>
    <t>Service 2</t>
  </si>
  <si>
    <t>Service 3</t>
  </si>
  <si>
    <t>Time-based Activities</t>
  </si>
  <si>
    <t>Interval (Years) 1</t>
  </si>
  <si>
    <t>Interval (Years) 2</t>
  </si>
  <si>
    <t>Interval (Years) 3</t>
  </si>
  <si>
    <t>Cost per Service 1</t>
  </si>
  <si>
    <t>Cost per Service 2</t>
  </si>
  <si>
    <t>Cost per Service 3</t>
  </si>
  <si>
    <t>Annualised Cost per Asset</t>
  </si>
  <si>
    <t>Number of Assets</t>
  </si>
  <si>
    <t>Total Time-based Cost</t>
  </si>
  <si>
    <t>Usage-based Activities</t>
  </si>
  <si>
    <t>Threshold 1</t>
  </si>
  <si>
    <t>Threshold 2</t>
  </si>
  <si>
    <t>Threshold 3</t>
  </si>
  <si>
    <t>Total Usage</t>
  </si>
  <si>
    <t>Annualised Cost per Utilisation</t>
  </si>
  <si>
    <t>System 1</t>
  </si>
  <si>
    <t>System 2</t>
  </si>
  <si>
    <t>System 3</t>
  </si>
  <si>
    <t>System 4</t>
  </si>
  <si>
    <t>Name</t>
  </si>
  <si>
    <t>Annualised Labour</t>
  </si>
  <si>
    <t>Annualised Systems</t>
  </si>
  <si>
    <t>Annualised Support Contracts</t>
  </si>
  <si>
    <t>Safety</t>
  </si>
  <si>
    <t>Service</t>
  </si>
  <si>
    <t>Number of Sites</t>
  </si>
  <si>
    <t>Existing Sites</t>
  </si>
  <si>
    <t>Site Mix</t>
  </si>
  <si>
    <t>Current</t>
  </si>
  <si>
    <t>Service Affecting Failures</t>
  </si>
  <si>
    <t>Service Impact</t>
  </si>
  <si>
    <t>Service Affecting Incidents</t>
  </si>
  <si>
    <t>Delay Cost per Minute</t>
  </si>
  <si>
    <t>Reduced RCM Impacts</t>
  </si>
  <si>
    <t>Total Usage-based Cost</t>
  </si>
  <si>
    <t>EXPECTED</t>
  </si>
  <si>
    <t>UPPER</t>
  </si>
  <si>
    <t>LOWER</t>
  </si>
  <si>
    <t>Expected Life</t>
  </si>
  <si>
    <t>Installation Cost per Site/Train</t>
  </si>
  <si>
    <t>Annualised Capex Cost per Site/Train</t>
  </si>
  <si>
    <t>Data Acquisition</t>
  </si>
  <si>
    <t>DA Annualised Capex Cost</t>
  </si>
  <si>
    <t>Annual Mtce per Site/Train</t>
  </si>
  <si>
    <t>DA Annualised Maintenance Cost</t>
  </si>
  <si>
    <t>(include comms costs)</t>
  </si>
  <si>
    <t>DM/SD Operating Costs</t>
  </si>
  <si>
    <t>Additional Capex</t>
  </si>
  <si>
    <t>Capex Cost per Installation</t>
  </si>
  <si>
    <t>Mtce Cost per Installation</t>
  </si>
  <si>
    <t>Total DM/SD Operating Cost</t>
  </si>
  <si>
    <t>Additional DM/SD Costs</t>
  </si>
  <si>
    <t>Annualised DM/SD Costs</t>
  </si>
  <si>
    <t>Additional Maintenance</t>
  </si>
  <si>
    <t>Data Link</t>
  </si>
  <si>
    <t>System Link</t>
  </si>
  <si>
    <t>Complex System</t>
  </si>
  <si>
    <t>External Data</t>
  </si>
  <si>
    <t>Data Source / Systems Integration</t>
  </si>
  <si>
    <t>Total Additional Capex</t>
  </si>
  <si>
    <t>Change in Site Mix</t>
  </si>
  <si>
    <t>Total Additional Maintenance</t>
  </si>
  <si>
    <t>Basic Health Assessment (HA1)</t>
  </si>
  <si>
    <t>Full Health Assessment (HA2)</t>
  </si>
  <si>
    <t>Prognostic Assessment (PA)</t>
  </si>
  <si>
    <t>Advisory Generation (AG)</t>
  </si>
  <si>
    <t>SD</t>
  </si>
  <si>
    <t>PA</t>
  </si>
  <si>
    <t>AG</t>
  </si>
  <si>
    <t>Asset Failure Reduction (as %)</t>
  </si>
  <si>
    <t>Additional Service Impact Reduction (as %)</t>
  </si>
  <si>
    <t>DA/DM/SD</t>
  </si>
  <si>
    <t>HA1</t>
  </si>
  <si>
    <t>HA2</t>
  </si>
  <si>
    <t>Asset Risk Benefits</t>
  </si>
  <si>
    <t>Additional Impact Reduction (as %)</t>
  </si>
  <si>
    <t>RCM Equip Failure Reduction (as %)</t>
  </si>
  <si>
    <t>Service Impact per Site</t>
  </si>
  <si>
    <t>DM/SD Costs</t>
  </si>
  <si>
    <t>RCM WLC - New Configuration</t>
  </si>
  <si>
    <t>Annualised Costs</t>
  </si>
  <si>
    <t>Benefits</t>
  </si>
  <si>
    <t>Costs</t>
  </si>
  <si>
    <t>Total Delay Minutes</t>
  </si>
  <si>
    <t>Investment</t>
  </si>
  <si>
    <t>Discount Rate</t>
  </si>
  <si>
    <t>Evaluation Period</t>
  </si>
  <si>
    <t>State Detection Migration</t>
  </si>
  <si>
    <t>years</t>
  </si>
  <si>
    <t>Health Assessment 1</t>
  </si>
  <si>
    <t>Health Assessment 2</t>
  </si>
  <si>
    <t>Prognostic Assessment</t>
  </si>
  <si>
    <t>Advisory Generation</t>
  </si>
  <si>
    <t>Linear</t>
  </si>
  <si>
    <t>At end</t>
  </si>
  <si>
    <t>Year</t>
  </si>
  <si>
    <t>At start</t>
  </si>
  <si>
    <t>Implemented</t>
  </si>
  <si>
    <t>Annualised Cost</t>
  </si>
  <si>
    <t>vs. Current</t>
  </si>
  <si>
    <t>vs. Previous</t>
  </si>
  <si>
    <t>Maturity Level Costs</t>
  </si>
  <si>
    <t>RCM Toolkit</t>
  </si>
  <si>
    <t>Version</t>
  </si>
  <si>
    <t>Date</t>
  </si>
  <si>
    <t>RCM Advancement - Benefits</t>
  </si>
  <si>
    <t>RCM Current</t>
  </si>
  <si>
    <t>Total Asset WLC Cost</t>
  </si>
  <si>
    <t>Option Title</t>
  </si>
  <si>
    <t>RCM</t>
  </si>
  <si>
    <t>RCM Installations</t>
  </si>
  <si>
    <t>Faults per Site per Year</t>
  </si>
  <si>
    <t>Data for RCM Current Calcs</t>
  </si>
  <si>
    <t>Year 0</t>
  </si>
  <si>
    <t>In-service Failures per asset per year</t>
  </si>
  <si>
    <t>In-service MTBF (years)</t>
  </si>
  <si>
    <t>Net Cashflow</t>
  </si>
  <si>
    <t>RCM Maturity Levels</t>
  </si>
  <si>
    <t>Trackside Costs</t>
  </si>
  <si>
    <t>Central Costs</t>
  </si>
  <si>
    <t>Capex</t>
  </si>
  <si>
    <t>Opex</t>
  </si>
  <si>
    <t>TOTAL Capex</t>
  </si>
  <si>
    <t>TOTAL Opex</t>
  </si>
  <si>
    <t>Delay Minutes per Incident</t>
  </si>
  <si>
    <t>Cost Unit Rates</t>
  </si>
  <si>
    <t>System Configuration</t>
  </si>
  <si>
    <t>Information</t>
  </si>
  <si>
    <t>Risk</t>
  </si>
  <si>
    <t>Whole Life Cost</t>
  </si>
  <si>
    <t>Financial Data</t>
  </si>
  <si>
    <t>Baseline Configuration</t>
  </si>
  <si>
    <t>n/a</t>
  </si>
  <si>
    <t>Discounted Capex</t>
  </si>
  <si>
    <t>Investment Capex</t>
  </si>
  <si>
    <t>Marginal Benefit between Maturity Levels</t>
  </si>
  <si>
    <t>Benefit versus Current</t>
  </si>
  <si>
    <t>Benefit vs. Current</t>
  </si>
  <si>
    <t>Delta Benefit</t>
  </si>
  <si>
    <t>Discounted - Benefit vs. Current</t>
  </si>
  <si>
    <t>Discounted - Delta Benefit</t>
  </si>
  <si>
    <t>Discounted - Net Cash Flow</t>
  </si>
  <si>
    <t>NPV</t>
  </si>
  <si>
    <t>Total</t>
  </si>
  <si>
    <t>Maturity Level</t>
  </si>
  <si>
    <t>Next Maturity Level</t>
  </si>
  <si>
    <t>Investment spread for Next Maturity Level</t>
  </si>
  <si>
    <t>Included in Appraisal Period?</t>
  </si>
  <si>
    <t>SD Cashflow</t>
  </si>
  <si>
    <t>HA1 Cashflow</t>
  </si>
  <si>
    <t>HA2 Cashflow</t>
  </si>
  <si>
    <t>PA Cashflow</t>
  </si>
  <si>
    <t>AG Cashflow</t>
  </si>
  <si>
    <t>Whole Life Costs</t>
  </si>
  <si>
    <t>Service Risk</t>
  </si>
  <si>
    <t>Sensitivities</t>
  </si>
  <si>
    <t>RCM Higher Level Analytics</t>
  </si>
  <si>
    <t>Asset Risk</t>
  </si>
  <si>
    <t>Asset Whole Life Cost</t>
  </si>
  <si>
    <t>Current Cashflow</t>
  </si>
  <si>
    <t>Total Cashflow Breakdown</t>
  </si>
  <si>
    <t>RCM (annual)</t>
  </si>
  <si>
    <t>TOTAL (annual)</t>
  </si>
  <si>
    <t>Annual (Steady State) WLC by Maturity Level</t>
  </si>
  <si>
    <t>NPV (Net Cash Flow)</t>
  </si>
  <si>
    <t>Lower - Expected - Upper</t>
  </si>
  <si>
    <r>
      <t xml:space="preserve">Benefit versus Current </t>
    </r>
    <r>
      <rPr>
        <b/>
        <i/>
        <sz val="10"/>
        <rFont val="Calibri"/>
        <family val="2"/>
      </rPr>
      <t>(+ve means saving)</t>
    </r>
  </si>
  <si>
    <r>
      <t xml:space="preserve">Marginal Benefit between Maturity Levels </t>
    </r>
    <r>
      <rPr>
        <b/>
        <i/>
        <sz val="10"/>
        <rFont val="Calibri"/>
        <family val="2"/>
      </rPr>
      <t>(+ve means saving)</t>
    </r>
  </si>
  <si>
    <t>Business Case</t>
  </si>
  <si>
    <t>Safety Risk</t>
  </si>
  <si>
    <t>Performance Risk</t>
  </si>
  <si>
    <t>RCM Future</t>
  </si>
  <si>
    <t>Implementation Timescales</t>
  </si>
  <si>
    <t>RCM Future - Costs</t>
  </si>
  <si>
    <t>Asset WLC Benefits</t>
  </si>
  <si>
    <t>NPV / Investment (PV)</t>
  </si>
  <si>
    <t>Cummulative Discounted - Net Cash Flow</t>
  </si>
  <si>
    <t>NPV / Total Investment</t>
  </si>
  <si>
    <t>Total Investment (PV)</t>
  </si>
  <si>
    <t>Total Benefits (PV)</t>
  </si>
  <si>
    <t>Note:</t>
  </si>
  <si>
    <t>Service Impact Breakdown</t>
  </si>
  <si>
    <t>Capex Breakdown</t>
  </si>
  <si>
    <t>Opex Breakdown</t>
  </si>
  <si>
    <t>Central Cost Breakdown</t>
  </si>
  <si>
    <t>RCM Service Impact Total</t>
  </si>
  <si>
    <t>Breakdown</t>
  </si>
  <si>
    <t>Total Capex &amp; Opex Breakdown</t>
  </si>
  <si>
    <t>WLC</t>
  </si>
  <si>
    <t xml:space="preserve">  Analysis of Monetised Costs and Benefits</t>
  </si>
  <si>
    <t xml:space="preserve">  Noise</t>
  </si>
  <si>
    <t>(12)</t>
  </si>
  <si>
    <t xml:space="preserve">  Local Air Quality</t>
  </si>
  <si>
    <t>(13)</t>
  </si>
  <si>
    <t xml:space="preserve">  Greenhouse Gases</t>
  </si>
  <si>
    <t>(14)</t>
  </si>
  <si>
    <t xml:space="preserve">  Journey Quality</t>
  </si>
  <si>
    <t>(15)</t>
  </si>
  <si>
    <t xml:space="preserve">  Physical Activity</t>
  </si>
  <si>
    <t>(16)</t>
  </si>
  <si>
    <t xml:space="preserve">  Accidents</t>
  </si>
  <si>
    <t>(17)</t>
  </si>
  <si>
    <t xml:space="preserve">  Economic Efficiency: Consumer Users (Commuting)</t>
  </si>
  <si>
    <t>(1a)</t>
  </si>
  <si>
    <t xml:space="preserve">  Economic Efficiency: Consumer Users (Other)</t>
  </si>
  <si>
    <t>(1b)</t>
  </si>
  <si>
    <t xml:space="preserve">  Economic Efficiency: Business Users and Providers</t>
  </si>
  <si>
    <t>(5)</t>
  </si>
  <si>
    <t xml:space="preserve">  Wider Public Finances (Indirect Taxation Revenues)</t>
  </si>
  <si>
    <t>- (11) - sign changed from PA table, as PA table represents costs, not benefits</t>
  </si>
  <si>
    <t xml:space="preserve">  Present Value of Benefits (see notes) (PVB)</t>
  </si>
  <si>
    <t>(PVB) = (12) + (13) + (14) + (15) + (16) + (17) + (1a) + (1b) + (5) - (11)</t>
  </si>
  <si>
    <t xml:space="preserve">  Broad Transport Budget</t>
  </si>
  <si>
    <t>(10)</t>
  </si>
  <si>
    <t xml:space="preserve">  Present Value of Costs (see notes)  (PVC)</t>
  </si>
  <si>
    <t>(PVC) = (10)</t>
  </si>
  <si>
    <t xml:space="preserve">  OVERALL IMPACTS</t>
  </si>
  <si>
    <t xml:space="preserve">  Net Present Value  (NPV)</t>
  </si>
  <si>
    <t xml:space="preserve">  NPV=PVB-PVC</t>
  </si>
  <si>
    <t xml:space="preserve">  Benefit to Cost Ratio (BCR)</t>
  </si>
  <si>
    <t xml:space="preserve">  BCR=PVB/PVC</t>
  </si>
  <si>
    <t xml:space="preserve">Note :  This table includes costs and benefits which are regularly or occasionally presented in monetised form in transport appraisals, together with some where monetisation is in prospect. There may also be other significant costs and benefits, some of which cannot be presented in monetised form.  Where this is the case, the analysis presented above does NOT provide a good measure of value for money and should not be used as the sole basis for decisions.  </t>
  </si>
  <si>
    <t>Total Capex</t>
    <phoneticPr fontId="48" type="noConversion"/>
  </si>
  <si>
    <r>
      <t>A</t>
    </r>
    <r>
      <rPr>
        <sz val="10"/>
        <rFont val="Arial"/>
        <family val="2"/>
      </rPr>
      <t>nnual Cost</t>
    </r>
    <phoneticPr fontId="48" type="noConversion"/>
  </si>
  <si>
    <r>
      <t>B</t>
    </r>
    <r>
      <rPr>
        <sz val="10"/>
        <rFont val="Arial"/>
        <family val="2"/>
      </rPr>
      <t>enefit vs Current</t>
    </r>
    <phoneticPr fontId="48" type="noConversion"/>
  </si>
  <si>
    <t>Current</t>
    <phoneticPr fontId="48" type="noConversion"/>
  </si>
  <si>
    <t>Future</t>
    <phoneticPr fontId="48" type="noConversion"/>
  </si>
  <si>
    <t>HA1</t>
    <phoneticPr fontId="48" type="noConversion"/>
  </si>
  <si>
    <t>HA2</t>
    <phoneticPr fontId="48" type="noConversion"/>
  </si>
  <si>
    <t>PA</t>
    <phoneticPr fontId="48" type="noConversion"/>
  </si>
  <si>
    <t>AG</t>
    <phoneticPr fontId="48" type="noConversion"/>
  </si>
  <si>
    <t>RCM Maturity Cost &amp; Benefit Summary Report</t>
    <phoneticPr fontId="48" type="noConversion"/>
  </si>
  <si>
    <t>Payback (yr)</t>
    <phoneticPr fontId="48" type="noConversion"/>
  </si>
  <si>
    <t>IRR</t>
    <phoneticPr fontId="48" type="noConversion"/>
  </si>
  <si>
    <t>Future</t>
  </si>
  <si>
    <t>Investment (PV)</t>
  </si>
  <si>
    <t>Benefit (PV)</t>
  </si>
  <si>
    <t>BCR</t>
  </si>
  <si>
    <t>25 Year Cashflow</t>
  </si>
  <si>
    <t>The target level of maturity is (select from dropdown):</t>
  </si>
  <si>
    <t>© RSSB Copyright 2014 Rail Safety and Standards Board</t>
  </si>
  <si>
    <t>test 1</t>
  </si>
  <si>
    <t>Annual Cost</t>
  </si>
  <si>
    <t>Benefit vs Current</t>
  </si>
  <si>
    <t>T1010-04 Detailed Overview of Selected RCM Areas</t>
  </si>
  <si>
    <t>Reduction in Time/Usage based Maintenance Activities (as %)</t>
  </si>
  <si>
    <t>Asset Info</t>
  </si>
  <si>
    <t>Asset WLC</t>
  </si>
  <si>
    <t>RCM WLC</t>
  </si>
  <si>
    <t>RCM Benefit</t>
  </si>
  <si>
    <t>Upper</t>
  </si>
  <si>
    <t>Lower</t>
  </si>
  <si>
    <t>RCM Data Source / Integration</t>
  </si>
  <si>
    <t>Annualised Costs &amp; Benefits</t>
  </si>
  <si>
    <t>Asset Risk (annual)</t>
  </si>
  <si>
    <t>Asset Whole Life Costs</t>
  </si>
  <si>
    <t>Asset WLC (annual)</t>
  </si>
  <si>
    <t>psw</t>
  </si>
  <si>
    <t>RSSB2014</t>
  </si>
  <si>
    <t>DfT Sept 2016</t>
  </si>
  <si>
    <t>https://www.rssb.co.uk/risk-analysis-and-safety-reporting/risk-analysis/taking-safe-decisions/taking-safe-decisions-safety-related-cba</t>
  </si>
  <si>
    <t>Use of track condition information gathered by Crossrail trains fitted with measuring equipment will improve proactive maintenance of NR track</t>
  </si>
  <si>
    <t>Plain Line Track</t>
  </si>
  <si>
    <t>Option 1 - Daily track data</t>
  </si>
  <si>
    <t>Crossrail</t>
  </si>
  <si>
    <t>NR Western</t>
  </si>
  <si>
    <t>Balfour Beatty</t>
  </si>
  <si>
    <t>RSSB</t>
  </si>
  <si>
    <t>Inspection</t>
  </si>
  <si>
    <t>Tamping</t>
  </si>
  <si>
    <t>Relaying</t>
  </si>
  <si>
    <t>UTGM on trains</t>
  </si>
  <si>
    <t>UTGM NR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</si>
</sst>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quot;£&quot;#,##0"/>
    <numFmt numFmtId="166" formatCode="#,##0.0000"/>
    <numFmt numFmtId="167" formatCode="&quot;£&quot;#,##0;\(&quot;£&quot;#,##0\)"/>
    <numFmt numFmtId="168" formatCode="&quot;£&quot;#,##0;[Red]\(&quot;£&quot;#,##0\)"/>
    <numFmt numFmtId="169" formatCode="0.00_);[Red]\(0.00\)"/>
    <numFmt numFmtId="170" formatCode="0.0%"/>
  </numFmts>
  <fonts count="57">
    <font>
      <sz val="10"/>
      <name val="Arial"/>
    </font>
    <font>
      <sz val="10"/>
      <name val="Arial"/>
      <family val="2"/>
    </font>
    <font>
      <b/>
      <sz val="10"/>
      <name val="Arial"/>
      <family val="2"/>
    </font>
    <font>
      <sz val="8"/>
      <name val="Arial"/>
      <family val="2"/>
    </font>
    <font>
      <b/>
      <sz val="12"/>
      <name val="Arial"/>
      <family val="2"/>
    </font>
    <font>
      <sz val="10"/>
      <name val="Arial"/>
      <family val="2"/>
    </font>
    <font>
      <b/>
      <i/>
      <sz val="10"/>
      <name val="Arial"/>
      <family val="2"/>
    </font>
    <font>
      <i/>
      <sz val="10"/>
      <name val="Arial"/>
      <family val="2"/>
    </font>
    <font>
      <b/>
      <sz val="10"/>
      <color indexed="9"/>
      <name val="Arial"/>
      <family val="2"/>
    </font>
    <font>
      <sz val="10"/>
      <color indexed="9"/>
      <name val="Arial"/>
      <family val="2"/>
    </font>
    <font>
      <sz val="10"/>
      <name val="Calibri"/>
      <family val="2"/>
    </font>
    <font>
      <b/>
      <sz val="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4"/>
      <color indexed="9"/>
      <name val="Arial"/>
      <family val="2"/>
    </font>
    <font>
      <b/>
      <sz val="12"/>
      <color indexed="9"/>
      <name val="Arial"/>
      <family val="2"/>
    </font>
    <font>
      <sz val="12"/>
      <color indexed="10"/>
      <name val="Arial"/>
      <family val="2"/>
    </font>
    <font>
      <b/>
      <sz val="14"/>
      <name val="Calibri"/>
      <family val="2"/>
    </font>
    <font>
      <b/>
      <sz val="16"/>
      <name val="Calibri"/>
      <family val="2"/>
    </font>
    <font>
      <sz val="16"/>
      <name val="Calibri"/>
      <family val="2"/>
    </font>
    <font>
      <b/>
      <i/>
      <sz val="10"/>
      <name val="Calibri"/>
      <family val="2"/>
    </font>
    <font>
      <b/>
      <sz val="9"/>
      <name val="Arial"/>
      <family val="2"/>
    </font>
    <font>
      <b/>
      <sz val="14"/>
      <color indexed="9"/>
      <name val="Calibri"/>
      <family val="2"/>
    </font>
    <font>
      <sz val="10"/>
      <color indexed="9"/>
      <name val="Calibri"/>
      <family val="2"/>
    </font>
    <font>
      <b/>
      <sz val="12"/>
      <color indexed="9"/>
      <name val="Calibri"/>
      <family val="2"/>
    </font>
    <font>
      <b/>
      <sz val="10"/>
      <color indexed="9"/>
      <name val="Calibri"/>
      <family val="2"/>
    </font>
    <font>
      <b/>
      <sz val="12"/>
      <name val="Calibri"/>
      <family val="2"/>
    </font>
    <font>
      <i/>
      <sz val="10"/>
      <name val="Calibri"/>
      <family val="2"/>
    </font>
    <font>
      <sz val="16"/>
      <name val="Arial"/>
      <family val="2"/>
    </font>
    <font>
      <b/>
      <sz val="10"/>
      <color rgb="FF000000"/>
      <name val="Arial"/>
      <family val="2"/>
    </font>
    <font>
      <b/>
      <sz val="9"/>
      <color rgb="FF000000"/>
      <name val="Arial"/>
      <family val="2"/>
    </font>
    <font>
      <b/>
      <u/>
      <sz val="20"/>
      <name val="Arial"/>
      <family val="2"/>
    </font>
    <font>
      <b/>
      <i/>
      <u/>
      <sz val="20"/>
      <name val="Arial"/>
      <family val="2"/>
    </font>
    <font>
      <sz val="9"/>
      <name val="宋体"/>
      <family val="3"/>
      <charset val="134"/>
    </font>
    <font>
      <b/>
      <u/>
      <sz val="10"/>
      <name val="Arial"/>
      <family val="2"/>
    </font>
    <font>
      <b/>
      <sz val="10"/>
      <name val="Calibri"/>
      <family val="2"/>
      <scheme val="minor"/>
    </font>
    <font>
      <b/>
      <sz val="14"/>
      <name val="Arial"/>
      <family val="2"/>
    </font>
    <font>
      <b/>
      <i/>
      <u/>
      <sz val="10"/>
      <name val="Arial"/>
      <family val="2"/>
    </font>
    <font>
      <sz val="12"/>
      <name val="Arial"/>
      <family val="2"/>
    </font>
    <font>
      <b/>
      <u/>
      <sz val="12"/>
      <name val="Arial"/>
      <family val="2"/>
    </font>
    <font>
      <b/>
      <i/>
      <sz val="12"/>
      <name val="Arial"/>
      <family val="2"/>
    </font>
    <font>
      <b/>
      <sz val="18"/>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62"/>
        <bgColor indexed="64"/>
      </patternFill>
    </fill>
    <fill>
      <patternFill patternType="solid">
        <fgColor indexed="63"/>
        <bgColor indexed="64"/>
      </patternFill>
    </fill>
    <fill>
      <patternFill patternType="solid">
        <fgColor indexed="54"/>
        <bgColor indexed="64"/>
      </patternFill>
    </fill>
    <fill>
      <patternFill patternType="solid">
        <fgColor indexed="61"/>
        <bgColor indexed="64"/>
      </patternFill>
    </fill>
    <fill>
      <patternFill patternType="solid">
        <fgColor indexed="18"/>
        <bgColor indexed="64"/>
      </patternFill>
    </fill>
    <fill>
      <patternFill patternType="solid">
        <fgColor indexed="9"/>
        <bgColor indexed="64"/>
      </patternFill>
    </fill>
    <fill>
      <patternFill patternType="solid">
        <fgColor indexed="31"/>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bottom style="thin">
        <color indexed="55"/>
      </bottom>
      <diagonal/>
    </border>
    <border>
      <left/>
      <right/>
      <top style="thin">
        <color indexed="64"/>
      </top>
      <bottom/>
      <diagonal/>
    </border>
    <border>
      <left/>
      <right/>
      <top style="dashed">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s>
  <cellStyleXfs count="45">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5" fillId="0" borderId="0" applyNumberFormat="0"/>
    <xf numFmtId="0" fontId="1" fillId="23" borderId="7" applyNumberFormat="0" applyFont="0" applyAlignment="0" applyProtection="0"/>
    <xf numFmtId="0" fontId="25" fillId="20"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xf numFmtId="0" fontId="1" fillId="0" borderId="0"/>
  </cellStyleXfs>
  <cellXfs count="327">
    <xf numFmtId="0" fontId="0" fillId="0" borderId="0" xfId="0"/>
    <xf numFmtId="0" fontId="0" fillId="0" borderId="0" xfId="0" applyBorder="1"/>
    <xf numFmtId="0" fontId="2" fillId="0" borderId="0" xfId="0" applyFont="1" applyBorder="1"/>
    <xf numFmtId="0" fontId="0" fillId="0" borderId="0" xfId="0" applyFill="1" applyBorder="1"/>
    <xf numFmtId="0" fontId="0" fillId="0" borderId="10" xfId="0" applyBorder="1"/>
    <xf numFmtId="3" fontId="0" fillId="0" borderId="0" xfId="0" applyNumberFormat="1" applyBorder="1"/>
    <xf numFmtId="0" fontId="8" fillId="24" borderId="0" xfId="0" applyFont="1" applyFill="1" applyBorder="1"/>
    <xf numFmtId="0" fontId="9" fillId="24" borderId="0" xfId="0" applyFont="1" applyFill="1" applyBorder="1"/>
    <xf numFmtId="0" fontId="4" fillId="0" borderId="0" xfId="0" applyFont="1" applyBorder="1"/>
    <xf numFmtId="0" fontId="29" fillId="25" borderId="0" xfId="0" applyFont="1" applyFill="1" applyBorder="1"/>
    <xf numFmtId="0" fontId="9" fillId="25" borderId="0" xfId="0" applyFont="1" applyFill="1" applyBorder="1"/>
    <xf numFmtId="0" fontId="30" fillId="25" borderId="0" xfId="0" applyFont="1" applyFill="1" applyBorder="1"/>
    <xf numFmtId="0" fontId="8" fillId="25" borderId="0" xfId="0" applyFont="1" applyFill="1" applyBorder="1"/>
    <xf numFmtId="0" fontId="8" fillId="26" borderId="0" xfId="0" applyFont="1" applyFill="1" applyBorder="1"/>
    <xf numFmtId="0" fontId="9" fillId="26" borderId="0" xfId="0" applyFont="1" applyFill="1" applyBorder="1"/>
    <xf numFmtId="0" fontId="8" fillId="27" borderId="0" xfId="0" applyFont="1" applyFill="1" applyBorder="1"/>
    <xf numFmtId="0" fontId="9" fillId="27" borderId="0" xfId="0" applyFont="1" applyFill="1" applyBorder="1"/>
    <xf numFmtId="0" fontId="8" fillId="28" borderId="0" xfId="0" applyFont="1" applyFill="1" applyBorder="1"/>
    <xf numFmtId="0" fontId="9" fillId="28" borderId="0" xfId="0" applyFont="1" applyFill="1" applyBorder="1"/>
    <xf numFmtId="0" fontId="0" fillId="29" borderId="0" xfId="0" applyFill="1" applyBorder="1"/>
    <xf numFmtId="0" fontId="11" fillId="29" borderId="0" xfId="0" applyFont="1" applyFill="1" applyBorder="1" applyAlignment="1">
      <alignment horizontal="left"/>
    </xf>
    <xf numFmtId="0" fontId="10" fillId="29" borderId="0" xfId="0" applyFont="1" applyFill="1" applyBorder="1"/>
    <xf numFmtId="0" fontId="11" fillId="29" borderId="0" xfId="0" applyFont="1" applyFill="1" applyBorder="1"/>
    <xf numFmtId="0" fontId="2" fillId="29" borderId="0" xfId="0" applyFont="1" applyFill="1" applyBorder="1"/>
    <xf numFmtId="0" fontId="4" fillId="29" borderId="0" xfId="0" applyFont="1" applyFill="1" applyBorder="1"/>
    <xf numFmtId="3" fontId="0" fillId="29" borderId="0" xfId="0" applyNumberFormat="1" applyFill="1" applyBorder="1"/>
    <xf numFmtId="3" fontId="2" fillId="29" borderId="0" xfId="0" applyNumberFormat="1" applyFont="1" applyFill="1" applyBorder="1"/>
    <xf numFmtId="0" fontId="5" fillId="29" borderId="0" xfId="0" applyFont="1" applyFill="1" applyBorder="1"/>
    <xf numFmtId="0" fontId="6" fillId="29" borderId="0" xfId="0" applyFont="1" applyFill="1" applyBorder="1"/>
    <xf numFmtId="0" fontId="9" fillId="29" borderId="0" xfId="0" applyFont="1" applyFill="1" applyBorder="1"/>
    <xf numFmtId="0" fontId="7" fillId="29" borderId="0" xfId="0" applyFont="1" applyFill="1" applyBorder="1"/>
    <xf numFmtId="9" fontId="1" fillId="29" borderId="0" xfId="40" applyFill="1" applyBorder="1"/>
    <xf numFmtId="0" fontId="31" fillId="0" borderId="0" xfId="0" applyFont="1" applyBorder="1"/>
    <xf numFmtId="3" fontId="0" fillId="29" borderId="0" xfId="0" applyNumberFormat="1" applyFill="1" applyBorder="1" applyAlignment="1">
      <alignment horizontal="right" indent="1"/>
    </xf>
    <xf numFmtId="0" fontId="0" fillId="29" borderId="0" xfId="0" applyFill="1" applyBorder="1" applyAlignment="1">
      <alignment horizontal="right" indent="1"/>
    </xf>
    <xf numFmtId="3" fontId="2" fillId="29" borderId="0" xfId="0" applyNumberFormat="1" applyFont="1" applyFill="1" applyBorder="1" applyAlignment="1">
      <alignment horizontal="right" indent="1"/>
    </xf>
    <xf numFmtId="0" fontId="2" fillId="29" borderId="0" xfId="0" applyFont="1" applyFill="1" applyBorder="1" applyAlignment="1">
      <alignment horizontal="right" indent="1"/>
    </xf>
    <xf numFmtId="0" fontId="0" fillId="29" borderId="0" xfId="0" applyFill="1" applyBorder="1" applyAlignment="1">
      <alignment horizontal="center"/>
    </xf>
    <xf numFmtId="0" fontId="0" fillId="0" borderId="0" xfId="0" applyBorder="1" applyAlignment="1">
      <alignment horizontal="right" indent="1"/>
    </xf>
    <xf numFmtId="0" fontId="2" fillId="29" borderId="0" xfId="0" applyFont="1" applyFill="1" applyBorder="1" applyAlignment="1">
      <alignment horizontal="center"/>
    </xf>
    <xf numFmtId="1" fontId="2" fillId="29" borderId="0" xfId="0" applyNumberFormat="1" applyFont="1" applyFill="1" applyBorder="1" applyAlignment="1">
      <alignment horizontal="right" indent="1"/>
    </xf>
    <xf numFmtId="0" fontId="6" fillId="29" borderId="0" xfId="0" applyFont="1" applyFill="1" applyBorder="1" applyAlignment="1">
      <alignment horizontal="center"/>
    </xf>
    <xf numFmtId="0" fontId="0" fillId="0" borderId="0" xfId="0" applyBorder="1" applyAlignment="1">
      <alignment horizontal="center"/>
    </xf>
    <xf numFmtId="3" fontId="7" fillId="29" borderId="0" xfId="0" applyNumberFormat="1" applyFont="1" applyFill="1" applyBorder="1" applyAlignment="1">
      <alignment horizontal="right" indent="1"/>
    </xf>
    <xf numFmtId="3" fontId="2" fillId="0" borderId="0" xfId="0" applyNumberFormat="1" applyFont="1" applyBorder="1" applyAlignment="1">
      <alignment horizontal="right" indent="1"/>
    </xf>
    <xf numFmtId="3" fontId="2" fillId="29" borderId="0" xfId="0" applyNumberFormat="1" applyFont="1" applyFill="1" applyBorder="1" applyAlignment="1">
      <alignment horizontal="center"/>
    </xf>
    <xf numFmtId="0" fontId="2" fillId="0" borderId="0" xfId="0" applyFont="1" applyFill="1" applyBorder="1" applyAlignment="1">
      <alignment horizontal="center"/>
    </xf>
    <xf numFmtId="9" fontId="1" fillId="29" borderId="0" xfId="40" applyFill="1" applyBorder="1" applyAlignment="1">
      <alignment horizontal="right" indent="1"/>
    </xf>
    <xf numFmtId="0" fontId="2" fillId="29" borderId="0" xfId="0" applyFont="1" applyFill="1" applyBorder="1" applyAlignment="1">
      <alignment horizontal="left"/>
    </xf>
    <xf numFmtId="165" fontId="0" fillId="29" borderId="0" xfId="0" applyNumberFormat="1" applyFill="1" applyBorder="1"/>
    <xf numFmtId="165" fontId="0" fillId="29" borderId="0" xfId="0" applyNumberFormat="1" applyFill="1" applyBorder="1" applyAlignment="1">
      <alignment horizontal="right" indent="1"/>
    </xf>
    <xf numFmtId="165" fontId="7" fillId="29" borderId="0" xfId="0" applyNumberFormat="1" applyFont="1" applyFill="1" applyBorder="1" applyAlignment="1">
      <alignment horizontal="right" indent="1"/>
    </xf>
    <xf numFmtId="165" fontId="2" fillId="29" borderId="0" xfId="0" applyNumberFormat="1" applyFont="1" applyFill="1" applyBorder="1" applyAlignment="1">
      <alignment horizontal="right" indent="1"/>
    </xf>
    <xf numFmtId="165" fontId="0" fillId="0" borderId="0" xfId="0" applyNumberFormat="1" applyBorder="1"/>
    <xf numFmtId="165" fontId="2" fillId="29" borderId="0" xfId="0" applyNumberFormat="1" applyFont="1" applyFill="1" applyBorder="1"/>
    <xf numFmtId="165" fontId="5" fillId="29" borderId="0" xfId="0" applyNumberFormat="1" applyFont="1" applyFill="1" applyBorder="1" applyAlignment="1">
      <alignment horizontal="right" indent="1"/>
    </xf>
    <xf numFmtId="165" fontId="2" fillId="29" borderId="0" xfId="0" applyNumberFormat="1" applyFont="1" applyFill="1" applyBorder="1" applyAlignment="1">
      <alignment horizontal="center"/>
    </xf>
    <xf numFmtId="165" fontId="0" fillId="29" borderId="0" xfId="0" applyNumberFormat="1" applyFill="1" applyBorder="1" applyAlignment="1">
      <alignment horizontal="center"/>
    </xf>
    <xf numFmtId="165" fontId="2" fillId="29" borderId="0" xfId="0" applyNumberFormat="1" applyFont="1" applyFill="1" applyBorder="1" applyAlignment="1">
      <alignment horizontal="right"/>
    </xf>
    <xf numFmtId="0" fontId="8" fillId="29" borderId="0" xfId="0" applyFont="1" applyFill="1" applyBorder="1"/>
    <xf numFmtId="0" fontId="0" fillId="29" borderId="0" xfId="0" applyFill="1" applyBorder="1" applyAlignment="1">
      <alignment horizontal="left" indent="1"/>
    </xf>
    <xf numFmtId="0" fontId="2" fillId="29" borderId="0" xfId="0" applyFont="1" applyFill="1" applyBorder="1" applyAlignment="1">
      <alignment horizontal="left" indent="1"/>
    </xf>
    <xf numFmtId="0" fontId="5" fillId="29" borderId="0" xfId="0" applyFont="1" applyFill="1" applyBorder="1" applyAlignment="1">
      <alignment horizontal="left" indent="1"/>
    </xf>
    <xf numFmtId="1" fontId="0" fillId="29" borderId="0" xfId="40" applyNumberFormat="1" applyFont="1" applyFill="1" applyBorder="1" applyAlignment="1">
      <alignment horizontal="right" indent="1"/>
    </xf>
    <xf numFmtId="3" fontId="2" fillId="29" borderId="0" xfId="0" applyNumberFormat="1" applyFont="1" applyFill="1" applyBorder="1" applyAlignment="1">
      <alignment horizontal="left" indent="1"/>
    </xf>
    <xf numFmtId="0" fontId="0" fillId="0" borderId="0" xfId="0" applyBorder="1" applyAlignment="1">
      <alignment horizontal="right"/>
    </xf>
    <xf numFmtId="168" fontId="0" fillId="29" borderId="0" xfId="0" applyNumberFormat="1" applyFill="1" applyBorder="1"/>
    <xf numFmtId="4" fontId="11" fillId="29" borderId="0" xfId="0" applyNumberFormat="1" applyFont="1" applyFill="1" applyBorder="1" applyAlignment="1">
      <alignment horizontal="right"/>
    </xf>
    <xf numFmtId="0" fontId="33" fillId="29" borderId="0" xfId="0" applyFont="1" applyFill="1" applyBorder="1"/>
    <xf numFmtId="0" fontId="32" fillId="29" borderId="0" xfId="0" applyFont="1" applyFill="1" applyBorder="1"/>
    <xf numFmtId="0" fontId="10" fillId="29" borderId="0" xfId="0" applyFont="1" applyFill="1" applyBorder="1" applyAlignment="1"/>
    <xf numFmtId="0" fontId="35" fillId="29" borderId="0" xfId="0" applyFont="1" applyFill="1" applyBorder="1"/>
    <xf numFmtId="0" fontId="11" fillId="29" borderId="11" xfId="0" applyFont="1" applyFill="1" applyBorder="1" applyAlignment="1">
      <alignment horizontal="center"/>
    </xf>
    <xf numFmtId="9" fontId="10" fillId="29" borderId="0" xfId="40" applyFont="1" applyFill="1" applyBorder="1" applyAlignment="1"/>
    <xf numFmtId="0" fontId="0" fillId="29" borderId="0" xfId="0" applyFill="1" applyBorder="1" applyAlignment="1"/>
    <xf numFmtId="0" fontId="10" fillId="29" borderId="0" xfId="0" applyFont="1" applyFill="1" applyBorder="1" applyAlignment="1">
      <alignment horizontal="left" indent="1"/>
    </xf>
    <xf numFmtId="0" fontId="11" fillId="29" borderId="11" xfId="0" applyFont="1" applyFill="1" applyBorder="1" applyAlignment="1">
      <alignment horizontal="left"/>
    </xf>
    <xf numFmtId="0" fontId="0" fillId="29" borderId="11" xfId="0" applyFill="1" applyBorder="1"/>
    <xf numFmtId="0" fontId="11" fillId="29" borderId="0" xfId="0" applyFont="1" applyFill="1" applyBorder="1" applyAlignment="1">
      <alignment horizontal="center"/>
    </xf>
    <xf numFmtId="167" fontId="0" fillId="29" borderId="0" xfId="0" applyNumberFormat="1" applyFill="1" applyBorder="1"/>
    <xf numFmtId="167" fontId="10" fillId="29" borderId="0" xfId="0" applyNumberFormat="1" applyFont="1" applyFill="1" applyBorder="1"/>
    <xf numFmtId="167" fontId="11" fillId="29" borderId="0" xfId="0" applyNumberFormat="1" applyFont="1" applyFill="1" applyBorder="1"/>
    <xf numFmtId="167" fontId="11" fillId="29" borderId="0" xfId="0" applyNumberFormat="1" applyFont="1" applyFill="1" applyBorder="1" applyAlignment="1">
      <alignment horizontal="center"/>
    </xf>
    <xf numFmtId="167" fontId="11" fillId="29" borderId="0" xfId="0" applyNumberFormat="1" applyFont="1" applyFill="1" applyBorder="1" applyAlignment="1">
      <alignment horizontal="right"/>
    </xf>
    <xf numFmtId="0" fontId="3" fillId="29" borderId="0" xfId="0" applyFont="1" applyFill="1" applyBorder="1" applyAlignment="1">
      <alignment horizontal="center"/>
    </xf>
    <xf numFmtId="1" fontId="0" fillId="30" borderId="0" xfId="0" applyNumberFormat="1" applyFill="1" applyBorder="1" applyProtection="1">
      <protection locked="0"/>
    </xf>
    <xf numFmtId="0" fontId="0" fillId="30" borderId="0" xfId="0" applyFill="1" applyBorder="1" applyProtection="1">
      <protection locked="0"/>
    </xf>
    <xf numFmtId="3" fontId="0" fillId="30" borderId="0" xfId="0" applyNumberFormat="1" applyFill="1" applyBorder="1" applyAlignment="1" applyProtection="1">
      <alignment horizontal="right" indent="1"/>
      <protection locked="0"/>
    </xf>
    <xf numFmtId="0" fontId="0" fillId="30" borderId="0" xfId="0" applyFill="1" applyBorder="1" applyAlignment="1" applyProtection="1">
      <alignment horizontal="right" indent="1"/>
      <protection locked="0"/>
    </xf>
    <xf numFmtId="3" fontId="5" fillId="30" borderId="0" xfId="0" applyNumberFormat="1" applyFont="1" applyFill="1" applyBorder="1" applyAlignment="1" applyProtection="1">
      <alignment horizontal="right" indent="1"/>
      <protection locked="0"/>
    </xf>
    <xf numFmtId="0" fontId="5" fillId="30" borderId="0" xfId="0" applyFont="1" applyFill="1" applyBorder="1" applyAlignment="1" applyProtection="1">
      <alignment horizontal="right" indent="1"/>
      <protection locked="0"/>
    </xf>
    <xf numFmtId="165" fontId="5" fillId="30" borderId="0" xfId="0" applyNumberFormat="1" applyFont="1" applyFill="1" applyBorder="1" applyAlignment="1" applyProtection="1">
      <alignment horizontal="right" indent="1"/>
      <protection locked="0"/>
    </xf>
    <xf numFmtId="9" fontId="0" fillId="30" borderId="0" xfId="40" applyFont="1" applyFill="1" applyBorder="1" applyAlignment="1" applyProtection="1">
      <alignment horizontal="right" indent="1"/>
      <protection locked="0"/>
    </xf>
    <xf numFmtId="165" fontId="0" fillId="30" borderId="0" xfId="0" applyNumberFormat="1" applyFill="1" applyBorder="1" applyAlignment="1" applyProtection="1">
      <alignment horizontal="right" indent="1"/>
      <protection locked="0"/>
    </xf>
    <xf numFmtId="0" fontId="0" fillId="30" borderId="0" xfId="0" applyFill="1" applyBorder="1" applyAlignment="1" applyProtection="1">
      <alignment horizontal="center"/>
      <protection locked="0"/>
    </xf>
    <xf numFmtId="0" fontId="2" fillId="30" borderId="0" xfId="0" applyFont="1" applyFill="1" applyBorder="1" applyAlignment="1" applyProtection="1">
      <alignment horizontal="center"/>
      <protection locked="0"/>
    </xf>
    <xf numFmtId="164" fontId="0" fillId="30" borderId="0" xfId="0" applyNumberFormat="1" applyFill="1" applyBorder="1" applyAlignment="1" applyProtection="1">
      <alignment horizontal="right" indent="1"/>
      <protection locked="0"/>
    </xf>
    <xf numFmtId="9" fontId="0" fillId="30" borderId="0" xfId="0" applyNumberFormat="1" applyFill="1" applyBorder="1" applyAlignment="1" applyProtection="1">
      <alignment horizontal="right" indent="1"/>
      <protection locked="0"/>
    </xf>
    <xf numFmtId="1" fontId="0" fillId="30" borderId="0" xfId="40" applyNumberFormat="1" applyFont="1" applyFill="1" applyBorder="1" applyAlignment="1" applyProtection="1">
      <alignment horizontal="right" indent="1"/>
      <protection locked="0"/>
    </xf>
    <xf numFmtId="9" fontId="1" fillId="30" borderId="0" xfId="40" applyFill="1" applyBorder="1" applyAlignment="1" applyProtection="1">
      <alignment horizontal="right" indent="1"/>
      <protection locked="0"/>
    </xf>
    <xf numFmtId="0" fontId="37" fillId="25" borderId="0" xfId="0" applyFont="1" applyFill="1" applyBorder="1"/>
    <xf numFmtId="0" fontId="38" fillId="25" borderId="0" xfId="0" applyFont="1" applyFill="1" applyBorder="1"/>
    <xf numFmtId="0" fontId="39" fillId="25" borderId="0" xfId="0" applyFont="1" applyFill="1" applyBorder="1"/>
    <xf numFmtId="0" fontId="40" fillId="25" borderId="0" xfId="0" applyFont="1" applyFill="1" applyBorder="1"/>
    <xf numFmtId="0" fontId="41" fillId="29" borderId="0" xfId="0" applyFont="1" applyFill="1" applyBorder="1"/>
    <xf numFmtId="0" fontId="40" fillId="28" borderId="0" xfId="0" applyFont="1" applyFill="1" applyBorder="1"/>
    <xf numFmtId="0" fontId="40" fillId="26" borderId="0" xfId="0" applyFont="1" applyFill="1" applyBorder="1"/>
    <xf numFmtId="0" fontId="38" fillId="26" borderId="0" xfId="0" applyFont="1" applyFill="1" applyBorder="1"/>
    <xf numFmtId="0" fontId="40" fillId="27" borderId="0" xfId="0" applyFont="1" applyFill="1" applyBorder="1"/>
    <xf numFmtId="0" fontId="38" fillId="27" borderId="0" xfId="0" applyFont="1" applyFill="1" applyBorder="1"/>
    <xf numFmtId="0" fontId="11" fillId="29" borderId="10" xfId="0" applyFont="1" applyFill="1" applyBorder="1"/>
    <xf numFmtId="0" fontId="10" fillId="29" borderId="10" xfId="0" applyFont="1" applyFill="1" applyBorder="1"/>
    <xf numFmtId="0" fontId="42" fillId="29" borderId="10" xfId="0" applyFont="1" applyFill="1" applyBorder="1"/>
    <xf numFmtId="0" fontId="11" fillId="29" borderId="10" xfId="0" applyFont="1" applyFill="1" applyBorder="1" applyAlignment="1">
      <alignment horizontal="center"/>
    </xf>
    <xf numFmtId="165" fontId="10" fillId="29" borderId="0" xfId="0" applyNumberFormat="1" applyFont="1" applyFill="1" applyBorder="1" applyAlignment="1">
      <alignment horizontal="right" indent="1"/>
    </xf>
    <xf numFmtId="165" fontId="10" fillId="29" borderId="0" xfId="0" applyNumberFormat="1" applyFont="1" applyFill="1" applyBorder="1"/>
    <xf numFmtId="165" fontId="11" fillId="29" borderId="0" xfId="0" applyNumberFormat="1" applyFont="1" applyFill="1" applyBorder="1" applyAlignment="1">
      <alignment horizontal="right" indent="1"/>
    </xf>
    <xf numFmtId="165" fontId="11" fillId="29" borderId="0" xfId="0" applyNumberFormat="1" applyFont="1" applyFill="1" applyBorder="1"/>
    <xf numFmtId="165" fontId="10" fillId="29" borderId="10" xfId="0" applyNumberFormat="1" applyFont="1" applyFill="1" applyBorder="1"/>
    <xf numFmtId="0" fontId="41" fillId="29" borderId="0" xfId="0" applyFont="1" applyFill="1" applyBorder="1" applyAlignment="1">
      <alignment horizontal="left" indent="1"/>
    </xf>
    <xf numFmtId="0" fontId="11" fillId="29" borderId="0" xfId="0" applyFont="1" applyFill="1" applyBorder="1" applyAlignment="1">
      <alignment horizontal="left" indent="1"/>
    </xf>
    <xf numFmtId="0" fontId="11" fillId="29" borderId="10" xfId="0" applyFont="1" applyFill="1" applyBorder="1" applyAlignment="1">
      <alignment horizontal="left" indent="1"/>
    </xf>
    <xf numFmtId="0" fontId="35" fillId="29" borderId="0" xfId="0" applyFont="1" applyFill="1" applyBorder="1" applyAlignment="1">
      <alignment horizontal="left" indent="1"/>
    </xf>
    <xf numFmtId="0" fontId="42" fillId="29" borderId="0" xfId="0" applyFont="1" applyFill="1" applyBorder="1" applyAlignment="1">
      <alignment horizontal="left" indent="1"/>
    </xf>
    <xf numFmtId="0" fontId="6" fillId="0" borderId="0" xfId="0" applyFont="1" applyBorder="1"/>
    <xf numFmtId="165" fontId="5" fillId="30" borderId="0" xfId="0" applyNumberFormat="1" applyFont="1" applyFill="1" applyBorder="1" applyAlignment="1" applyProtection="1">
      <protection locked="0"/>
    </xf>
    <xf numFmtId="166" fontId="2" fillId="29" borderId="0" xfId="0" applyNumberFormat="1" applyFont="1" applyFill="1" applyBorder="1" applyAlignment="1">
      <alignment horizontal="right" indent="1"/>
    </xf>
    <xf numFmtId="166" fontId="0" fillId="29" borderId="0" xfId="0" applyNumberFormat="1" applyFill="1" applyBorder="1" applyAlignment="1">
      <alignment horizontal="right" indent="1"/>
    </xf>
    <xf numFmtId="165" fontId="6" fillId="29" borderId="0" xfId="0" applyNumberFormat="1" applyFont="1" applyFill="1" applyBorder="1"/>
    <xf numFmtId="11" fontId="7" fillId="29" borderId="0" xfId="0" applyNumberFormat="1" applyFont="1" applyFill="1" applyBorder="1" applyAlignment="1">
      <alignment horizontal="right" indent="1"/>
    </xf>
    <xf numFmtId="11" fontId="2" fillId="29" borderId="0" xfId="0" applyNumberFormat="1" applyFont="1" applyFill="1" applyBorder="1" applyAlignment="1">
      <alignment horizontal="right" indent="1"/>
    </xf>
    <xf numFmtId="11" fontId="0" fillId="29" borderId="0" xfId="0" applyNumberFormat="1" applyFill="1" applyBorder="1" applyAlignment="1">
      <alignment horizontal="right" indent="1"/>
    </xf>
    <xf numFmtId="0" fontId="7" fillId="29" borderId="0" xfId="0" applyFont="1" applyFill="1" applyBorder="1" applyAlignment="1">
      <alignment horizontal="left"/>
    </xf>
    <xf numFmtId="165" fontId="5" fillId="29" borderId="0" xfId="0" applyNumberFormat="1" applyFont="1" applyFill="1" applyBorder="1" applyAlignment="1">
      <alignment horizontal="right"/>
    </xf>
    <xf numFmtId="0" fontId="5" fillId="0" borderId="0" xfId="0" applyFont="1" applyBorder="1"/>
    <xf numFmtId="14" fontId="10" fillId="29" borderId="0" xfId="0" applyNumberFormat="1" applyFont="1" applyFill="1" applyBorder="1" applyAlignment="1">
      <alignment horizontal="left" indent="1"/>
    </xf>
    <xf numFmtId="0" fontId="10" fillId="29" borderId="12" xfId="0" applyFont="1" applyFill="1" applyBorder="1" applyAlignment="1">
      <alignment horizontal="left"/>
    </xf>
    <xf numFmtId="0" fontId="10" fillId="29" borderId="12" xfId="0" applyFont="1" applyFill="1" applyBorder="1" applyAlignment="1">
      <alignment horizontal="center"/>
    </xf>
    <xf numFmtId="0" fontId="10" fillId="29" borderId="0" xfId="0" applyFont="1" applyFill="1" applyBorder="1" applyAlignment="1">
      <alignment horizontal="left"/>
    </xf>
    <xf numFmtId="0" fontId="10" fillId="29" borderId="0" xfId="0" applyFont="1" applyFill="1" applyBorder="1" applyAlignment="1">
      <alignment horizontal="center"/>
    </xf>
    <xf numFmtId="0" fontId="10" fillId="29" borderId="10" xfId="0" applyFont="1" applyFill="1" applyBorder="1" applyAlignment="1">
      <alignment horizontal="left"/>
    </xf>
    <xf numFmtId="0" fontId="10" fillId="29" borderId="10" xfId="0" applyFont="1" applyFill="1" applyBorder="1" applyAlignment="1">
      <alignment horizontal="center"/>
    </xf>
    <xf numFmtId="0" fontId="11" fillId="29" borderId="12" xfId="0" applyFont="1" applyFill="1" applyBorder="1"/>
    <xf numFmtId="1" fontId="10" fillId="29" borderId="10" xfId="0" applyNumberFormat="1" applyFont="1" applyFill="1" applyBorder="1" applyAlignment="1">
      <alignment horizontal="center"/>
    </xf>
    <xf numFmtId="2" fontId="10" fillId="29" borderId="0" xfId="0" applyNumberFormat="1" applyFont="1" applyFill="1" applyBorder="1" applyAlignment="1">
      <alignment horizontal="right" indent="1"/>
    </xf>
    <xf numFmtId="3" fontId="10" fillId="29" borderId="0" xfId="0" applyNumberFormat="1" applyFont="1" applyFill="1" applyBorder="1" applyAlignment="1">
      <alignment horizontal="right" indent="1"/>
    </xf>
    <xf numFmtId="0" fontId="42" fillId="29" borderId="0" xfId="0" applyFont="1" applyFill="1" applyBorder="1"/>
    <xf numFmtId="0" fontId="10" fillId="29" borderId="0" xfId="0" applyFont="1" applyFill="1" applyBorder="1" applyAlignment="1">
      <alignment horizontal="right" indent="1"/>
    </xf>
    <xf numFmtId="165" fontId="10" fillId="29" borderId="0" xfId="0" applyNumberFormat="1" applyFont="1" applyFill="1" applyBorder="1" applyAlignment="1">
      <alignment horizontal="left" indent="1"/>
    </xf>
    <xf numFmtId="168" fontId="10" fillId="29" borderId="0" xfId="0" applyNumberFormat="1" applyFont="1" applyFill="1" applyBorder="1" applyAlignment="1">
      <alignment horizontal="right" indent="1"/>
    </xf>
    <xf numFmtId="165" fontId="11" fillId="29" borderId="0" xfId="0" applyNumberFormat="1" applyFont="1" applyFill="1" applyBorder="1" applyAlignment="1">
      <alignment horizontal="left" indent="1"/>
    </xf>
    <xf numFmtId="165" fontId="11" fillId="29" borderId="0" xfId="0" applyNumberFormat="1" applyFont="1" applyFill="1" applyBorder="1" applyAlignment="1">
      <alignment horizontal="left"/>
    </xf>
    <xf numFmtId="168" fontId="11" fillId="29" borderId="0" xfId="0" applyNumberFormat="1" applyFont="1" applyFill="1" applyBorder="1" applyAlignment="1">
      <alignment horizontal="right" indent="1"/>
    </xf>
    <xf numFmtId="2" fontId="11" fillId="29" borderId="0" xfId="0" applyNumberFormat="1" applyFont="1" applyFill="1" applyBorder="1" applyAlignment="1">
      <alignment horizontal="right" indent="1"/>
    </xf>
    <xf numFmtId="168" fontId="10" fillId="29" borderId="0" xfId="0" applyNumberFormat="1" applyFont="1" applyFill="1" applyBorder="1"/>
    <xf numFmtId="0" fontId="10" fillId="0" borderId="0" xfId="0" applyFont="1" applyBorder="1" applyAlignment="1">
      <alignment horizontal="left" indent="1"/>
    </xf>
    <xf numFmtId="0" fontId="43" fillId="29" borderId="0" xfId="0" applyFont="1" applyFill="1" applyBorder="1"/>
    <xf numFmtId="0" fontId="34" fillId="29" borderId="0" xfId="0" applyFont="1" applyFill="1" applyBorder="1"/>
    <xf numFmtId="0" fontId="1" fillId="29" borderId="0" xfId="0" applyFont="1" applyFill="1" applyBorder="1"/>
    <xf numFmtId="164" fontId="10" fillId="29" borderId="0" xfId="40" applyNumberFormat="1" applyFont="1" applyFill="1" applyBorder="1" applyAlignment="1" applyProtection="1">
      <alignment horizontal="center"/>
      <protection locked="0"/>
    </xf>
    <xf numFmtId="0" fontId="7" fillId="0" borderId="0" xfId="0" applyFont="1" applyBorder="1"/>
    <xf numFmtId="0" fontId="7" fillId="0" borderId="0" xfId="0" applyFont="1" applyBorder="1" applyAlignment="1">
      <alignment horizontal="left" indent="1"/>
    </xf>
    <xf numFmtId="164" fontId="10" fillId="29" borderId="0" xfId="0" quotePrefix="1" applyNumberFormat="1" applyFont="1" applyFill="1" applyBorder="1" applyAlignment="1">
      <alignment horizontal="left" indent="1"/>
    </xf>
    <xf numFmtId="9" fontId="0" fillId="29" borderId="0" xfId="40" applyFont="1" applyFill="1" applyBorder="1" applyAlignment="1">
      <alignment horizontal="right" indent="1"/>
    </xf>
    <xf numFmtId="9" fontId="0" fillId="29" borderId="0" xfId="40" applyFont="1" applyFill="1" applyBorder="1"/>
    <xf numFmtId="9" fontId="5" fillId="30" borderId="0" xfId="40" applyFont="1" applyFill="1" applyBorder="1" applyAlignment="1" applyProtection="1">
      <alignment horizontal="right" indent="1"/>
      <protection locked="0"/>
    </xf>
    <xf numFmtId="9" fontId="2" fillId="29" borderId="0" xfId="40" applyFont="1" applyFill="1" applyBorder="1" applyAlignment="1">
      <alignment horizontal="left" indent="1"/>
    </xf>
    <xf numFmtId="9" fontId="0" fillId="0" borderId="0" xfId="40" applyFont="1" applyFill="1" applyBorder="1" applyAlignment="1" applyProtection="1">
      <alignment horizontal="right" indent="1"/>
      <protection locked="0"/>
    </xf>
    <xf numFmtId="9" fontId="0" fillId="0" borderId="0" xfId="40" applyFont="1" applyFill="1" applyBorder="1" applyAlignment="1">
      <alignment horizontal="right" indent="1"/>
    </xf>
    <xf numFmtId="9" fontId="0" fillId="0" borderId="0" xfId="40" applyFont="1" applyFill="1" applyBorder="1"/>
    <xf numFmtId="165" fontId="0" fillId="0" borderId="0" xfId="0" applyNumberFormat="1" applyFill="1" applyBorder="1" applyAlignment="1" applyProtection="1">
      <alignment horizontal="right" indent="1"/>
      <protection locked="0"/>
    </xf>
    <xf numFmtId="0" fontId="35" fillId="31" borderId="0" xfId="0" applyFont="1" applyFill="1" applyBorder="1" applyAlignment="1">
      <alignment horizontal="left" indent="1"/>
    </xf>
    <xf numFmtId="0" fontId="10" fillId="31" borderId="0" xfId="0" applyFont="1" applyFill="1" applyBorder="1"/>
    <xf numFmtId="165" fontId="10" fillId="31" borderId="0" xfId="0" applyNumberFormat="1" applyFont="1" applyFill="1" applyBorder="1" applyAlignment="1">
      <alignment horizontal="right" indent="1"/>
    </xf>
    <xf numFmtId="165" fontId="10" fillId="31" borderId="0" xfId="0" applyNumberFormat="1" applyFont="1" applyFill="1" applyBorder="1"/>
    <xf numFmtId="0" fontId="0" fillId="31" borderId="0" xfId="0" applyFill="1" applyBorder="1"/>
    <xf numFmtId="0" fontId="42" fillId="31" borderId="0" xfId="0" applyFont="1" applyFill="1" applyBorder="1" applyAlignment="1">
      <alignment horizontal="left" indent="1"/>
    </xf>
    <xf numFmtId="0" fontId="10" fillId="32" borderId="13" xfId="0" applyFont="1" applyFill="1" applyBorder="1"/>
    <xf numFmtId="165" fontId="10" fillId="32" borderId="13" xfId="0" applyNumberFormat="1" applyFont="1" applyFill="1" applyBorder="1" applyAlignment="1">
      <alignment horizontal="right" indent="1"/>
    </xf>
    <xf numFmtId="165" fontId="10" fillId="32" borderId="13" xfId="0" applyNumberFormat="1" applyFont="1" applyFill="1" applyBorder="1"/>
    <xf numFmtId="0" fontId="0" fillId="32" borderId="13" xfId="0" applyFill="1" applyBorder="1"/>
    <xf numFmtId="0" fontId="10" fillId="32" borderId="0" xfId="0" applyFont="1" applyFill="1" applyBorder="1"/>
    <xf numFmtId="165" fontId="10" fillId="32" borderId="0" xfId="0" applyNumberFormat="1" applyFont="1" applyFill="1" applyBorder="1" applyAlignment="1">
      <alignment horizontal="right" indent="1"/>
    </xf>
    <xf numFmtId="165" fontId="10" fillId="32" borderId="0" xfId="0" applyNumberFormat="1" applyFont="1" applyFill="1" applyBorder="1"/>
    <xf numFmtId="0" fontId="0" fillId="32" borderId="0" xfId="0" applyFill="1" applyBorder="1"/>
    <xf numFmtId="0" fontId="35" fillId="33" borderId="0" xfId="0" applyFont="1" applyFill="1" applyBorder="1" applyAlignment="1">
      <alignment horizontal="left" indent="1"/>
    </xf>
    <xf numFmtId="0" fontId="10" fillId="33" borderId="0" xfId="0" applyFont="1" applyFill="1" applyBorder="1"/>
    <xf numFmtId="165" fontId="10" fillId="33" borderId="0" xfId="0" applyNumberFormat="1" applyFont="1" applyFill="1" applyBorder="1" applyAlignment="1">
      <alignment horizontal="right" indent="1"/>
    </xf>
    <xf numFmtId="165" fontId="10" fillId="33" borderId="0" xfId="0" applyNumberFormat="1" applyFont="1" applyFill="1" applyBorder="1"/>
    <xf numFmtId="0" fontId="0" fillId="33" borderId="0" xfId="0" applyFill="1" applyBorder="1"/>
    <xf numFmtId="0" fontId="42" fillId="33" borderId="0" xfId="0" applyFont="1" applyFill="1" applyBorder="1" applyAlignment="1">
      <alignment horizontal="left" indent="1"/>
    </xf>
    <xf numFmtId="0" fontId="0" fillId="34" borderId="0" xfId="0" applyFill="1"/>
    <xf numFmtId="0" fontId="2" fillId="34" borderId="0" xfId="0" applyFont="1" applyFill="1"/>
    <xf numFmtId="0" fontId="35" fillId="33" borderId="13" xfId="0" applyFont="1" applyFill="1" applyBorder="1" applyAlignment="1">
      <alignment horizontal="left" indent="1"/>
    </xf>
    <xf numFmtId="0" fontId="10" fillId="33" borderId="13" xfId="0" applyFont="1" applyFill="1" applyBorder="1"/>
    <xf numFmtId="165" fontId="10" fillId="33" borderId="13" xfId="0" applyNumberFormat="1" applyFont="1" applyFill="1" applyBorder="1" applyAlignment="1">
      <alignment horizontal="right" indent="1"/>
    </xf>
    <xf numFmtId="165" fontId="10" fillId="33" borderId="13" xfId="0" applyNumberFormat="1" applyFont="1" applyFill="1" applyBorder="1"/>
    <xf numFmtId="0" fontId="0" fillId="33" borderId="13" xfId="0" applyFill="1" applyBorder="1"/>
    <xf numFmtId="0" fontId="1" fillId="29" borderId="0" xfId="0" applyFont="1" applyFill="1" applyBorder="1" applyAlignment="1">
      <alignment horizontal="left" indent="1"/>
    </xf>
    <xf numFmtId="0" fontId="1" fillId="0" borderId="0" xfId="0" applyFont="1" applyBorder="1"/>
    <xf numFmtId="0" fontId="1" fillId="0" borderId="0" xfId="44"/>
    <xf numFmtId="0" fontId="1" fillId="0" borderId="15" xfId="44" applyFont="1" applyBorder="1" applyAlignment="1">
      <alignment vertical="top" wrapText="1"/>
    </xf>
    <xf numFmtId="0" fontId="1" fillId="0" borderId="16" xfId="44" applyFont="1" applyBorder="1" applyAlignment="1">
      <alignment vertical="top" wrapText="1"/>
    </xf>
    <xf numFmtId="0" fontId="1" fillId="0" borderId="17" xfId="44" applyFont="1" applyBorder="1" applyAlignment="1">
      <alignment vertical="top" wrapText="1"/>
    </xf>
    <xf numFmtId="0" fontId="1" fillId="0" borderId="18" xfId="44" applyFont="1" applyBorder="1" applyAlignment="1">
      <alignment vertical="top" wrapText="1"/>
    </xf>
    <xf numFmtId="0" fontId="1" fillId="0" borderId="19" xfId="44" applyFont="1" applyBorder="1" applyAlignment="1">
      <alignment vertical="top" wrapText="1"/>
    </xf>
    <xf numFmtId="0" fontId="7" fillId="0" borderId="20" xfId="44" quotePrefix="1" applyFont="1" applyBorder="1" applyAlignment="1">
      <alignment vertical="top" wrapText="1"/>
    </xf>
    <xf numFmtId="0" fontId="1" fillId="0" borderId="21" xfId="44" applyFont="1" applyBorder="1" applyAlignment="1">
      <alignment vertical="top" wrapText="1"/>
    </xf>
    <xf numFmtId="0" fontId="1" fillId="0" borderId="22" xfId="44" applyFont="1" applyBorder="1" applyAlignment="1">
      <alignment vertical="top" wrapText="1"/>
    </xf>
    <xf numFmtId="0" fontId="1" fillId="0" borderId="23" xfId="44" applyFont="1" applyBorder="1" applyAlignment="1">
      <alignment vertical="top" wrapText="1"/>
    </xf>
    <xf numFmtId="0" fontId="7" fillId="0" borderId="20" xfId="44" applyFont="1" applyBorder="1" applyAlignment="1">
      <alignment vertical="top" wrapText="1"/>
    </xf>
    <xf numFmtId="0" fontId="1" fillId="0" borderId="12" xfId="44" applyFont="1" applyBorder="1" applyAlignment="1">
      <alignment vertical="top" wrapText="1"/>
    </xf>
    <xf numFmtId="0" fontId="1" fillId="0" borderId="24" xfId="44" applyFont="1" applyBorder="1" applyAlignment="1">
      <alignment vertical="top" wrapText="1"/>
    </xf>
    <xf numFmtId="0" fontId="1" fillId="0" borderId="25" xfId="44" applyFont="1" applyBorder="1" applyAlignment="1">
      <alignment vertical="top" wrapText="1"/>
    </xf>
    <xf numFmtId="0" fontId="7" fillId="0" borderId="25" xfId="44" applyFont="1" applyBorder="1" applyAlignment="1">
      <alignment wrapText="1"/>
    </xf>
    <xf numFmtId="0" fontId="1" fillId="0" borderId="26" xfId="44" applyFont="1" applyBorder="1" applyAlignment="1">
      <alignment vertical="top" wrapText="1"/>
    </xf>
    <xf numFmtId="0" fontId="7" fillId="0" borderId="25" xfId="44" quotePrefix="1" applyFont="1" applyBorder="1" applyAlignment="1">
      <alignment wrapText="1"/>
    </xf>
    <xf numFmtId="0" fontId="7" fillId="0" borderId="25" xfId="44" applyFont="1" applyBorder="1" applyAlignment="1">
      <alignment vertical="top" wrapText="1"/>
    </xf>
    <xf numFmtId="0" fontId="1" fillId="0" borderId="0" xfId="44" applyFont="1" applyAlignment="1">
      <alignment vertical="top" wrapText="1"/>
    </xf>
    <xf numFmtId="0" fontId="2" fillId="0" borderId="18" xfId="44" applyFont="1" applyBorder="1" applyAlignment="1">
      <alignment vertical="top" wrapText="1"/>
    </xf>
    <xf numFmtId="0" fontId="1" fillId="0" borderId="20" xfId="44" applyFont="1" applyBorder="1" applyAlignment="1">
      <alignment vertical="top" wrapText="1"/>
    </xf>
    <xf numFmtId="0" fontId="46" fillId="29" borderId="0" xfId="0" applyFont="1" applyFill="1" applyBorder="1"/>
    <xf numFmtId="165" fontId="10" fillId="29" borderId="0" xfId="0" applyNumberFormat="1" applyFont="1" applyFill="1" applyBorder="1" applyAlignment="1">
      <alignment horizontal="left" indent="2"/>
    </xf>
    <xf numFmtId="165" fontId="10" fillId="35" borderId="0" xfId="0" applyNumberFormat="1" applyFont="1" applyFill="1" applyBorder="1" applyAlignment="1">
      <alignment horizontal="left" indent="2"/>
    </xf>
    <xf numFmtId="168" fontId="10" fillId="35" borderId="0" xfId="0" applyNumberFormat="1" applyFont="1" applyFill="1" applyBorder="1" applyAlignment="1">
      <alignment horizontal="right" indent="1"/>
    </xf>
    <xf numFmtId="165" fontId="0" fillId="35" borderId="0" xfId="0" applyNumberFormat="1" applyFill="1" applyBorder="1"/>
    <xf numFmtId="0" fontId="1" fillId="34" borderId="0" xfId="0" applyFont="1" applyFill="1"/>
    <xf numFmtId="0" fontId="0" fillId="34" borderId="0" xfId="0" applyFill="1" applyAlignment="1">
      <alignment horizontal="center"/>
    </xf>
    <xf numFmtId="167" fontId="11" fillId="29" borderId="29" xfId="0" applyNumberFormat="1" applyFont="1" applyFill="1" applyBorder="1"/>
    <xf numFmtId="167" fontId="11" fillId="29" borderId="31" xfId="0" applyNumberFormat="1" applyFont="1" applyFill="1" applyBorder="1"/>
    <xf numFmtId="0" fontId="49" fillId="34" borderId="0" xfId="0" applyFont="1" applyFill="1" applyAlignment="1">
      <alignment horizontal="center"/>
    </xf>
    <xf numFmtId="0" fontId="49" fillId="34" borderId="29" xfId="0" applyFont="1" applyFill="1" applyBorder="1" applyAlignment="1">
      <alignment horizontal="center"/>
    </xf>
    <xf numFmtId="167" fontId="11" fillId="29" borderId="21" xfId="0" applyNumberFormat="1" applyFont="1" applyFill="1" applyBorder="1"/>
    <xf numFmtId="0" fontId="6" fillId="34" borderId="29" xfId="0" applyFont="1" applyFill="1" applyBorder="1"/>
    <xf numFmtId="0" fontId="6" fillId="34" borderId="33" xfId="0" applyFont="1" applyFill="1" applyBorder="1"/>
    <xf numFmtId="167" fontId="11" fillId="29" borderId="26" xfId="0" applyNumberFormat="1" applyFont="1" applyFill="1" applyBorder="1"/>
    <xf numFmtId="167" fontId="11" fillId="29" borderId="12" xfId="0" applyNumberFormat="1" applyFont="1" applyFill="1" applyBorder="1"/>
    <xf numFmtId="167" fontId="11" fillId="29" borderId="12" xfId="0" applyNumberFormat="1" applyFont="1" applyFill="1" applyBorder="1" applyAlignment="1">
      <alignment horizontal="right"/>
    </xf>
    <xf numFmtId="169" fontId="11" fillId="29" borderId="0" xfId="0" applyNumberFormat="1" applyFont="1" applyFill="1" applyBorder="1" applyAlignment="1">
      <alignment horizontal="right"/>
    </xf>
    <xf numFmtId="169" fontId="11" fillId="29" borderId="33" xfId="0" applyNumberFormat="1" applyFont="1" applyFill="1" applyBorder="1" applyAlignment="1">
      <alignment horizontal="right"/>
    </xf>
    <xf numFmtId="169" fontId="11" fillId="29" borderId="12" xfId="0" applyNumberFormat="1" applyFont="1" applyFill="1" applyBorder="1" applyAlignment="1">
      <alignment horizontal="right"/>
    </xf>
    <xf numFmtId="0" fontId="1" fillId="34" borderId="30" xfId="0" applyFont="1" applyFill="1" applyBorder="1" applyAlignment="1">
      <alignment horizontal="center"/>
    </xf>
    <xf numFmtId="0" fontId="1" fillId="34" borderId="32" xfId="0" applyFont="1" applyFill="1" applyBorder="1" applyAlignment="1">
      <alignment horizontal="center"/>
    </xf>
    <xf numFmtId="0" fontId="1" fillId="34" borderId="10" xfId="0" applyFont="1" applyFill="1" applyBorder="1" applyAlignment="1">
      <alignment horizontal="center"/>
    </xf>
    <xf numFmtId="0" fontId="0" fillId="34" borderId="0" xfId="0" applyFill="1" applyBorder="1" applyAlignment="1">
      <alignment horizontal="center"/>
    </xf>
    <xf numFmtId="9" fontId="11" fillId="29" borderId="0" xfId="40" applyFont="1" applyFill="1" applyBorder="1" applyAlignment="1">
      <alignment horizontal="right"/>
    </xf>
    <xf numFmtId="9" fontId="11" fillId="29" borderId="12" xfId="40" applyFont="1" applyFill="1" applyBorder="1" applyAlignment="1">
      <alignment horizontal="right"/>
    </xf>
    <xf numFmtId="0" fontId="0" fillId="34" borderId="34" xfId="0" applyFill="1" applyBorder="1"/>
    <xf numFmtId="0" fontId="0" fillId="34" borderId="0" xfId="0" applyFill="1" applyBorder="1"/>
    <xf numFmtId="2" fontId="50" fillId="34" borderId="29" xfId="0" applyNumberFormat="1" applyFont="1" applyFill="1" applyBorder="1" applyAlignment="1">
      <alignment horizontal="right"/>
    </xf>
    <xf numFmtId="2" fontId="50" fillId="34" borderId="33" xfId="0" applyNumberFormat="1" applyFont="1" applyFill="1" applyBorder="1" applyAlignment="1">
      <alignment horizontal="right"/>
    </xf>
    <xf numFmtId="2" fontId="50" fillId="34" borderId="0" xfId="0" applyNumberFormat="1" applyFont="1" applyFill="1" applyBorder="1" applyAlignment="1">
      <alignment horizontal="right"/>
    </xf>
    <xf numFmtId="2" fontId="50" fillId="34" borderId="12" xfId="0" applyNumberFormat="1" applyFont="1" applyFill="1" applyBorder="1" applyAlignment="1">
      <alignment horizontal="right"/>
    </xf>
    <xf numFmtId="165" fontId="1" fillId="0" borderId="22" xfId="44" applyNumberFormat="1" applyFont="1" applyBorder="1" applyAlignment="1">
      <alignment vertical="top" wrapText="1"/>
    </xf>
    <xf numFmtId="2" fontId="1" fillId="0" borderId="19" xfId="44" applyNumberFormat="1" applyFont="1" applyBorder="1" applyAlignment="1">
      <alignment horizontal="right" vertical="top" wrapText="1"/>
    </xf>
    <xf numFmtId="0" fontId="52" fillId="0" borderId="0" xfId="44" applyFont="1" applyAlignment="1">
      <alignment horizontal="center"/>
    </xf>
    <xf numFmtId="9" fontId="0" fillId="0" borderId="0" xfId="40" applyFont="1" applyBorder="1"/>
    <xf numFmtId="0" fontId="53" fillId="34" borderId="0" xfId="0" applyFont="1" applyFill="1"/>
    <xf numFmtId="0" fontId="43" fillId="34" borderId="0" xfId="0" applyFont="1" applyFill="1"/>
    <xf numFmtId="0" fontId="54" fillId="34" borderId="30" xfId="0" applyFont="1" applyFill="1" applyBorder="1" applyAlignment="1">
      <alignment horizontal="center"/>
    </xf>
    <xf numFmtId="0" fontId="53" fillId="34" borderId="0" xfId="0" applyFont="1" applyFill="1" applyAlignment="1">
      <alignment horizontal="right"/>
    </xf>
    <xf numFmtId="0" fontId="53" fillId="34" borderId="0" xfId="0" applyFont="1" applyFill="1" applyBorder="1" applyAlignment="1">
      <alignment horizontal="right"/>
    </xf>
    <xf numFmtId="0" fontId="55" fillId="34" borderId="32" xfId="0" applyFont="1" applyFill="1" applyBorder="1" applyAlignment="1">
      <alignment horizontal="right"/>
    </xf>
    <xf numFmtId="0" fontId="55" fillId="34" borderId="10" xfId="0" applyFont="1" applyFill="1" applyBorder="1" applyAlignment="1">
      <alignment horizontal="right"/>
    </xf>
    <xf numFmtId="0" fontId="54" fillId="34" borderId="10" xfId="0" applyFont="1" applyFill="1" applyBorder="1" applyAlignment="1">
      <alignment horizontal="right"/>
    </xf>
    <xf numFmtId="0" fontId="55" fillId="34" borderId="30" xfId="0" applyFont="1" applyFill="1" applyBorder="1" applyAlignment="1">
      <alignment horizontal="right"/>
    </xf>
    <xf numFmtId="167" fontId="4" fillId="29" borderId="10" xfId="0" applyNumberFormat="1" applyFont="1" applyFill="1" applyBorder="1"/>
    <xf numFmtId="167" fontId="4" fillId="29" borderId="32" xfId="0" applyNumberFormat="1" applyFont="1" applyFill="1" applyBorder="1"/>
    <xf numFmtId="167" fontId="4" fillId="29" borderId="12" xfId="0" applyNumberFormat="1" applyFont="1" applyFill="1" applyBorder="1"/>
    <xf numFmtId="167" fontId="4" fillId="29" borderId="21" xfId="0" applyNumberFormat="1" applyFont="1" applyFill="1" applyBorder="1"/>
    <xf numFmtId="167" fontId="4" fillId="29" borderId="0" xfId="0" applyNumberFormat="1" applyFont="1" applyFill="1" applyBorder="1"/>
    <xf numFmtId="167" fontId="4" fillId="29" borderId="31" xfId="0" applyNumberFormat="1" applyFont="1" applyFill="1" applyBorder="1"/>
    <xf numFmtId="167" fontId="4" fillId="29" borderId="0" xfId="0" applyNumberFormat="1" applyFont="1" applyFill="1" applyBorder="1" applyAlignment="1">
      <alignment horizontal="right"/>
    </xf>
    <xf numFmtId="167" fontId="4" fillId="29" borderId="31" xfId="0" applyNumberFormat="1" applyFont="1" applyFill="1" applyBorder="1" applyAlignment="1">
      <alignment horizontal="right"/>
    </xf>
    <xf numFmtId="169" fontId="4" fillId="29" borderId="10" xfId="0" applyNumberFormat="1" applyFont="1" applyFill="1" applyBorder="1" applyAlignment="1">
      <alignment horizontal="right"/>
    </xf>
    <xf numFmtId="169" fontId="4" fillId="29" borderId="32" xfId="0" applyNumberFormat="1" applyFont="1" applyFill="1" applyBorder="1" applyAlignment="1">
      <alignment horizontal="right"/>
    </xf>
    <xf numFmtId="9" fontId="4" fillId="29" borderId="0" xfId="40" applyFont="1" applyFill="1" applyBorder="1" applyAlignment="1">
      <alignment horizontal="right"/>
    </xf>
    <xf numFmtId="9" fontId="4" fillId="29" borderId="31" xfId="40" applyFont="1" applyFill="1" applyBorder="1" applyAlignment="1">
      <alignment horizontal="right"/>
    </xf>
    <xf numFmtId="169" fontId="4" fillId="29" borderId="0" xfId="0" applyNumberFormat="1" applyFont="1" applyFill="1" applyBorder="1" applyAlignment="1">
      <alignment horizontal="right"/>
    </xf>
    <xf numFmtId="169" fontId="4" fillId="29" borderId="31" xfId="0" applyNumberFormat="1" applyFont="1" applyFill="1" applyBorder="1" applyAlignment="1">
      <alignment horizontal="right"/>
    </xf>
    <xf numFmtId="2" fontId="4" fillId="34" borderId="10" xfId="0" applyNumberFormat="1" applyFont="1" applyFill="1" applyBorder="1" applyAlignment="1">
      <alignment horizontal="right"/>
    </xf>
    <xf numFmtId="2" fontId="4" fillId="34" borderId="0" xfId="0" applyNumberFormat="1" applyFont="1" applyFill="1" applyBorder="1" applyAlignment="1">
      <alignment horizontal="right"/>
    </xf>
    <xf numFmtId="0" fontId="4" fillId="34" borderId="30" xfId="0" applyFont="1" applyFill="1" applyBorder="1" applyAlignment="1">
      <alignment horizontal="left"/>
    </xf>
    <xf numFmtId="0" fontId="4" fillId="34" borderId="36" xfId="0" applyFont="1" applyFill="1" applyBorder="1" applyAlignment="1">
      <alignment horizontal="left"/>
    </xf>
    <xf numFmtId="0" fontId="4" fillId="34" borderId="26" xfId="0" applyFont="1" applyFill="1" applyBorder="1" applyAlignment="1">
      <alignment horizontal="left"/>
    </xf>
    <xf numFmtId="0" fontId="4" fillId="34" borderId="35" xfId="0" applyFont="1" applyFill="1" applyBorder="1" applyAlignment="1">
      <alignment horizontal="left"/>
    </xf>
    <xf numFmtId="0" fontId="2" fillId="34" borderId="0" xfId="0" applyFont="1" applyFill="1" applyBorder="1"/>
    <xf numFmtId="0" fontId="4" fillId="34" borderId="36" xfId="0" applyFont="1" applyFill="1" applyBorder="1" applyAlignment="1"/>
    <xf numFmtId="0" fontId="4" fillId="34" borderId="26" xfId="0" applyFont="1" applyFill="1" applyBorder="1" applyAlignment="1"/>
    <xf numFmtId="165" fontId="4" fillId="34" borderId="12" xfId="0" applyNumberFormat="1" applyFont="1" applyFill="1" applyBorder="1" applyAlignment="1">
      <alignment horizontal="right"/>
    </xf>
    <xf numFmtId="165" fontId="4" fillId="34" borderId="33" xfId="0" applyNumberFormat="1" applyFont="1" applyFill="1" applyBorder="1" applyAlignment="1">
      <alignment horizontal="right"/>
    </xf>
    <xf numFmtId="0" fontId="4" fillId="34" borderId="35" xfId="0" applyFont="1" applyFill="1" applyBorder="1" applyAlignment="1"/>
    <xf numFmtId="165" fontId="4" fillId="34" borderId="0" xfId="0" applyNumberFormat="1" applyFont="1" applyFill="1" applyBorder="1" applyAlignment="1">
      <alignment horizontal="right"/>
    </xf>
    <xf numFmtId="165" fontId="4" fillId="34" borderId="29" xfId="0" applyNumberFormat="1" applyFont="1" applyFill="1" applyBorder="1" applyAlignment="1">
      <alignment horizontal="right"/>
    </xf>
    <xf numFmtId="0" fontId="4" fillId="34" borderId="10" xfId="0" applyFont="1" applyFill="1" applyBorder="1" applyAlignment="1">
      <alignment horizontal="right"/>
    </xf>
    <xf numFmtId="0" fontId="4" fillId="34" borderId="30" xfId="0" applyFont="1" applyFill="1" applyBorder="1" applyAlignment="1">
      <alignment horizontal="right"/>
    </xf>
    <xf numFmtId="2" fontId="4" fillId="34" borderId="30" xfId="0" applyNumberFormat="1" applyFont="1" applyFill="1" applyBorder="1" applyAlignment="1">
      <alignment horizontal="right"/>
    </xf>
    <xf numFmtId="2" fontId="4" fillId="34" borderId="29" xfId="0" applyNumberFormat="1" applyFont="1" applyFill="1" applyBorder="1" applyAlignment="1">
      <alignment horizontal="right"/>
    </xf>
    <xf numFmtId="0" fontId="4" fillId="34" borderId="30" xfId="0" applyFont="1" applyFill="1" applyBorder="1" applyAlignment="1"/>
    <xf numFmtId="0" fontId="3" fillId="29" borderId="0" xfId="0" applyFont="1" applyFill="1" applyBorder="1" applyAlignment="1">
      <alignment horizontal="right"/>
    </xf>
    <xf numFmtId="0" fontId="11" fillId="29" borderId="0" xfId="0" applyFont="1" applyFill="1" applyBorder="1" applyAlignment="1">
      <alignment horizontal="right"/>
    </xf>
    <xf numFmtId="0" fontId="0" fillId="34" borderId="22" xfId="0" applyFill="1" applyBorder="1"/>
    <xf numFmtId="0" fontId="1" fillId="34" borderId="22" xfId="0" applyFont="1" applyFill="1" applyBorder="1"/>
    <xf numFmtId="9" fontId="0" fillId="34" borderId="22" xfId="40" applyFont="1" applyFill="1" applyBorder="1"/>
    <xf numFmtId="170" fontId="0" fillId="30" borderId="0" xfId="0" applyNumberFormat="1" applyFill="1" applyBorder="1" applyProtection="1">
      <protection locked="0"/>
    </xf>
    <xf numFmtId="0" fontId="2" fillId="29" borderId="0" xfId="0" applyFont="1" applyFill="1" applyBorder="1" applyAlignment="1">
      <alignment horizontal="center" wrapText="1"/>
    </xf>
    <xf numFmtId="0" fontId="56" fillId="34" borderId="0" xfId="0" applyFont="1" applyFill="1" applyAlignment="1">
      <alignment horizontal="center"/>
    </xf>
    <xf numFmtId="0" fontId="54" fillId="34" borderId="29" xfId="0" applyFont="1" applyFill="1" applyBorder="1" applyAlignment="1">
      <alignment horizontal="center" vertical="center"/>
    </xf>
    <xf numFmtId="0" fontId="54" fillId="34" borderId="33" xfId="0" applyFont="1" applyFill="1" applyBorder="1" applyAlignment="1">
      <alignment horizontal="center" vertical="center"/>
    </xf>
    <xf numFmtId="0" fontId="54" fillId="34" borderId="30" xfId="0" applyFont="1" applyFill="1" applyBorder="1" applyAlignment="1">
      <alignment horizontal="center" vertical="center"/>
    </xf>
    <xf numFmtId="0" fontId="47" fillId="34" borderId="0" xfId="0" applyFont="1" applyFill="1" applyAlignment="1">
      <alignment horizontal="center"/>
    </xf>
    <xf numFmtId="0" fontId="51" fillId="34" borderId="34" xfId="0" applyFont="1" applyFill="1" applyBorder="1" applyAlignment="1">
      <alignment horizontal="center"/>
    </xf>
    <xf numFmtId="0" fontId="49" fillId="34" borderId="31" xfId="0" applyFont="1" applyFill="1" applyBorder="1" applyAlignment="1">
      <alignment horizontal="center"/>
    </xf>
    <xf numFmtId="0" fontId="49" fillId="34" borderId="0" xfId="0" applyFont="1" applyFill="1" applyAlignment="1">
      <alignment horizontal="center"/>
    </xf>
    <xf numFmtId="0" fontId="49" fillId="34" borderId="29" xfId="0" applyFont="1" applyFill="1" applyBorder="1" applyAlignment="1">
      <alignment horizontal="center"/>
    </xf>
    <xf numFmtId="0" fontId="49" fillId="34" borderId="0" xfId="0" applyFont="1" applyFill="1" applyBorder="1" applyAlignment="1">
      <alignment horizontal="center"/>
    </xf>
    <xf numFmtId="0" fontId="35" fillId="32" borderId="13" xfId="0" applyFont="1" applyFill="1" applyBorder="1" applyAlignment="1">
      <alignment horizontal="left" vertical="center" indent="1"/>
    </xf>
    <xf numFmtId="0" fontId="35" fillId="32" borderId="0" xfId="0" applyFont="1" applyFill="1" applyBorder="1" applyAlignment="1">
      <alignment horizontal="left" vertical="center" indent="1"/>
    </xf>
    <xf numFmtId="0" fontId="35" fillId="32" borderId="37" xfId="0" applyFont="1" applyFill="1" applyBorder="1" applyAlignment="1">
      <alignment horizontal="left" vertical="center" indent="1"/>
    </xf>
    <xf numFmtId="0" fontId="4" fillId="0" borderId="14" xfId="44" applyFont="1" applyBorder="1" applyAlignment="1">
      <alignment vertical="top" wrapText="1"/>
    </xf>
    <xf numFmtId="0" fontId="1" fillId="0" borderId="27" xfId="44" applyFont="1" applyBorder="1" applyAlignment="1">
      <alignment vertical="top" wrapText="1"/>
    </xf>
    <xf numFmtId="0" fontId="1" fillId="0" borderId="14" xfId="44" applyFont="1" applyBorder="1" applyAlignment="1">
      <alignment vertical="top" wrapText="1"/>
    </xf>
    <xf numFmtId="0" fontId="1" fillId="0" borderId="28" xfId="44" applyFont="1" applyBorder="1" applyAlignment="1">
      <alignment vertical="top" wrapText="1"/>
    </xf>
    <xf numFmtId="9" fontId="2" fillId="29" borderId="0" xfId="40" applyFont="1" applyFill="1" applyBorder="1" applyAlignment="1">
      <alignment horizontal="center" vertical="center"/>
    </xf>
    <xf numFmtId="0" fontId="5" fillId="0" borderId="0" xfId="0" applyFont="1" applyFill="1" applyBorder="1" applyAlignment="1">
      <alignment horizontal="left" vertical="center"/>
    </xf>
    <xf numFmtId="0" fontId="1" fillId="29" borderId="0" xfId="0" applyFont="1" applyFill="1" applyBorder="1" applyAlignment="1">
      <alignment horizontal="left" vertical="center" wrapText="1" indent="1"/>
    </xf>
    <xf numFmtId="0" fontId="2" fillId="0" borderId="0" xfId="0" applyFont="1" applyBorder="1" applyAlignment="1">
      <alignment horizontal="left" vertical="center" wrapText="1"/>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cellStyle name="Normal 3" xfId="44"/>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DFD181E0-5E2F-11CE-A449-00AA004A803D}" ax:persistence="persistStreamInit" r:id="rId1"/>
</file>

<file path=xl/activeX/activeX14.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'!$B$35</c:f>
              <c:strCache>
                <c:ptCount val="1"/>
                <c:pt idx="0">
                  <c:v>Crossrail</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'!$C$35,'Annual WLC by Maturity Level '!$E$35:$I$35)</c:f>
              <c:numCache>
                <c:formatCode>"£"#,##0</c:formatCode>
                <c:ptCount val="6"/>
                <c:pt idx="0">
                  <c:v>70006.75</c:v>
                </c:pt>
                <c:pt idx="1">
                  <c:v>66506.75</c:v>
                </c:pt>
                <c:pt idx="2">
                  <c:v>64406.75</c:v>
                </c:pt>
                <c:pt idx="3">
                  <c:v>62306.75</c:v>
                </c:pt>
                <c:pt idx="4">
                  <c:v>56006.75</c:v>
                </c:pt>
                <c:pt idx="5">
                  <c:v>56006.75</c:v>
                </c:pt>
              </c:numCache>
            </c:numRef>
          </c:val>
          <c:extLst>
            <c:ext xmlns:c16="http://schemas.microsoft.com/office/drawing/2014/chart" uri="{C3380CC4-5D6E-409C-BE32-E72D297353CC}">
              <c16:uniqueId val="{00000000-326C-4506-A363-77913A5A1256}"/>
            </c:ext>
          </c:extLst>
        </c:ser>
        <c:ser>
          <c:idx val="1"/>
          <c:order val="1"/>
          <c:tx>
            <c:strRef>
              <c:f>'Annual WLC by Maturity Level '!$B$36</c:f>
              <c:strCache>
                <c:ptCount val="1"/>
                <c:pt idx="0">
                  <c:v>NR Western</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'!$C$36,'Annual WLC by Maturity Level '!$E$36:$I$36)</c:f>
              <c:numCache>
                <c:formatCode>"£"#,##0</c:formatCode>
                <c:ptCount val="6"/>
                <c:pt idx="0">
                  <c:v>9879355.5999999996</c:v>
                </c:pt>
                <c:pt idx="1">
                  <c:v>9866137.8200000003</c:v>
                </c:pt>
                <c:pt idx="2">
                  <c:v>9673997.1520000007</c:v>
                </c:pt>
                <c:pt idx="3">
                  <c:v>9568426.4839999992</c:v>
                </c:pt>
                <c:pt idx="4">
                  <c:v>9344794.4800000004</c:v>
                </c:pt>
                <c:pt idx="5">
                  <c:v>8885484.4800000004</c:v>
                </c:pt>
              </c:numCache>
            </c:numRef>
          </c:val>
          <c:extLst>
            <c:ext xmlns:c16="http://schemas.microsoft.com/office/drawing/2014/chart" uri="{C3380CC4-5D6E-409C-BE32-E72D297353CC}">
              <c16:uniqueId val="{00000001-326C-4506-A363-77913A5A1256}"/>
            </c:ext>
          </c:extLst>
        </c:ser>
        <c:ser>
          <c:idx val="2"/>
          <c:order val="2"/>
          <c:tx>
            <c:strRef>
              <c:f>'Annual WLC by Maturity Level '!$B$37</c:f>
              <c:strCache>
                <c:ptCount val="1"/>
                <c:pt idx="0">
                  <c:v>Balfour Beatty</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'!$C$37,'Annual WLC by Maturity Level '!$E$37:$I$37)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26C-4506-A363-77913A5A1256}"/>
            </c:ext>
          </c:extLst>
        </c:ser>
        <c:ser>
          <c:idx val="3"/>
          <c:order val="3"/>
          <c:tx>
            <c:strRef>
              <c:f>'Annual WLC by Maturity Level '!$B$38</c:f>
              <c:strCache>
                <c:ptCount val="1"/>
                <c:pt idx="0">
                  <c:v>RSSB</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'!$C$38,'Annual WLC by Maturity Level '!$E$38:$I$38)</c:f>
              <c:numCache>
                <c:formatCode>"£"#,##0</c:formatCode>
                <c:ptCount val="6"/>
                <c:pt idx="0">
                  <c:v>0</c:v>
                </c:pt>
                <c:pt idx="1">
                  <c:v>12500</c:v>
                </c:pt>
                <c:pt idx="2">
                  <c:v>16910</c:v>
                </c:pt>
                <c:pt idx="3">
                  <c:v>18350</c:v>
                </c:pt>
                <c:pt idx="4">
                  <c:v>22490</c:v>
                </c:pt>
                <c:pt idx="5">
                  <c:v>26000</c:v>
                </c:pt>
              </c:numCache>
            </c:numRef>
          </c:val>
          <c:extLst>
            <c:ext xmlns:c16="http://schemas.microsoft.com/office/drawing/2014/chart" uri="{C3380CC4-5D6E-409C-BE32-E72D297353CC}">
              <c16:uniqueId val="{00000003-326C-4506-A363-77913A5A1256}"/>
            </c:ext>
          </c:extLst>
        </c:ser>
        <c:dLbls>
          <c:showLegendKey val="0"/>
          <c:showVal val="0"/>
          <c:showCatName val="0"/>
          <c:showSerName val="0"/>
          <c:showPercent val="0"/>
          <c:showBubbleSize val="0"/>
        </c:dLbls>
        <c:gapWidth val="150"/>
        <c:overlap val="100"/>
        <c:axId val="114466248"/>
        <c:axId val="112964088"/>
      </c:barChart>
      <c:catAx>
        <c:axId val="114466248"/>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2964088"/>
        <c:crosses val="autoZero"/>
        <c:auto val="1"/>
        <c:lblAlgn val="ctr"/>
        <c:lblOffset val="100"/>
        <c:tickLblSkip val="1"/>
        <c:tickMarkSkip val="1"/>
        <c:noMultiLvlLbl val="0"/>
      </c:catAx>
      <c:valAx>
        <c:axId val="112964088"/>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4466248"/>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717313113638573"/>
          <c:w val="0.1760732954066021"/>
          <c:h val="0.75944062547737101"/>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Benefit (vs. current)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'!$B$78</c:f>
              <c:strCache>
                <c:ptCount val="1"/>
                <c:pt idx="0">
                  <c:v>TOTAL benefit Crossrail</c:v>
                </c:pt>
              </c:strCache>
            </c:strRef>
          </c:tx>
          <c:spPr>
            <a:solidFill>
              <a:schemeClr val="accent6"/>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'!$E$78:$I$78</c:f>
              <c:numCache>
                <c:formatCode>"£"#,##0</c:formatCode>
                <c:ptCount val="5"/>
                <c:pt idx="0">
                  <c:v>3500</c:v>
                </c:pt>
                <c:pt idx="1">
                  <c:v>5600</c:v>
                </c:pt>
                <c:pt idx="2">
                  <c:v>7700</c:v>
                </c:pt>
                <c:pt idx="3">
                  <c:v>14000</c:v>
                </c:pt>
                <c:pt idx="4">
                  <c:v>14000</c:v>
                </c:pt>
              </c:numCache>
            </c:numRef>
          </c:val>
          <c:extLst>
            <c:ext xmlns:c16="http://schemas.microsoft.com/office/drawing/2014/chart" uri="{C3380CC4-5D6E-409C-BE32-E72D297353CC}">
              <c16:uniqueId val="{00000000-1A07-4EC3-AB95-20B1D6DBDAAF}"/>
            </c:ext>
          </c:extLst>
        </c:ser>
        <c:ser>
          <c:idx val="1"/>
          <c:order val="1"/>
          <c:tx>
            <c:strRef>
              <c:f>'Annual WLC by Maturity Level '!$B$79</c:f>
              <c:strCache>
                <c:ptCount val="1"/>
                <c:pt idx="0">
                  <c:v>TOTAL benefit NR Western</c:v>
                </c:pt>
              </c:strCache>
            </c:strRef>
          </c:tx>
          <c:spPr>
            <a:solidFill>
              <a:schemeClr val="accent5"/>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'!$E$79:$I$79</c:f>
              <c:numCache>
                <c:formatCode>"£"#,##0</c:formatCode>
                <c:ptCount val="5"/>
                <c:pt idx="0">
                  <c:v>13217.779999999999</c:v>
                </c:pt>
                <c:pt idx="1">
                  <c:v>205358.448</c:v>
                </c:pt>
                <c:pt idx="2">
                  <c:v>310929.11600000004</c:v>
                </c:pt>
                <c:pt idx="3">
                  <c:v>534561.12</c:v>
                </c:pt>
                <c:pt idx="4">
                  <c:v>993871.12</c:v>
                </c:pt>
              </c:numCache>
            </c:numRef>
          </c:val>
          <c:extLst>
            <c:ext xmlns:c16="http://schemas.microsoft.com/office/drawing/2014/chart" uri="{C3380CC4-5D6E-409C-BE32-E72D297353CC}">
              <c16:uniqueId val="{00000001-1A07-4EC3-AB95-20B1D6DBDAAF}"/>
            </c:ext>
          </c:extLst>
        </c:ser>
        <c:ser>
          <c:idx val="2"/>
          <c:order val="2"/>
          <c:tx>
            <c:strRef>
              <c:f>'Annual WLC by Maturity Level '!$B$80</c:f>
              <c:strCache>
                <c:ptCount val="1"/>
                <c:pt idx="0">
                  <c:v>TOTAL benefit Balfour Beatty</c:v>
                </c:pt>
              </c:strCache>
            </c:strRef>
          </c:tx>
          <c:spPr>
            <a:solidFill>
              <a:schemeClr val="accent4"/>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'!$E$80:$I$80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A07-4EC3-AB95-20B1D6DBDAAF}"/>
            </c:ext>
          </c:extLst>
        </c:ser>
        <c:ser>
          <c:idx val="3"/>
          <c:order val="3"/>
          <c:tx>
            <c:strRef>
              <c:f>'Annual WLC by Maturity Level '!$B$81</c:f>
              <c:strCache>
                <c:ptCount val="1"/>
                <c:pt idx="0">
                  <c:v>TOTAL benefit RSSB</c:v>
                </c:pt>
              </c:strCache>
            </c:strRef>
          </c:tx>
          <c:spPr>
            <a:solidFill>
              <a:schemeClr val="accent6">
                <a:lumMod val="60000"/>
              </a:schemeClr>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'!$E$81:$I$81</c:f>
              <c:numCache>
                <c:formatCode>"£"#,##0</c:formatCode>
                <c:ptCount val="5"/>
                <c:pt idx="0">
                  <c:v>-12500</c:v>
                </c:pt>
                <c:pt idx="1">
                  <c:v>-16910</c:v>
                </c:pt>
                <c:pt idx="2">
                  <c:v>-18350</c:v>
                </c:pt>
                <c:pt idx="3">
                  <c:v>-22490</c:v>
                </c:pt>
                <c:pt idx="4">
                  <c:v>-26000</c:v>
                </c:pt>
              </c:numCache>
            </c:numRef>
          </c:val>
          <c:extLst>
            <c:ext xmlns:c16="http://schemas.microsoft.com/office/drawing/2014/chart" uri="{C3380CC4-5D6E-409C-BE32-E72D297353CC}">
              <c16:uniqueId val="{00000003-1A07-4EC3-AB95-20B1D6DBDAAF}"/>
            </c:ext>
          </c:extLst>
        </c:ser>
        <c:dLbls>
          <c:showLegendKey val="0"/>
          <c:showVal val="0"/>
          <c:showCatName val="0"/>
          <c:showSerName val="0"/>
          <c:showPercent val="0"/>
          <c:showBubbleSize val="0"/>
        </c:dLbls>
        <c:gapWidth val="150"/>
        <c:overlap val="100"/>
        <c:axId val="112965264"/>
        <c:axId val="112964872"/>
      </c:barChart>
      <c:catAx>
        <c:axId val="112965264"/>
        <c:scaling>
          <c:orientation val="minMax"/>
        </c:scaling>
        <c:delete val="0"/>
        <c:axPos val="b"/>
        <c:numFmt formatCode="General" sourceLinked="1"/>
        <c:majorTickMark val="out"/>
        <c:minorTickMark val="none"/>
        <c:tickLblPos val="low"/>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2964872"/>
        <c:crosses val="autoZero"/>
        <c:auto val="1"/>
        <c:lblAlgn val="ctr"/>
        <c:lblOffset val="100"/>
        <c:tickLblSkip val="1"/>
        <c:tickMarkSkip val="1"/>
        <c:noMultiLvlLbl val="0"/>
      </c:catAx>
      <c:valAx>
        <c:axId val="112964872"/>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2965264"/>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011845741504534"/>
          <c:w val="0.19592114437471966"/>
          <c:h val="0.7671974336541267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'!$B$35</c:f>
              <c:strCache>
                <c:ptCount val="1"/>
                <c:pt idx="0">
                  <c:v>Crossrail</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'!$C$35,'Annual WLC by Maturity Level '!$E$35:$I$35)</c:f>
              <c:numCache>
                <c:formatCode>"£"#,##0</c:formatCode>
                <c:ptCount val="6"/>
                <c:pt idx="0">
                  <c:v>70006.75</c:v>
                </c:pt>
                <c:pt idx="1">
                  <c:v>66506.75</c:v>
                </c:pt>
                <c:pt idx="2">
                  <c:v>64406.75</c:v>
                </c:pt>
                <c:pt idx="3">
                  <c:v>62306.75</c:v>
                </c:pt>
                <c:pt idx="4">
                  <c:v>56006.75</c:v>
                </c:pt>
                <c:pt idx="5">
                  <c:v>56006.75</c:v>
                </c:pt>
              </c:numCache>
            </c:numRef>
          </c:val>
          <c:extLst>
            <c:ext xmlns:c16="http://schemas.microsoft.com/office/drawing/2014/chart" uri="{C3380CC4-5D6E-409C-BE32-E72D297353CC}">
              <c16:uniqueId val="{00000000-9008-4B3C-B716-1234515F1D63}"/>
            </c:ext>
          </c:extLst>
        </c:ser>
        <c:ser>
          <c:idx val="1"/>
          <c:order val="1"/>
          <c:tx>
            <c:strRef>
              <c:f>'Annual WLC by Maturity Level '!$B$36</c:f>
              <c:strCache>
                <c:ptCount val="1"/>
                <c:pt idx="0">
                  <c:v>NR Western</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'!$C$36,'Annual WLC by Maturity Level '!$E$36:$I$36)</c:f>
              <c:numCache>
                <c:formatCode>"£"#,##0</c:formatCode>
                <c:ptCount val="6"/>
                <c:pt idx="0">
                  <c:v>9879355.5999999996</c:v>
                </c:pt>
                <c:pt idx="1">
                  <c:v>9866137.8200000003</c:v>
                </c:pt>
                <c:pt idx="2">
                  <c:v>9673997.1520000007</c:v>
                </c:pt>
                <c:pt idx="3">
                  <c:v>9568426.4839999992</c:v>
                </c:pt>
                <c:pt idx="4">
                  <c:v>9344794.4800000004</c:v>
                </c:pt>
                <c:pt idx="5">
                  <c:v>8885484.4800000004</c:v>
                </c:pt>
              </c:numCache>
            </c:numRef>
          </c:val>
          <c:extLst>
            <c:ext xmlns:c16="http://schemas.microsoft.com/office/drawing/2014/chart" uri="{C3380CC4-5D6E-409C-BE32-E72D297353CC}">
              <c16:uniqueId val="{00000001-9008-4B3C-B716-1234515F1D63}"/>
            </c:ext>
          </c:extLst>
        </c:ser>
        <c:ser>
          <c:idx val="2"/>
          <c:order val="2"/>
          <c:tx>
            <c:strRef>
              <c:f>'Annual WLC by Maturity Level '!$B$37</c:f>
              <c:strCache>
                <c:ptCount val="1"/>
                <c:pt idx="0">
                  <c:v>Balfour Beatty</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'!$C$37,'Annual WLC by Maturity Level '!$E$37:$I$37)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9008-4B3C-B716-1234515F1D63}"/>
            </c:ext>
          </c:extLst>
        </c:ser>
        <c:ser>
          <c:idx val="3"/>
          <c:order val="3"/>
          <c:tx>
            <c:strRef>
              <c:f>'Annual WLC by Maturity Level '!$B$38</c:f>
              <c:strCache>
                <c:ptCount val="1"/>
                <c:pt idx="0">
                  <c:v>RSSB</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'!$C$38,'Annual WLC by Maturity Level '!$E$38:$I$38)</c:f>
              <c:numCache>
                <c:formatCode>"£"#,##0</c:formatCode>
                <c:ptCount val="6"/>
                <c:pt idx="0">
                  <c:v>0</c:v>
                </c:pt>
                <c:pt idx="1">
                  <c:v>12500</c:v>
                </c:pt>
                <c:pt idx="2">
                  <c:v>16910</c:v>
                </c:pt>
                <c:pt idx="3">
                  <c:v>18350</c:v>
                </c:pt>
                <c:pt idx="4">
                  <c:v>22490</c:v>
                </c:pt>
                <c:pt idx="5">
                  <c:v>26000</c:v>
                </c:pt>
              </c:numCache>
            </c:numRef>
          </c:val>
          <c:extLst>
            <c:ext xmlns:c16="http://schemas.microsoft.com/office/drawing/2014/chart" uri="{C3380CC4-5D6E-409C-BE32-E72D297353CC}">
              <c16:uniqueId val="{00000003-9008-4B3C-B716-1234515F1D63}"/>
            </c:ext>
          </c:extLst>
        </c:ser>
        <c:dLbls>
          <c:showLegendKey val="0"/>
          <c:showVal val="0"/>
          <c:showCatName val="0"/>
          <c:showSerName val="0"/>
          <c:showPercent val="0"/>
          <c:showBubbleSize val="0"/>
        </c:dLbls>
        <c:gapWidth val="150"/>
        <c:overlap val="100"/>
        <c:axId val="118278848"/>
        <c:axId val="118281984"/>
      </c:barChart>
      <c:catAx>
        <c:axId val="118278848"/>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81984"/>
        <c:crosses val="autoZero"/>
        <c:auto val="1"/>
        <c:lblAlgn val="ctr"/>
        <c:lblOffset val="100"/>
        <c:tickLblSkip val="1"/>
        <c:tickMarkSkip val="1"/>
        <c:noMultiLvlLbl val="0"/>
      </c:catAx>
      <c:valAx>
        <c:axId val="118281984"/>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8278848"/>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717313113638573"/>
          <c:w val="0.1760732954066021"/>
          <c:h val="0.75944062547737101"/>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r>
              <a:rPr lang="en-GB" sz="1200"/>
              <a:t>RCM Toolkit
Annualised Benefit (vs. current)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2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76254587894823012"/>
        </c:manualLayout>
      </c:layout>
      <c:barChart>
        <c:barDir val="col"/>
        <c:grouping val="stacked"/>
        <c:varyColors val="0"/>
        <c:ser>
          <c:idx val="0"/>
          <c:order val="0"/>
          <c:tx>
            <c:strRef>
              <c:f>'Annual WLC by Maturity Level '!$B$78</c:f>
              <c:strCache>
                <c:ptCount val="1"/>
                <c:pt idx="0">
                  <c:v>TOTAL benefit Crossrail</c:v>
                </c:pt>
              </c:strCache>
            </c:strRef>
          </c:tx>
          <c:spPr>
            <a:solidFill>
              <a:schemeClr val="accent6"/>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'!$E$78:$I$78</c:f>
              <c:numCache>
                <c:formatCode>"£"#,##0</c:formatCode>
                <c:ptCount val="5"/>
                <c:pt idx="0">
                  <c:v>3500</c:v>
                </c:pt>
                <c:pt idx="1">
                  <c:v>5600</c:v>
                </c:pt>
                <c:pt idx="2">
                  <c:v>7700</c:v>
                </c:pt>
                <c:pt idx="3">
                  <c:v>14000</c:v>
                </c:pt>
                <c:pt idx="4">
                  <c:v>14000</c:v>
                </c:pt>
              </c:numCache>
            </c:numRef>
          </c:val>
          <c:extLst>
            <c:ext xmlns:c16="http://schemas.microsoft.com/office/drawing/2014/chart" uri="{C3380CC4-5D6E-409C-BE32-E72D297353CC}">
              <c16:uniqueId val="{00000000-98F7-46D8-8D3B-808785910C08}"/>
            </c:ext>
          </c:extLst>
        </c:ser>
        <c:ser>
          <c:idx val="1"/>
          <c:order val="1"/>
          <c:tx>
            <c:strRef>
              <c:f>'Annual WLC by Maturity Level '!$B$79</c:f>
              <c:strCache>
                <c:ptCount val="1"/>
                <c:pt idx="0">
                  <c:v>TOTAL benefit NR Western</c:v>
                </c:pt>
              </c:strCache>
            </c:strRef>
          </c:tx>
          <c:spPr>
            <a:solidFill>
              <a:schemeClr val="accent5"/>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'!$E$79:$I$79</c:f>
              <c:numCache>
                <c:formatCode>"£"#,##0</c:formatCode>
                <c:ptCount val="5"/>
                <c:pt idx="0">
                  <c:v>13217.779999999999</c:v>
                </c:pt>
                <c:pt idx="1">
                  <c:v>205358.448</c:v>
                </c:pt>
                <c:pt idx="2">
                  <c:v>310929.11600000004</c:v>
                </c:pt>
                <c:pt idx="3">
                  <c:v>534561.12</c:v>
                </c:pt>
                <c:pt idx="4">
                  <c:v>993871.12</c:v>
                </c:pt>
              </c:numCache>
            </c:numRef>
          </c:val>
          <c:extLst>
            <c:ext xmlns:c16="http://schemas.microsoft.com/office/drawing/2014/chart" uri="{C3380CC4-5D6E-409C-BE32-E72D297353CC}">
              <c16:uniqueId val="{00000001-98F7-46D8-8D3B-808785910C08}"/>
            </c:ext>
          </c:extLst>
        </c:ser>
        <c:ser>
          <c:idx val="2"/>
          <c:order val="2"/>
          <c:tx>
            <c:strRef>
              <c:f>'Annual WLC by Maturity Level '!$B$80</c:f>
              <c:strCache>
                <c:ptCount val="1"/>
                <c:pt idx="0">
                  <c:v>TOTAL benefit Balfour Beatty</c:v>
                </c:pt>
              </c:strCache>
            </c:strRef>
          </c:tx>
          <c:spPr>
            <a:solidFill>
              <a:schemeClr val="accent4"/>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'!$E$80:$I$80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98F7-46D8-8D3B-808785910C08}"/>
            </c:ext>
          </c:extLst>
        </c:ser>
        <c:ser>
          <c:idx val="3"/>
          <c:order val="3"/>
          <c:tx>
            <c:strRef>
              <c:f>'Annual WLC by Maturity Level '!$B$81</c:f>
              <c:strCache>
                <c:ptCount val="1"/>
                <c:pt idx="0">
                  <c:v>TOTAL benefit RSSB</c:v>
                </c:pt>
              </c:strCache>
            </c:strRef>
          </c:tx>
          <c:spPr>
            <a:solidFill>
              <a:schemeClr val="accent6">
                <a:lumMod val="60000"/>
              </a:schemeClr>
            </a:solidFill>
            <a:ln>
              <a:noFill/>
            </a:ln>
            <a:effectLst/>
          </c:spPr>
          <c:invertIfNegative val="0"/>
          <c:cat>
            <c:strRef>
              <c:f>'Annual WLC by Maturity Level '!$E$9:$I$9</c:f>
              <c:strCache>
                <c:ptCount val="5"/>
                <c:pt idx="0">
                  <c:v>SD</c:v>
                </c:pt>
                <c:pt idx="1">
                  <c:v>HA1</c:v>
                </c:pt>
                <c:pt idx="2">
                  <c:v>HA2</c:v>
                </c:pt>
                <c:pt idx="3">
                  <c:v>PA</c:v>
                </c:pt>
                <c:pt idx="4">
                  <c:v>AG</c:v>
                </c:pt>
              </c:strCache>
            </c:strRef>
          </c:cat>
          <c:val>
            <c:numRef>
              <c:f>'Annual WLC by Maturity Level '!$E$81:$I$81</c:f>
              <c:numCache>
                <c:formatCode>"£"#,##0</c:formatCode>
                <c:ptCount val="5"/>
                <c:pt idx="0">
                  <c:v>-12500</c:v>
                </c:pt>
                <c:pt idx="1">
                  <c:v>-16910</c:v>
                </c:pt>
                <c:pt idx="2">
                  <c:v>-18350</c:v>
                </c:pt>
                <c:pt idx="3">
                  <c:v>-22490</c:v>
                </c:pt>
                <c:pt idx="4">
                  <c:v>-26000</c:v>
                </c:pt>
              </c:numCache>
            </c:numRef>
          </c:val>
          <c:extLst>
            <c:ext xmlns:c16="http://schemas.microsoft.com/office/drawing/2014/chart" uri="{C3380CC4-5D6E-409C-BE32-E72D297353CC}">
              <c16:uniqueId val="{00000003-98F7-46D8-8D3B-808785910C08}"/>
            </c:ext>
          </c:extLst>
        </c:ser>
        <c:dLbls>
          <c:showLegendKey val="0"/>
          <c:showVal val="0"/>
          <c:showCatName val="0"/>
          <c:showSerName val="0"/>
          <c:showPercent val="0"/>
          <c:showBubbleSize val="0"/>
        </c:dLbls>
        <c:gapWidth val="150"/>
        <c:overlap val="100"/>
        <c:axId val="118283944"/>
        <c:axId val="118280024"/>
      </c:barChart>
      <c:catAx>
        <c:axId val="118283944"/>
        <c:scaling>
          <c:orientation val="minMax"/>
        </c:scaling>
        <c:delete val="0"/>
        <c:axPos val="b"/>
        <c:numFmt formatCode="General" sourceLinked="1"/>
        <c:majorTickMark val="out"/>
        <c:minorTickMark val="none"/>
        <c:tickLblPos val="low"/>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80024"/>
        <c:crosses val="autoZero"/>
        <c:auto val="1"/>
        <c:lblAlgn val="ctr"/>
        <c:lblOffset val="100"/>
        <c:tickLblSkip val="1"/>
        <c:tickMarkSkip val="1"/>
        <c:noMultiLvlLbl val="0"/>
      </c:catAx>
      <c:valAx>
        <c:axId val="118280024"/>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r>
                  <a:rPr lang="en-GB" sz="1100"/>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100"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Calibri"/>
                <a:ea typeface="Calibri"/>
                <a:cs typeface="Calibri"/>
              </a:defRPr>
            </a:pPr>
            <a:endParaRPr lang="en-US"/>
          </a:p>
        </c:txPr>
        <c:crossAx val="118283944"/>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80407885562528036"/>
          <c:y val="0.15011845741504534"/>
          <c:w val="0.19592114437471966"/>
          <c:h val="0.7671974336541267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9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rgbClr val="000000"/>
                </a:solidFill>
                <a:latin typeface="Calibri"/>
                <a:ea typeface="Calibri"/>
                <a:cs typeface="Calibri"/>
              </a:defRPr>
            </a:pPr>
            <a:r>
              <a:rPr lang="en-GB"/>
              <a:t>RCM Toolkit
Annualised Whole Life Costs by Maturity Level </a:t>
            </a:r>
          </a:p>
        </c:rich>
      </c:tx>
      <c:layout>
        <c:manualLayout>
          <c:xMode val="edge"/>
          <c:yMode val="edge"/>
          <c:x val="0.25749741468459153"/>
          <c:y val="2.0338983050847456E-2"/>
        </c:manualLayout>
      </c:layout>
      <c:overlay val="0"/>
      <c:spPr>
        <a:noFill/>
        <a:ln w="25400">
          <a:noFill/>
        </a:ln>
        <a:effectLst/>
      </c:spPr>
      <c:txPr>
        <a:bodyPr rot="0" spcFirstLastPara="1" vertOverflow="ellipsis" vert="horz" wrap="square" anchor="ctr" anchorCtr="1"/>
        <a:lstStyle/>
        <a:p>
          <a:pPr>
            <a:defRPr sz="1800" b="1" i="0" u="none" strike="noStrike" kern="1200"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891416752843847"/>
          <c:y val="0.15423728813559323"/>
          <c:w val="0.63391933815925539"/>
          <c:h val="0.68474576271186438"/>
        </c:manualLayout>
      </c:layout>
      <c:barChart>
        <c:barDir val="col"/>
        <c:grouping val="stacked"/>
        <c:varyColors val="0"/>
        <c:ser>
          <c:idx val="0"/>
          <c:order val="0"/>
          <c:tx>
            <c:strRef>
              <c:f>'Annual WLC by Maturity Level '!$A$10:$B$10</c:f>
              <c:strCache>
                <c:ptCount val="2"/>
                <c:pt idx="0">
                  <c:v>Asset Risk Crossrail</c:v>
                </c:pt>
                <c:pt idx="1">
                  <c:v>Safety</c:v>
                </c:pt>
              </c:strCache>
            </c:strRef>
          </c:tx>
          <c:spPr>
            <a:solidFill>
              <a:schemeClr val="accent6"/>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'!$C$10,'Annual WLC by Maturity Level '!$E$10:$I$10)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0A6-409A-BF65-9642C901BAE5}"/>
            </c:ext>
          </c:extLst>
        </c:ser>
        <c:ser>
          <c:idx val="1"/>
          <c:order val="1"/>
          <c:tx>
            <c:strRef>
              <c:f>'Annual WLC by Maturity Level '!$A$11:$B$11</c:f>
              <c:strCache>
                <c:ptCount val="2"/>
                <c:pt idx="0">
                  <c:v>Asset Risk Crossrail</c:v>
                </c:pt>
                <c:pt idx="1">
                  <c:v>Service</c:v>
                </c:pt>
              </c:strCache>
            </c:strRef>
          </c:tx>
          <c:spPr>
            <a:solidFill>
              <a:schemeClr val="accent5"/>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'!$C$11,'Annual WLC by Maturity Level '!$E$11:$I$11)</c:f>
              <c:numCache>
                <c:formatCode>"£"#,##0</c:formatCode>
                <c:ptCount val="6"/>
                <c:pt idx="0">
                  <c:v>65000</c:v>
                </c:pt>
                <c:pt idx="1">
                  <c:v>61750</c:v>
                </c:pt>
                <c:pt idx="2">
                  <c:v>59800</c:v>
                </c:pt>
                <c:pt idx="3">
                  <c:v>57850</c:v>
                </c:pt>
                <c:pt idx="4">
                  <c:v>52000</c:v>
                </c:pt>
                <c:pt idx="5">
                  <c:v>52000</c:v>
                </c:pt>
              </c:numCache>
            </c:numRef>
          </c:val>
          <c:extLst>
            <c:ext xmlns:c16="http://schemas.microsoft.com/office/drawing/2014/chart" uri="{C3380CC4-5D6E-409C-BE32-E72D297353CC}">
              <c16:uniqueId val="{00000001-10A6-409A-BF65-9642C901BAE5}"/>
            </c:ext>
          </c:extLst>
        </c:ser>
        <c:ser>
          <c:idx val="2"/>
          <c:order val="2"/>
          <c:tx>
            <c:strRef>
              <c:f>'Annual WLC by Maturity Level '!$A$12:$B$12</c:f>
              <c:strCache>
                <c:ptCount val="2"/>
                <c:pt idx="0">
                  <c:v>Asset Risk Crossrail</c:v>
                </c:pt>
                <c:pt idx="1">
                  <c:v>Other</c:v>
                </c:pt>
              </c:strCache>
            </c:strRef>
          </c:tx>
          <c:spPr>
            <a:solidFill>
              <a:schemeClr val="accent4"/>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'!$C$12,'Annual WLC by Maturity Level '!$E$12:$I$12)</c:f>
              <c:numCache>
                <c:formatCode>"£"#,##0</c:formatCode>
                <c:ptCount val="6"/>
                <c:pt idx="0">
                  <c:v>5000</c:v>
                </c:pt>
                <c:pt idx="1">
                  <c:v>4750</c:v>
                </c:pt>
                <c:pt idx="2">
                  <c:v>4600</c:v>
                </c:pt>
                <c:pt idx="3">
                  <c:v>4450</c:v>
                </c:pt>
                <c:pt idx="4">
                  <c:v>4000</c:v>
                </c:pt>
                <c:pt idx="5">
                  <c:v>4000</c:v>
                </c:pt>
              </c:numCache>
            </c:numRef>
          </c:val>
          <c:extLst>
            <c:ext xmlns:c16="http://schemas.microsoft.com/office/drawing/2014/chart" uri="{C3380CC4-5D6E-409C-BE32-E72D297353CC}">
              <c16:uniqueId val="{00000002-10A6-409A-BF65-9642C901BAE5}"/>
            </c:ext>
          </c:extLst>
        </c:ser>
        <c:ser>
          <c:idx val="3"/>
          <c:order val="3"/>
          <c:tx>
            <c:strRef>
              <c:f>'Annual WLC by Maturity Level '!$A$13:$B$13</c:f>
              <c:strCache>
                <c:ptCount val="2"/>
                <c:pt idx="0">
                  <c:v>Asset Risk NR Western</c:v>
                </c:pt>
                <c:pt idx="1">
                  <c:v>Safety</c:v>
                </c:pt>
              </c:strCache>
            </c:strRef>
          </c:tx>
          <c:spPr>
            <a:solidFill>
              <a:schemeClr val="accent6">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'!$C$13,'Annual WLC by Maturity Level '!$E$13:$I$13)</c:f>
              <c:numCache>
                <c:formatCode>"£"#,##0</c:formatCode>
                <c:ptCount val="6"/>
                <c:pt idx="0">
                  <c:v>178355.6</c:v>
                </c:pt>
                <c:pt idx="1">
                  <c:v>169437.82</c:v>
                </c:pt>
                <c:pt idx="2">
                  <c:v>164087.152</c:v>
                </c:pt>
                <c:pt idx="3">
                  <c:v>158736.484</c:v>
                </c:pt>
                <c:pt idx="4">
                  <c:v>142684.48000000001</c:v>
                </c:pt>
                <c:pt idx="5">
                  <c:v>142684.48000000001</c:v>
                </c:pt>
              </c:numCache>
            </c:numRef>
          </c:val>
          <c:extLst>
            <c:ext xmlns:c16="http://schemas.microsoft.com/office/drawing/2014/chart" uri="{C3380CC4-5D6E-409C-BE32-E72D297353CC}">
              <c16:uniqueId val="{00000003-10A6-409A-BF65-9642C901BAE5}"/>
            </c:ext>
          </c:extLst>
        </c:ser>
        <c:ser>
          <c:idx val="4"/>
          <c:order val="4"/>
          <c:tx>
            <c:strRef>
              <c:f>'Annual WLC by Maturity Level '!$A$14:$B$14</c:f>
              <c:strCache>
                <c:ptCount val="2"/>
                <c:pt idx="0">
                  <c:v>Asset Risk NR Western</c:v>
                </c:pt>
                <c:pt idx="1">
                  <c:v>Service</c:v>
                </c:pt>
              </c:strCache>
            </c:strRef>
          </c:tx>
          <c:spPr>
            <a:solidFill>
              <a:schemeClr val="accent5">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'!$C$14,'Annual WLC by Maturity Level '!$E$14:$I$14)</c:f>
              <c:numCache>
                <c:formatCode>"£"#,##0</c:formatCode>
                <c:ptCount val="6"/>
                <c:pt idx="0">
                  <c:v>306000</c:v>
                </c:pt>
                <c:pt idx="1">
                  <c:v>290700</c:v>
                </c:pt>
                <c:pt idx="2">
                  <c:v>281520</c:v>
                </c:pt>
                <c:pt idx="3">
                  <c:v>272340</c:v>
                </c:pt>
                <c:pt idx="4">
                  <c:v>244800</c:v>
                </c:pt>
                <c:pt idx="5">
                  <c:v>244800</c:v>
                </c:pt>
              </c:numCache>
            </c:numRef>
          </c:val>
          <c:extLst>
            <c:ext xmlns:c16="http://schemas.microsoft.com/office/drawing/2014/chart" uri="{C3380CC4-5D6E-409C-BE32-E72D297353CC}">
              <c16:uniqueId val="{00000004-10A6-409A-BF65-9642C901BAE5}"/>
            </c:ext>
          </c:extLst>
        </c:ser>
        <c:ser>
          <c:idx val="5"/>
          <c:order val="5"/>
          <c:tx>
            <c:strRef>
              <c:f>'Annual WLC by Maturity Level '!$A$15:$B$15</c:f>
              <c:strCache>
                <c:ptCount val="2"/>
                <c:pt idx="0">
                  <c:v>Asset Risk NR Western</c:v>
                </c:pt>
                <c:pt idx="1">
                  <c:v>Other</c:v>
                </c:pt>
              </c:strCache>
            </c:strRef>
          </c:tx>
          <c:spPr>
            <a:solidFill>
              <a:schemeClr val="accent4">
                <a:lumMod val="6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'!$C$15,'Annual WLC by Maturity Level '!$E$15:$I$15)</c:f>
              <c:numCache>
                <c:formatCode>"£"#,##0</c:formatCode>
                <c:ptCount val="6"/>
                <c:pt idx="0">
                  <c:v>30000</c:v>
                </c:pt>
                <c:pt idx="1">
                  <c:v>28500</c:v>
                </c:pt>
                <c:pt idx="2">
                  <c:v>27600</c:v>
                </c:pt>
                <c:pt idx="3">
                  <c:v>26700</c:v>
                </c:pt>
                <c:pt idx="4">
                  <c:v>24000</c:v>
                </c:pt>
                <c:pt idx="5">
                  <c:v>24000</c:v>
                </c:pt>
              </c:numCache>
            </c:numRef>
          </c:val>
          <c:extLst>
            <c:ext xmlns:c16="http://schemas.microsoft.com/office/drawing/2014/chart" uri="{C3380CC4-5D6E-409C-BE32-E72D297353CC}">
              <c16:uniqueId val="{00000005-10A6-409A-BF65-9642C901BAE5}"/>
            </c:ext>
          </c:extLst>
        </c:ser>
        <c:ser>
          <c:idx val="6"/>
          <c:order val="6"/>
          <c:tx>
            <c:strRef>
              <c:f>'Annual WLC by Maturity Level '!$A$16:$B$16</c:f>
              <c:strCache>
                <c:ptCount val="2"/>
                <c:pt idx="0">
                  <c:v>Asset Risk Balfour Beatty</c:v>
                </c:pt>
                <c:pt idx="1">
                  <c:v>Safety</c:v>
                </c:pt>
              </c:strCache>
            </c:strRef>
          </c:tx>
          <c:spPr>
            <a:solidFill>
              <a:schemeClr val="accent6">
                <a:lumMod val="80000"/>
                <a:lumOff val="2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'!$C$16,'Annual WLC by Maturity Level '!$E$16:$I$16)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10A6-409A-BF65-9642C901BAE5}"/>
            </c:ext>
          </c:extLst>
        </c:ser>
        <c:ser>
          <c:idx val="7"/>
          <c:order val="7"/>
          <c:tx>
            <c:strRef>
              <c:f>'Annual WLC by Maturity Level '!$A$17:$B$17</c:f>
              <c:strCache>
                <c:ptCount val="2"/>
                <c:pt idx="0">
                  <c:v>Asset Risk Balfour Beatty</c:v>
                </c:pt>
                <c:pt idx="1">
                  <c:v>Service</c:v>
                </c:pt>
              </c:strCache>
            </c:strRef>
          </c:tx>
          <c:spPr>
            <a:solidFill>
              <a:schemeClr val="accent5">
                <a:lumMod val="80000"/>
                <a:lumOff val="2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'!$C$17,'Annual WLC by Maturity Level '!$E$17:$I$17)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7-10A6-409A-BF65-9642C901BAE5}"/>
            </c:ext>
          </c:extLst>
        </c:ser>
        <c:ser>
          <c:idx val="8"/>
          <c:order val="8"/>
          <c:tx>
            <c:strRef>
              <c:f>'Annual WLC by Maturity Level '!$A$18:$B$18</c:f>
              <c:strCache>
                <c:ptCount val="2"/>
                <c:pt idx="0">
                  <c:v>Asset Risk Balfour Beatty</c:v>
                </c:pt>
                <c:pt idx="1">
                  <c:v>Other</c:v>
                </c:pt>
              </c:strCache>
            </c:strRef>
          </c:tx>
          <c:spPr>
            <a:solidFill>
              <a:srgbClr val="9983B5"/>
            </a:solidFill>
            <a:ln>
              <a:noFill/>
            </a:ln>
            <a:effectLst/>
          </c:spPr>
          <c:invertIfNegative val="1"/>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'!$C$18,'Annual WLC by Maturity Level '!$E$18:$I$18)</c:f>
              <c:numCache>
                <c:formatCode>"£"#,##0</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8-10A6-409A-BF65-9642C901BAE5}"/>
            </c:ext>
          </c:extLst>
        </c:ser>
        <c:ser>
          <c:idx val="9"/>
          <c:order val="9"/>
          <c:tx>
            <c:strRef>
              <c:f>'Annual WLC by Maturity Level '!$A$19:$B$19</c:f>
              <c:strCache>
                <c:ptCount val="2"/>
                <c:pt idx="0">
                  <c:v>Asset Risk RSSB</c:v>
                </c:pt>
                <c:pt idx="1">
                  <c:v>Safety</c:v>
                </c:pt>
              </c:strCache>
            </c:strRef>
          </c:tx>
          <c:spPr>
            <a:solidFill>
              <a:schemeClr val="accent6">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'!$C$19,'Annual WLC by Maturity Level '!$E$19:$I$19)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9-10A6-409A-BF65-9642C901BAE5}"/>
            </c:ext>
          </c:extLst>
        </c:ser>
        <c:ser>
          <c:idx val="10"/>
          <c:order val="10"/>
          <c:tx>
            <c:strRef>
              <c:f>'Annual WLC by Maturity Level '!$A$20:$B$20</c:f>
              <c:strCache>
                <c:ptCount val="2"/>
                <c:pt idx="0">
                  <c:v>Asset Risk RSSB</c:v>
                </c:pt>
                <c:pt idx="1">
                  <c:v>Service</c:v>
                </c:pt>
              </c:strCache>
            </c:strRef>
          </c:tx>
          <c:spPr>
            <a:solidFill>
              <a:schemeClr val="accent5">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'!$C$20,'Annual WLC by Maturity Level '!$E$20:$I$20)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10A6-409A-BF65-9642C901BAE5}"/>
            </c:ext>
          </c:extLst>
        </c:ser>
        <c:ser>
          <c:idx val="11"/>
          <c:order val="11"/>
          <c:tx>
            <c:strRef>
              <c:f>'Annual WLC by Maturity Level '!$A$21:$B$21</c:f>
              <c:strCache>
                <c:ptCount val="2"/>
                <c:pt idx="0">
                  <c:v>Asset Risk RSSB</c:v>
                </c:pt>
                <c:pt idx="1">
                  <c:v>Other</c:v>
                </c:pt>
              </c:strCache>
            </c:strRef>
          </c:tx>
          <c:spPr>
            <a:solidFill>
              <a:schemeClr val="accent4">
                <a:lumMod val="8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'!$C$21,'Annual WLC by Maturity Level '!$E$21:$I$21)</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B-10A6-409A-BF65-9642C901BAE5}"/>
            </c:ext>
          </c:extLst>
        </c:ser>
        <c:ser>
          <c:idx val="12"/>
          <c:order val="12"/>
          <c:tx>
            <c:strRef>
              <c:f>'Annual WLC by Maturity Level '!$A$22:$B$22</c:f>
              <c:strCache>
                <c:ptCount val="2"/>
                <c:pt idx="0">
                  <c:v>Asset Whole Life Costs</c:v>
                </c:pt>
                <c:pt idx="1">
                  <c:v>Crossrail</c:v>
                </c:pt>
              </c:strCache>
            </c:strRef>
          </c:tx>
          <c:spPr>
            <a:solidFill>
              <a:schemeClr val="accent6">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'!$C$22,'Annual WLC by Maturity Level '!$E$22:$I$22)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10A6-409A-BF65-9642C901BAE5}"/>
            </c:ext>
          </c:extLst>
        </c:ser>
        <c:ser>
          <c:idx val="13"/>
          <c:order val="13"/>
          <c:tx>
            <c:strRef>
              <c:f>'Annual WLC by Maturity Level '!$A$23:$B$23</c:f>
              <c:strCache>
                <c:ptCount val="2"/>
                <c:pt idx="0">
                  <c:v>Asset Whole Life Costs</c:v>
                </c:pt>
                <c:pt idx="1">
                  <c:v>NR Western</c:v>
                </c:pt>
              </c:strCache>
            </c:strRef>
          </c:tx>
          <c:spPr>
            <a:solidFill>
              <a:schemeClr val="accent5">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'!$C$23,'Annual WLC by Maturity Level '!$E$23:$I$23)</c:f>
              <c:numCache>
                <c:formatCode>"£"#,##0</c:formatCode>
                <c:ptCount val="6"/>
                <c:pt idx="0">
                  <c:v>9350000</c:v>
                </c:pt>
                <c:pt idx="1">
                  <c:v>9350000</c:v>
                </c:pt>
                <c:pt idx="2">
                  <c:v>9163000</c:v>
                </c:pt>
                <c:pt idx="3">
                  <c:v>9069500</c:v>
                </c:pt>
                <c:pt idx="4">
                  <c:v>8882500</c:v>
                </c:pt>
                <c:pt idx="5">
                  <c:v>8415000</c:v>
                </c:pt>
              </c:numCache>
            </c:numRef>
          </c:val>
          <c:extLst>
            <c:ext xmlns:c16="http://schemas.microsoft.com/office/drawing/2014/chart" uri="{C3380CC4-5D6E-409C-BE32-E72D297353CC}">
              <c16:uniqueId val="{0000000D-10A6-409A-BF65-9642C901BAE5}"/>
            </c:ext>
          </c:extLst>
        </c:ser>
        <c:ser>
          <c:idx val="14"/>
          <c:order val="14"/>
          <c:tx>
            <c:strRef>
              <c:f>'Annual WLC by Maturity Level '!$A$24:$B$24</c:f>
              <c:strCache>
                <c:ptCount val="2"/>
                <c:pt idx="0">
                  <c:v>Asset Whole Life Costs</c:v>
                </c:pt>
                <c:pt idx="1">
                  <c:v>Balfour Beatty</c:v>
                </c:pt>
              </c:strCache>
            </c:strRef>
          </c:tx>
          <c:spPr>
            <a:solidFill>
              <a:schemeClr val="accent4">
                <a:lumMod val="60000"/>
                <a:lumOff val="4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'!$C$24,'Annual WLC by Maturity Level '!$E$24:$I$24)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E-10A6-409A-BF65-9642C901BAE5}"/>
            </c:ext>
          </c:extLst>
        </c:ser>
        <c:ser>
          <c:idx val="15"/>
          <c:order val="15"/>
          <c:tx>
            <c:strRef>
              <c:f>'Annual WLC by Maturity Level '!$A$25:$B$25</c:f>
              <c:strCache>
                <c:ptCount val="2"/>
                <c:pt idx="0">
                  <c:v>Asset Whole Life Costs</c:v>
                </c:pt>
                <c:pt idx="1">
                  <c:v>RSSB</c:v>
                </c:pt>
              </c:strCache>
            </c:strRef>
          </c:tx>
          <c:spPr>
            <a:solidFill>
              <a:schemeClr val="accent6">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'!$C$25,'Annual WLC by Maturity Level '!$E$25:$I$25)</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F-10A6-409A-BF65-9642C901BAE5}"/>
            </c:ext>
          </c:extLst>
        </c:ser>
        <c:ser>
          <c:idx val="16"/>
          <c:order val="16"/>
          <c:tx>
            <c:strRef>
              <c:f>'Annual WLC by Maturity Level '!$A$26:$B$26</c:f>
              <c:strCache>
                <c:ptCount val="2"/>
                <c:pt idx="0">
                  <c:v>RCM Crossrail</c:v>
                </c:pt>
                <c:pt idx="1">
                  <c:v>Service Risk</c:v>
                </c:pt>
              </c:strCache>
            </c:strRef>
          </c:tx>
          <c:spPr>
            <a:solidFill>
              <a:schemeClr val="accent5">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'!$C$26,'Annual WLC by Maturity Level '!$E$26:$I$26)</c:f>
              <c:numCache>
                <c:formatCode>"£"#,##0</c:formatCode>
                <c:ptCount val="6"/>
                <c:pt idx="0">
                  <c:v>6.75</c:v>
                </c:pt>
                <c:pt idx="1">
                  <c:v>6.75</c:v>
                </c:pt>
                <c:pt idx="2">
                  <c:v>6.75</c:v>
                </c:pt>
                <c:pt idx="3">
                  <c:v>6.75</c:v>
                </c:pt>
                <c:pt idx="4">
                  <c:v>6.75</c:v>
                </c:pt>
                <c:pt idx="5">
                  <c:v>6.75</c:v>
                </c:pt>
              </c:numCache>
            </c:numRef>
          </c:val>
          <c:extLst>
            <c:ext xmlns:c16="http://schemas.microsoft.com/office/drawing/2014/chart" uri="{C3380CC4-5D6E-409C-BE32-E72D297353CC}">
              <c16:uniqueId val="{00000010-10A6-409A-BF65-9642C901BAE5}"/>
            </c:ext>
          </c:extLst>
        </c:ser>
        <c:ser>
          <c:idx val="17"/>
          <c:order val="17"/>
          <c:tx>
            <c:strRef>
              <c:f>'Annual WLC by Maturity Level '!$A$27:$B$27</c:f>
              <c:strCache>
                <c:ptCount val="2"/>
                <c:pt idx="0">
                  <c:v>RCM Crossrail</c:v>
                </c:pt>
                <c:pt idx="1">
                  <c:v>Whole Life Cost</c:v>
                </c:pt>
              </c:strCache>
            </c:strRef>
          </c:tx>
          <c:spPr>
            <a:solidFill>
              <a:schemeClr val="accent4">
                <a:lumMod val="5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'!$C$27,'Annual WLC by Maturity Level '!$E$27:$I$27)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1-10A6-409A-BF65-9642C901BAE5}"/>
            </c:ext>
          </c:extLst>
        </c:ser>
        <c:ser>
          <c:idx val="18"/>
          <c:order val="18"/>
          <c:tx>
            <c:strRef>
              <c:f>'Annual WLC by Maturity Level '!$A$28:$B$28</c:f>
              <c:strCache>
                <c:ptCount val="2"/>
                <c:pt idx="0">
                  <c:v>RCM NR Western</c:v>
                </c:pt>
                <c:pt idx="1">
                  <c:v>Service Risk</c:v>
                </c:pt>
              </c:strCache>
            </c:strRef>
          </c:tx>
          <c:spPr>
            <a:solidFill>
              <a:schemeClr val="accent6">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'!$C$28,'Annual WLC by Maturity Level '!$E$28:$I$28)</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2-10A6-409A-BF65-9642C901BAE5}"/>
            </c:ext>
          </c:extLst>
        </c:ser>
        <c:ser>
          <c:idx val="19"/>
          <c:order val="19"/>
          <c:tx>
            <c:strRef>
              <c:f>'Annual WLC by Maturity Level '!$A$29:$B$29</c:f>
              <c:strCache>
                <c:ptCount val="2"/>
                <c:pt idx="0">
                  <c:v>RCM NR Western</c:v>
                </c:pt>
                <c:pt idx="1">
                  <c:v>Whole Life Cost</c:v>
                </c:pt>
              </c:strCache>
            </c:strRef>
          </c:tx>
          <c:spPr>
            <a:solidFill>
              <a:schemeClr val="accent5">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'!$C$29,'Annual WLC by Maturity Level '!$E$29:$I$29)</c:f>
              <c:numCache>
                <c:formatCode>"£"#,##0</c:formatCode>
                <c:ptCount val="6"/>
                <c:pt idx="0">
                  <c:v>15000</c:v>
                </c:pt>
                <c:pt idx="1">
                  <c:v>27500</c:v>
                </c:pt>
                <c:pt idx="2">
                  <c:v>37790</c:v>
                </c:pt>
                <c:pt idx="3">
                  <c:v>41150</c:v>
                </c:pt>
                <c:pt idx="4">
                  <c:v>50810</c:v>
                </c:pt>
                <c:pt idx="5">
                  <c:v>59000</c:v>
                </c:pt>
              </c:numCache>
            </c:numRef>
          </c:val>
          <c:extLst>
            <c:ext xmlns:c16="http://schemas.microsoft.com/office/drawing/2014/chart" uri="{C3380CC4-5D6E-409C-BE32-E72D297353CC}">
              <c16:uniqueId val="{00000013-10A6-409A-BF65-9642C901BAE5}"/>
            </c:ext>
          </c:extLst>
        </c:ser>
        <c:ser>
          <c:idx val="20"/>
          <c:order val="20"/>
          <c:tx>
            <c:strRef>
              <c:f>'Annual WLC by Maturity Level '!$A$30:$B$30</c:f>
              <c:strCache>
                <c:ptCount val="2"/>
                <c:pt idx="0">
                  <c:v>RCM Balfour Beatty</c:v>
                </c:pt>
                <c:pt idx="1">
                  <c:v>Service Risk</c:v>
                </c:pt>
              </c:strCache>
            </c:strRef>
          </c:tx>
          <c:spPr>
            <a:solidFill>
              <a:schemeClr val="accent4">
                <a:lumMod val="70000"/>
                <a:lumOff val="3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'!$C$30,'Annual WLC by Maturity Level '!$E$30:$I$30)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4-10A6-409A-BF65-9642C901BAE5}"/>
            </c:ext>
          </c:extLst>
        </c:ser>
        <c:ser>
          <c:idx val="21"/>
          <c:order val="21"/>
          <c:tx>
            <c:strRef>
              <c:f>'Annual WLC by Maturity Level '!$A$31:$B$31</c:f>
              <c:strCache>
                <c:ptCount val="2"/>
                <c:pt idx="0">
                  <c:v>RCM Balfour Beatty</c:v>
                </c:pt>
                <c:pt idx="1">
                  <c:v>Whole Life Cost</c:v>
                </c:pt>
              </c:strCache>
            </c:strRef>
          </c:tx>
          <c:spPr>
            <a:solidFill>
              <a:schemeClr val="accent6">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'!$C$31,'Annual WLC by Maturity Level '!$E$31:$I$31)</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5-10A6-409A-BF65-9642C901BAE5}"/>
            </c:ext>
          </c:extLst>
        </c:ser>
        <c:ser>
          <c:idx val="22"/>
          <c:order val="22"/>
          <c:tx>
            <c:strRef>
              <c:f>'Annual WLC by Maturity Level '!$A$32:$B$32</c:f>
              <c:strCache>
                <c:ptCount val="2"/>
                <c:pt idx="0">
                  <c:v>RCM RSSB</c:v>
                </c:pt>
                <c:pt idx="1">
                  <c:v>Service Risk</c:v>
                </c:pt>
              </c:strCache>
            </c:strRef>
          </c:tx>
          <c:spPr>
            <a:solidFill>
              <a:schemeClr val="accent5">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'!$C$32,'Annual WLC by Maturity Level '!$E$32:$I$32)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6-10A6-409A-BF65-9642C901BAE5}"/>
            </c:ext>
          </c:extLst>
        </c:ser>
        <c:ser>
          <c:idx val="23"/>
          <c:order val="23"/>
          <c:tx>
            <c:strRef>
              <c:f>'Annual WLC by Maturity Level '!$A$33:$B$33</c:f>
              <c:strCache>
                <c:ptCount val="2"/>
                <c:pt idx="0">
                  <c:v>RCM RSSB</c:v>
                </c:pt>
                <c:pt idx="1">
                  <c:v>Whole Life Cost</c:v>
                </c:pt>
              </c:strCache>
            </c:strRef>
          </c:tx>
          <c:spPr>
            <a:solidFill>
              <a:schemeClr val="accent4">
                <a:lumMod val="70000"/>
              </a:schemeClr>
            </a:solidFill>
            <a:ln>
              <a:noFill/>
            </a:ln>
            <a:effectLst/>
          </c:spPr>
          <c:invertIfNegative val="0"/>
          <c:cat>
            <c:strRef>
              <c:f>('Annual WLC by Maturity Level '!$C$9,'Annual WLC by Maturity Level '!$E$9:$I$9)</c:f>
              <c:strCache>
                <c:ptCount val="6"/>
                <c:pt idx="0">
                  <c:v>Current</c:v>
                </c:pt>
                <c:pt idx="1">
                  <c:v>SD</c:v>
                </c:pt>
                <c:pt idx="2">
                  <c:v>HA1</c:v>
                </c:pt>
                <c:pt idx="3">
                  <c:v>HA2</c:v>
                </c:pt>
                <c:pt idx="4">
                  <c:v>PA</c:v>
                </c:pt>
                <c:pt idx="5">
                  <c:v>AG</c:v>
                </c:pt>
              </c:strCache>
            </c:strRef>
          </c:cat>
          <c:val>
            <c:numRef>
              <c:f>('Annual WLC by Maturity Level '!$C$33,'Annual WLC by Maturity Level '!$E$33:$I$33)</c:f>
              <c:numCache>
                <c:formatCode>"£"#,##0</c:formatCode>
                <c:ptCount val="6"/>
                <c:pt idx="0">
                  <c:v>0</c:v>
                </c:pt>
                <c:pt idx="1">
                  <c:v>12500</c:v>
                </c:pt>
                <c:pt idx="2">
                  <c:v>16910</c:v>
                </c:pt>
                <c:pt idx="3">
                  <c:v>18350</c:v>
                </c:pt>
                <c:pt idx="4">
                  <c:v>22490</c:v>
                </c:pt>
                <c:pt idx="5">
                  <c:v>26000</c:v>
                </c:pt>
              </c:numCache>
            </c:numRef>
          </c:val>
          <c:extLst>
            <c:ext xmlns:c16="http://schemas.microsoft.com/office/drawing/2014/chart" uri="{C3380CC4-5D6E-409C-BE32-E72D297353CC}">
              <c16:uniqueId val="{00000017-10A6-409A-BF65-9642C901BAE5}"/>
            </c:ext>
          </c:extLst>
        </c:ser>
        <c:dLbls>
          <c:showLegendKey val="0"/>
          <c:showVal val="0"/>
          <c:showCatName val="0"/>
          <c:showSerName val="0"/>
          <c:showPercent val="0"/>
          <c:showBubbleSize val="0"/>
        </c:dLbls>
        <c:gapWidth val="150"/>
        <c:overlap val="100"/>
        <c:axId val="118281592"/>
        <c:axId val="118277280"/>
      </c:barChart>
      <c:catAx>
        <c:axId val="118281592"/>
        <c:scaling>
          <c:orientation val="minMax"/>
        </c:scaling>
        <c:delete val="0"/>
        <c:axPos val="b"/>
        <c:numFmt formatCode="General"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375" b="0" i="0" u="none" strike="noStrike" kern="1200" baseline="0">
                <a:solidFill>
                  <a:srgbClr val="000000"/>
                </a:solidFill>
                <a:latin typeface="Calibri"/>
                <a:ea typeface="Calibri"/>
                <a:cs typeface="Calibri"/>
              </a:defRPr>
            </a:pPr>
            <a:endParaRPr lang="en-US"/>
          </a:p>
        </c:txPr>
        <c:crossAx val="118277280"/>
        <c:crosses val="autoZero"/>
        <c:auto val="1"/>
        <c:lblAlgn val="ctr"/>
        <c:lblOffset val="100"/>
        <c:tickLblSkip val="1"/>
        <c:tickMarkSkip val="1"/>
        <c:noMultiLvlLbl val="0"/>
      </c:catAx>
      <c:valAx>
        <c:axId val="118277280"/>
        <c:scaling>
          <c:orientation val="minMax"/>
        </c:scaling>
        <c:delete val="0"/>
        <c:axPos val="l"/>
        <c:majorGridlines>
          <c:spPr>
            <a:ln w="12700" cap="flat" cmpd="sng" algn="ctr">
              <a:solidFill>
                <a:srgbClr val="C0C0C0"/>
              </a:solidFill>
              <a:prstDash val="solid"/>
              <a:round/>
            </a:ln>
            <a:effectLst/>
          </c:spPr>
        </c:majorGridlines>
        <c:title>
          <c:tx>
            <c:rich>
              <a:bodyPr rot="-5400000" spcFirstLastPara="1" vertOverflow="ellipsis" vert="horz" wrap="square" anchor="ctr" anchorCtr="1"/>
              <a:lstStyle/>
              <a:p>
                <a:pPr>
                  <a:defRPr sz="1575" b="0" i="0" u="none" strike="noStrike" kern="1200" baseline="0">
                    <a:solidFill>
                      <a:srgbClr val="000000"/>
                    </a:solidFill>
                    <a:latin typeface="Calibri"/>
                    <a:ea typeface="Calibri"/>
                    <a:cs typeface="Calibri"/>
                  </a:defRPr>
                </a:pPr>
                <a:r>
                  <a:rPr lang="en-GB"/>
                  <a:t>Equivalent Annual Value (£)</a:t>
                </a:r>
              </a:p>
            </c:rich>
          </c:tx>
          <c:layout>
            <c:manualLayout>
              <c:xMode val="edge"/>
              <c:yMode val="edge"/>
              <c:x val="0"/>
              <c:y val="0.29152542372881357"/>
            </c:manualLayout>
          </c:layout>
          <c:overlay val="0"/>
          <c:spPr>
            <a:noFill/>
            <a:ln w="25400">
              <a:noFill/>
            </a:ln>
            <a:effectLst/>
          </c:spPr>
          <c:txPr>
            <a:bodyPr rot="-5400000" spcFirstLastPara="1" vertOverflow="ellipsis" vert="horz" wrap="square" anchor="ctr" anchorCtr="1"/>
            <a:lstStyle/>
            <a:p>
              <a:pPr>
                <a:defRPr sz="1575" b="0" i="0" u="none" strike="noStrike" kern="1200" baseline="0">
                  <a:solidFill>
                    <a:srgbClr val="000000"/>
                  </a:solidFill>
                  <a:latin typeface="Calibri"/>
                  <a:ea typeface="Calibri"/>
                  <a:cs typeface="Calibri"/>
                </a:defRPr>
              </a:pPr>
              <a:endParaRPr lang="en-US"/>
            </a:p>
          </c:txPr>
        </c:title>
        <c:numFmt formatCode="&quot;£&quot;#,##0" sourceLinked="1"/>
        <c:majorTickMark val="out"/>
        <c:minorTickMark val="none"/>
        <c:tickLblPos val="nextTo"/>
        <c:spPr>
          <a:noFill/>
          <a:ln w="3175" cap="flat" cmpd="sng" algn="ctr">
            <a:solidFill>
              <a:srgbClr val="000000"/>
            </a:solidFill>
            <a:prstDash val="solid"/>
            <a:round/>
          </a:ln>
          <a:effectLst/>
        </c:spPr>
        <c:txPr>
          <a:bodyPr rot="0" spcFirstLastPara="1" vertOverflow="ellipsis" wrap="square" anchor="ctr" anchorCtr="1"/>
          <a:lstStyle/>
          <a:p>
            <a:pPr>
              <a:defRPr sz="1175" b="0" i="0" u="none" strike="noStrike" kern="1200" baseline="0">
                <a:solidFill>
                  <a:srgbClr val="000000"/>
                </a:solidFill>
                <a:latin typeface="Calibri"/>
                <a:ea typeface="Calibri"/>
                <a:cs typeface="Calibri"/>
              </a:defRPr>
            </a:pPr>
            <a:endParaRPr lang="en-US"/>
          </a:p>
        </c:txPr>
        <c:crossAx val="118281592"/>
        <c:crosses val="autoZero"/>
        <c:crossBetween val="between"/>
      </c:valAx>
      <c:spPr>
        <a:gradFill rotWithShape="0">
          <a:gsLst>
            <a:gs pos="0">
              <a:srgbClr xmlns:mc="http://schemas.openxmlformats.org/markup-compatibility/2006" xmlns:a14="http://schemas.microsoft.com/office/drawing/2010/main" val="FFFFFF" mc:Ignorable="a14" a14:legacySpreadsheetColorIndex="55">
                <a:gamma/>
                <a:tint val="0"/>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a:effectLst/>
      </c:spPr>
    </c:plotArea>
    <c:legend>
      <c:legendPos val="r"/>
      <c:layout>
        <c:manualLayout>
          <c:xMode val="edge"/>
          <c:yMode val="edge"/>
          <c:x val="0.79768627163590078"/>
          <c:y val="1.7874282663819571E-2"/>
          <c:w val="0.17832927554169481"/>
          <c:h val="0.9713738155611904"/>
        </c:manualLayout>
      </c:layout>
      <c:overlay val="0"/>
      <c:spPr>
        <a:solidFill>
          <a:srgbClr val="FFFFFF"/>
        </a:solidFill>
        <a:ln w="3175">
          <a:solidFill>
            <a:srgbClr val="C0C0C0"/>
          </a:solidFill>
          <a:prstDash val="solid"/>
        </a:ln>
        <a:effectLst/>
      </c:spPr>
      <c:txPr>
        <a:bodyPr rot="0" spcFirstLastPara="1" vertOverflow="ellipsis" vert="horz" wrap="square" anchor="ctr" anchorCtr="1"/>
        <a:lstStyle/>
        <a:p>
          <a:pPr rtl="0">
            <a:defRPr sz="1010" b="0" i="0" u="none" strike="noStrike" kern="1200" baseline="0">
              <a:solidFill>
                <a:srgbClr val="000000"/>
              </a:solidFill>
              <a:latin typeface="Calibri"/>
              <a:ea typeface="Calibri"/>
              <a:cs typeface="Calibri"/>
            </a:defRPr>
          </a:pPr>
          <a:endParaRPr lang="en-US"/>
        </a:p>
      </c:txPr>
    </c:legend>
    <c:plotVisOnly val="1"/>
    <c:dispBlanksAs val="gap"/>
    <c:showDLblsOverMax val="0"/>
  </c:chart>
  <c:spPr>
    <a:noFill/>
    <a:ln w="9525" cap="flat" cmpd="sng" algn="ctr">
      <a:noFill/>
      <a:prstDash val="solid"/>
      <a:round/>
    </a:ln>
    <a:effectLst/>
  </c:spPr>
  <c:txPr>
    <a:bodyPr/>
    <a:lstStyle/>
    <a:p>
      <a:pPr>
        <a:defRPr sz="1400" b="0" i="0" u="none" strike="noStrike" baseline="0">
          <a:solidFill>
            <a:srgbClr val="000000"/>
          </a:solidFill>
          <a:latin typeface="Calibri"/>
          <a:ea typeface="Calibri"/>
          <a:cs typeface="Calibri"/>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RCM Toolkit
Net Whole Life Cash Flow (Contribution by Maturity Level)</a:t>
            </a:r>
          </a:p>
        </c:rich>
      </c:tx>
      <c:layout>
        <c:manualLayout>
          <c:xMode val="edge"/>
          <c:yMode val="edge"/>
          <c:x val="0.19751809720785937"/>
          <c:y val="2.0338983050847456E-2"/>
        </c:manualLayout>
      </c:layout>
      <c:overlay val="0"/>
      <c:spPr>
        <a:noFill/>
        <a:ln w="25400">
          <a:noFill/>
        </a:ln>
      </c:spPr>
    </c:title>
    <c:autoTitleDeleted val="0"/>
    <c:view3D>
      <c:rotX val="0"/>
      <c:hPercent val="80"/>
      <c:rotY val="360"/>
      <c:depthPercent val="100"/>
      <c:rAngAx val="0"/>
      <c:perspective val="0"/>
    </c:view3D>
    <c:floor>
      <c:thickness val="0"/>
      <c:spPr>
        <a:solidFill>
          <a:srgbClr val="C0C0C0"/>
        </a:solidFill>
        <a:ln w="3175">
          <a:solidFill>
            <a:srgbClr val="000000"/>
          </a:solidFill>
          <a:prstDash val="solid"/>
        </a:ln>
      </c:spPr>
    </c:floor>
    <c:sideWall>
      <c:thickness val="0"/>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sideWall>
    <c:backWall>
      <c:thickness val="0"/>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backWall>
    <c:plotArea>
      <c:layout>
        <c:manualLayout>
          <c:layoutTarget val="inner"/>
          <c:xMode val="edge"/>
          <c:yMode val="edge"/>
          <c:x val="0.14167528438469493"/>
          <c:y val="2.2033898305084745E-2"/>
          <c:w val="0.7580144777662875"/>
          <c:h val="0.82711864406779656"/>
        </c:manualLayout>
      </c:layout>
      <c:bar3DChart>
        <c:barDir val="col"/>
        <c:grouping val="standard"/>
        <c:varyColors val="0"/>
        <c:ser>
          <c:idx val="0"/>
          <c:order val="0"/>
          <c:tx>
            <c:strRef>
              <c:f>'Total-CF'!$A$10</c:f>
              <c:strCache>
                <c:ptCount val="1"/>
                <c:pt idx="0">
                  <c:v>SD</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'Total-CF'!$B$8:$AA$8</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'Total-CF'!$B$10:$AA$10</c:f>
              <c:numCache>
                <c:formatCode>"£"#,##0;[Red]\("£"#,##0\)</c:formatCode>
                <c:ptCount val="26"/>
                <c:pt idx="0">
                  <c:v>-32891.109999999404</c:v>
                </c:pt>
                <c:pt idx="1">
                  <c:v>-30782.219999998808</c:v>
                </c:pt>
                <c:pt idx="2">
                  <c:v>4217.7800000011921</c:v>
                </c:pt>
                <c:pt idx="3">
                  <c:v>4217.7800000011921</c:v>
                </c:pt>
                <c:pt idx="4">
                  <c:v>4217.7800000011921</c:v>
                </c:pt>
                <c:pt idx="5">
                  <c:v>4217.7800000011921</c:v>
                </c:pt>
                <c:pt idx="6">
                  <c:v>4217.7800000011921</c:v>
                </c:pt>
                <c:pt idx="7">
                  <c:v>4217.7800000011921</c:v>
                </c:pt>
                <c:pt idx="8">
                  <c:v>4217.7800000011921</c:v>
                </c:pt>
                <c:pt idx="9">
                  <c:v>4217.7800000011921</c:v>
                </c:pt>
                <c:pt idx="10">
                  <c:v>4217.7800000011921</c:v>
                </c:pt>
                <c:pt idx="11">
                  <c:v>4217.7800000011921</c:v>
                </c:pt>
                <c:pt idx="12">
                  <c:v>4217.7800000011921</c:v>
                </c:pt>
                <c:pt idx="13">
                  <c:v>4217.7800000011921</c:v>
                </c:pt>
                <c:pt idx="14">
                  <c:v>4217.7800000011921</c:v>
                </c:pt>
                <c:pt idx="15">
                  <c:v>4217.7800000011921</c:v>
                </c:pt>
                <c:pt idx="16">
                  <c:v>4217.7800000011921</c:v>
                </c:pt>
                <c:pt idx="17">
                  <c:v>4217.7800000011921</c:v>
                </c:pt>
                <c:pt idx="18">
                  <c:v>4217.7800000011921</c:v>
                </c:pt>
                <c:pt idx="19">
                  <c:v>4217.7800000011921</c:v>
                </c:pt>
                <c:pt idx="20">
                  <c:v>4217.7800000011921</c:v>
                </c:pt>
                <c:pt idx="21">
                  <c:v>4217.7800000011921</c:v>
                </c:pt>
                <c:pt idx="22">
                  <c:v>4217.7800000011921</c:v>
                </c:pt>
                <c:pt idx="23">
                  <c:v>4217.7800000011921</c:v>
                </c:pt>
                <c:pt idx="24">
                  <c:v>4217.7800000011921</c:v>
                </c:pt>
                <c:pt idx="25">
                  <c:v>4217.7800000011921</c:v>
                </c:pt>
              </c:numCache>
            </c:numRef>
          </c:val>
          <c:extLst>
            <c:ext xmlns:c16="http://schemas.microsoft.com/office/drawing/2014/chart" uri="{C3380CC4-5D6E-409C-BE32-E72D297353CC}">
              <c16:uniqueId val="{00000000-02C2-4DC3-80A8-B09EC0235055}"/>
            </c:ext>
          </c:extLst>
        </c:ser>
        <c:ser>
          <c:idx val="2"/>
          <c:order val="1"/>
          <c:tx>
            <c:strRef>
              <c:f>'Total-CF'!$A$11</c:f>
              <c:strCache>
                <c:ptCount val="1"/>
                <c:pt idx="0">
                  <c:v>HA1</c:v>
                </c:pt>
              </c:strCache>
            </c:strRef>
          </c:tx>
          <c:spPr>
            <a:gradFill rotWithShape="0">
              <a:gsLst>
                <a:gs pos="0">
                  <a:srgbClr xmlns:mc="http://schemas.openxmlformats.org/markup-compatibility/2006" xmlns:a14="http://schemas.microsoft.com/office/drawing/2010/main" val="76765E" mc:Ignorable="a14" a14:legacySpreadsheetColorIndex="26">
                    <a:gamma/>
                    <a:shade val="46275"/>
                    <a:invGamma/>
                  </a:srgbClr>
                </a:gs>
                <a:gs pos="50000">
                  <a:srgbClr xmlns:mc="http://schemas.openxmlformats.org/markup-compatibility/2006" xmlns:a14="http://schemas.microsoft.com/office/drawing/2010/main" val="FFFFCC" mc:Ignorable="a14" a14:legacySpreadsheetColorIndex="26"/>
                </a:gs>
                <a:gs pos="100000">
                  <a:srgbClr xmlns:mc="http://schemas.openxmlformats.org/markup-compatibility/2006" xmlns:a14="http://schemas.microsoft.com/office/drawing/2010/main" val="76765E" mc:Ignorable="a14" a14:legacySpreadsheetColorIndex="26">
                    <a:gamma/>
                    <a:shade val="46275"/>
                    <a:invGamma/>
                  </a:srgbClr>
                </a:gs>
              </a:gsLst>
              <a:lin ang="0" scaled="1"/>
            </a:gradFill>
            <a:ln w="25400">
              <a:noFill/>
            </a:ln>
          </c:spPr>
          <c:invertIfNegative val="0"/>
          <c:cat>
            <c:numRef>
              <c:f>'Total-CF'!$B$8:$AA$8</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'Total-CF'!$B$11:$AA$11</c:f>
              <c:numCache>
                <c:formatCode>"£"#,##0;[Red]\("£"#,##0\)</c:formatCode>
                <c:ptCount val="26"/>
                <c:pt idx="0">
                  <c:v>-32891.109999999404</c:v>
                </c:pt>
                <c:pt idx="1">
                  <c:v>-30782.219999998808</c:v>
                </c:pt>
                <c:pt idx="2">
                  <c:v>74633.114000001922</c:v>
                </c:pt>
                <c:pt idx="3">
                  <c:v>169548.44800000265</c:v>
                </c:pt>
                <c:pt idx="4">
                  <c:v>194048.44800000265</c:v>
                </c:pt>
                <c:pt idx="5">
                  <c:v>194048.44800000265</c:v>
                </c:pt>
                <c:pt idx="6">
                  <c:v>194048.44800000265</c:v>
                </c:pt>
                <c:pt idx="7">
                  <c:v>194048.44800000265</c:v>
                </c:pt>
                <c:pt idx="8">
                  <c:v>194048.44800000265</c:v>
                </c:pt>
                <c:pt idx="9">
                  <c:v>194048.44800000265</c:v>
                </c:pt>
                <c:pt idx="10">
                  <c:v>194048.44800000265</c:v>
                </c:pt>
                <c:pt idx="11">
                  <c:v>194048.44800000265</c:v>
                </c:pt>
                <c:pt idx="12">
                  <c:v>194048.44800000265</c:v>
                </c:pt>
                <c:pt idx="13">
                  <c:v>194048.44800000265</c:v>
                </c:pt>
                <c:pt idx="14">
                  <c:v>194048.44800000265</c:v>
                </c:pt>
                <c:pt idx="15">
                  <c:v>194048.44800000265</c:v>
                </c:pt>
                <c:pt idx="16">
                  <c:v>194048.44800000265</c:v>
                </c:pt>
                <c:pt idx="17">
                  <c:v>194048.44800000265</c:v>
                </c:pt>
                <c:pt idx="18">
                  <c:v>194048.44800000265</c:v>
                </c:pt>
                <c:pt idx="19">
                  <c:v>194048.44800000265</c:v>
                </c:pt>
                <c:pt idx="20">
                  <c:v>194048.44800000265</c:v>
                </c:pt>
                <c:pt idx="21">
                  <c:v>194048.44800000265</c:v>
                </c:pt>
                <c:pt idx="22">
                  <c:v>194048.44800000265</c:v>
                </c:pt>
                <c:pt idx="23">
                  <c:v>194048.44800000265</c:v>
                </c:pt>
                <c:pt idx="24">
                  <c:v>194048.44800000265</c:v>
                </c:pt>
                <c:pt idx="25">
                  <c:v>194048.44800000265</c:v>
                </c:pt>
              </c:numCache>
            </c:numRef>
          </c:val>
          <c:extLst>
            <c:ext xmlns:c16="http://schemas.microsoft.com/office/drawing/2014/chart" uri="{C3380CC4-5D6E-409C-BE32-E72D297353CC}">
              <c16:uniqueId val="{00000001-02C2-4DC3-80A8-B09EC0235055}"/>
            </c:ext>
          </c:extLst>
        </c:ser>
        <c:ser>
          <c:idx val="3"/>
          <c:order val="2"/>
          <c:tx>
            <c:strRef>
              <c:f>'Total-CF'!$A$12</c:f>
              <c:strCache>
                <c:ptCount val="1"/>
                <c:pt idx="0">
                  <c:v>HA2</c:v>
                </c:pt>
              </c:strCache>
            </c:strRef>
          </c:tx>
          <c:spPr>
            <a:gradFill rotWithShape="0">
              <a:gsLst>
                <a:gs pos="0">
                  <a:srgbClr xmlns:mc="http://schemas.openxmlformats.org/markup-compatibility/2006" xmlns:a14="http://schemas.microsoft.com/office/drawing/2010/main" val="5E7676" mc:Ignorable="a14" a14:legacySpreadsheetColorIndex="27">
                    <a:gamma/>
                    <a:shade val="46275"/>
                    <a:invGamma/>
                  </a:srgbClr>
                </a:gs>
                <a:gs pos="50000">
                  <a:srgbClr xmlns:mc="http://schemas.openxmlformats.org/markup-compatibility/2006" xmlns:a14="http://schemas.microsoft.com/office/drawing/2010/main" val="CCFFFF" mc:Ignorable="a14" a14:legacySpreadsheetColorIndex="27"/>
                </a:gs>
                <a:gs pos="100000">
                  <a:srgbClr xmlns:mc="http://schemas.openxmlformats.org/markup-compatibility/2006" xmlns:a14="http://schemas.microsoft.com/office/drawing/2010/main" val="5E7676" mc:Ignorable="a14" a14:legacySpreadsheetColorIndex="27">
                    <a:gamma/>
                    <a:shade val="46275"/>
                    <a:invGamma/>
                  </a:srgbClr>
                </a:gs>
              </a:gsLst>
              <a:lin ang="0" scaled="1"/>
            </a:gradFill>
            <a:ln w="25400">
              <a:noFill/>
            </a:ln>
          </c:spPr>
          <c:invertIfNegative val="0"/>
          <c:cat>
            <c:numRef>
              <c:f>'Total-CF'!$B$8:$AA$8</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'Total-CF'!$B$12:$AA$12</c:f>
              <c:numCache>
                <c:formatCode>"£"#,##0;[Red]\("£"#,##0\)</c:formatCode>
                <c:ptCount val="26"/>
                <c:pt idx="0">
                  <c:v>-32891.109999999404</c:v>
                </c:pt>
                <c:pt idx="1">
                  <c:v>-30782.219999998808</c:v>
                </c:pt>
                <c:pt idx="2">
                  <c:v>74633.114000001922</c:v>
                </c:pt>
                <c:pt idx="3">
                  <c:v>169548.44800000265</c:v>
                </c:pt>
                <c:pt idx="4">
                  <c:v>239163.78200000338</c:v>
                </c:pt>
                <c:pt idx="5">
                  <c:v>292279.11600000411</c:v>
                </c:pt>
                <c:pt idx="6">
                  <c:v>300279.11600000411</c:v>
                </c:pt>
                <c:pt idx="7">
                  <c:v>300279.11600000411</c:v>
                </c:pt>
                <c:pt idx="8">
                  <c:v>300279.11600000411</c:v>
                </c:pt>
                <c:pt idx="9">
                  <c:v>300279.11600000411</c:v>
                </c:pt>
                <c:pt idx="10">
                  <c:v>300279.11600000411</c:v>
                </c:pt>
                <c:pt idx="11">
                  <c:v>300279.11600000411</c:v>
                </c:pt>
                <c:pt idx="12">
                  <c:v>300279.11600000411</c:v>
                </c:pt>
                <c:pt idx="13">
                  <c:v>300279.11600000411</c:v>
                </c:pt>
                <c:pt idx="14">
                  <c:v>300279.11600000411</c:v>
                </c:pt>
                <c:pt idx="15">
                  <c:v>300279.11600000411</c:v>
                </c:pt>
                <c:pt idx="16">
                  <c:v>300279.11600000411</c:v>
                </c:pt>
                <c:pt idx="17">
                  <c:v>300279.11600000411</c:v>
                </c:pt>
                <c:pt idx="18">
                  <c:v>300279.11600000411</c:v>
                </c:pt>
                <c:pt idx="19">
                  <c:v>300279.11600000411</c:v>
                </c:pt>
                <c:pt idx="20">
                  <c:v>300279.11600000411</c:v>
                </c:pt>
                <c:pt idx="21">
                  <c:v>300279.11600000411</c:v>
                </c:pt>
                <c:pt idx="22">
                  <c:v>300279.11600000411</c:v>
                </c:pt>
                <c:pt idx="23">
                  <c:v>300279.11600000411</c:v>
                </c:pt>
                <c:pt idx="24">
                  <c:v>300279.11600000411</c:v>
                </c:pt>
                <c:pt idx="25">
                  <c:v>300279.11600000411</c:v>
                </c:pt>
              </c:numCache>
            </c:numRef>
          </c:val>
          <c:extLst>
            <c:ext xmlns:c16="http://schemas.microsoft.com/office/drawing/2014/chart" uri="{C3380CC4-5D6E-409C-BE32-E72D297353CC}">
              <c16:uniqueId val="{00000002-02C2-4DC3-80A8-B09EC0235055}"/>
            </c:ext>
          </c:extLst>
        </c:ser>
        <c:ser>
          <c:idx val="4"/>
          <c:order val="3"/>
          <c:tx>
            <c:strRef>
              <c:f>'Total-CF'!$A$13</c:f>
              <c:strCache>
                <c:ptCount val="1"/>
                <c:pt idx="0">
                  <c:v>PA</c:v>
                </c:pt>
              </c:strCache>
            </c:strRef>
          </c:tx>
          <c:spPr>
            <a:gradFill rotWithShape="0">
              <a:gsLst>
                <a:gs pos="0">
                  <a:srgbClr xmlns:mc="http://schemas.openxmlformats.org/markup-compatibility/2006" xmlns:a14="http://schemas.microsoft.com/office/drawing/2010/main" val="2F002F" mc:Ignorable="a14" a14:legacySpreadsheetColorIndex="28">
                    <a:gamma/>
                    <a:shade val="46275"/>
                    <a:invGamma/>
                  </a:srgbClr>
                </a:gs>
                <a:gs pos="50000">
                  <a:srgbClr xmlns:mc="http://schemas.openxmlformats.org/markup-compatibility/2006" xmlns:a14="http://schemas.microsoft.com/office/drawing/2010/main" val="660066" mc:Ignorable="a14" a14:legacySpreadsheetColorIndex="28"/>
                </a:gs>
                <a:gs pos="100000">
                  <a:srgbClr xmlns:mc="http://schemas.openxmlformats.org/markup-compatibility/2006" xmlns:a14="http://schemas.microsoft.com/office/drawing/2010/main" val="2F002F" mc:Ignorable="a14" a14:legacySpreadsheetColorIndex="28">
                    <a:gamma/>
                    <a:shade val="46275"/>
                    <a:invGamma/>
                  </a:srgbClr>
                </a:gs>
              </a:gsLst>
              <a:lin ang="0" scaled="1"/>
            </a:gradFill>
            <a:ln w="25400">
              <a:noFill/>
            </a:ln>
          </c:spPr>
          <c:invertIfNegative val="0"/>
          <c:cat>
            <c:numRef>
              <c:f>'Total-CF'!$B$8:$AA$8</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'Total-CF'!$B$13:$AA$13</c:f>
              <c:numCache>
                <c:formatCode>"£"#,##0;[Red]\("£"#,##0\)</c:formatCode>
                <c:ptCount val="26"/>
                <c:pt idx="0">
                  <c:v>-32891.109999999404</c:v>
                </c:pt>
                <c:pt idx="1">
                  <c:v>-30782.219999998808</c:v>
                </c:pt>
                <c:pt idx="2">
                  <c:v>74633.114000001922</c:v>
                </c:pt>
                <c:pt idx="3">
                  <c:v>169548.44800000265</c:v>
                </c:pt>
                <c:pt idx="4">
                  <c:v>239163.78200000338</c:v>
                </c:pt>
                <c:pt idx="5">
                  <c:v>292279.11600000411</c:v>
                </c:pt>
                <c:pt idx="6">
                  <c:v>390175.11800000444</c:v>
                </c:pt>
                <c:pt idx="7">
                  <c:v>503071.12000000477</c:v>
                </c:pt>
                <c:pt idx="8">
                  <c:v>526071.12000000477</c:v>
                </c:pt>
                <c:pt idx="9">
                  <c:v>526071.12000000477</c:v>
                </c:pt>
                <c:pt idx="10">
                  <c:v>526071.12000000477</c:v>
                </c:pt>
                <c:pt idx="11">
                  <c:v>526071.12000000477</c:v>
                </c:pt>
                <c:pt idx="12">
                  <c:v>526071.12000000477</c:v>
                </c:pt>
                <c:pt idx="13">
                  <c:v>526071.12000000477</c:v>
                </c:pt>
                <c:pt idx="14">
                  <c:v>526071.12000000477</c:v>
                </c:pt>
                <c:pt idx="15">
                  <c:v>526071.12000000477</c:v>
                </c:pt>
                <c:pt idx="16">
                  <c:v>526071.12000000477</c:v>
                </c:pt>
                <c:pt idx="17">
                  <c:v>526071.12000000477</c:v>
                </c:pt>
                <c:pt idx="18">
                  <c:v>526071.12000000477</c:v>
                </c:pt>
                <c:pt idx="19">
                  <c:v>526071.12000000477</c:v>
                </c:pt>
                <c:pt idx="20">
                  <c:v>526071.12000000477</c:v>
                </c:pt>
                <c:pt idx="21">
                  <c:v>526071.12000000477</c:v>
                </c:pt>
                <c:pt idx="22">
                  <c:v>526071.12000000477</c:v>
                </c:pt>
                <c:pt idx="23">
                  <c:v>526071.12000000477</c:v>
                </c:pt>
                <c:pt idx="24">
                  <c:v>526071.12000000477</c:v>
                </c:pt>
                <c:pt idx="25">
                  <c:v>526071.12000000477</c:v>
                </c:pt>
              </c:numCache>
            </c:numRef>
          </c:val>
          <c:extLst>
            <c:ext xmlns:c16="http://schemas.microsoft.com/office/drawing/2014/chart" uri="{C3380CC4-5D6E-409C-BE32-E72D297353CC}">
              <c16:uniqueId val="{00000003-02C2-4DC3-80A8-B09EC0235055}"/>
            </c:ext>
          </c:extLst>
        </c:ser>
        <c:ser>
          <c:idx val="5"/>
          <c:order val="4"/>
          <c:tx>
            <c:strRef>
              <c:f>'Total-CF'!$A$14</c:f>
              <c:strCache>
                <c:ptCount val="1"/>
                <c:pt idx="0">
                  <c:v>AG</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25400">
              <a:noFill/>
            </a:ln>
          </c:spPr>
          <c:invertIfNegative val="0"/>
          <c:cat>
            <c:numRef>
              <c:f>'Total-CF'!$B$8:$AA$8</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'Total-CF'!$B$14:$AA$14</c:f>
              <c:numCache>
                <c:formatCode>"£"#,##0;[Red]\("£"#,##0\)</c:formatCode>
                <c:ptCount val="26"/>
                <c:pt idx="0">
                  <c:v>-32891.109999999404</c:v>
                </c:pt>
                <c:pt idx="1">
                  <c:v>-30782.219999998808</c:v>
                </c:pt>
                <c:pt idx="2">
                  <c:v>74633.114000001922</c:v>
                </c:pt>
                <c:pt idx="3">
                  <c:v>169548.44800000265</c:v>
                </c:pt>
                <c:pt idx="4">
                  <c:v>239163.78200000338</c:v>
                </c:pt>
                <c:pt idx="5">
                  <c:v>292279.11600000411</c:v>
                </c:pt>
                <c:pt idx="6">
                  <c:v>390175.11800000444</c:v>
                </c:pt>
                <c:pt idx="7">
                  <c:v>503071.12000000477</c:v>
                </c:pt>
                <c:pt idx="8">
                  <c:v>665004.45333333872</c:v>
                </c:pt>
                <c:pt idx="9">
                  <c:v>816937.78666667268</c:v>
                </c:pt>
                <c:pt idx="10">
                  <c:v>968871.12000000663</c:v>
                </c:pt>
                <c:pt idx="11">
                  <c:v>981871.12000000663</c:v>
                </c:pt>
                <c:pt idx="12">
                  <c:v>981871.12000000663</c:v>
                </c:pt>
                <c:pt idx="13">
                  <c:v>981871.12000000663</c:v>
                </c:pt>
                <c:pt idx="14">
                  <c:v>981871.12000000663</c:v>
                </c:pt>
                <c:pt idx="15">
                  <c:v>981871.12000000663</c:v>
                </c:pt>
                <c:pt idx="16">
                  <c:v>981871.12000000663</c:v>
                </c:pt>
                <c:pt idx="17">
                  <c:v>981871.12000000663</c:v>
                </c:pt>
                <c:pt idx="18">
                  <c:v>981871.12000000663</c:v>
                </c:pt>
                <c:pt idx="19">
                  <c:v>981871.12000000663</c:v>
                </c:pt>
                <c:pt idx="20">
                  <c:v>981871.12000000663</c:v>
                </c:pt>
                <c:pt idx="21">
                  <c:v>981871.12000000663</c:v>
                </c:pt>
                <c:pt idx="22">
                  <c:v>981871.12000000663</c:v>
                </c:pt>
                <c:pt idx="23">
                  <c:v>981871.12000000663</c:v>
                </c:pt>
                <c:pt idx="24">
                  <c:v>981871.12000000663</c:v>
                </c:pt>
                <c:pt idx="25">
                  <c:v>981871.12000000663</c:v>
                </c:pt>
              </c:numCache>
            </c:numRef>
          </c:val>
          <c:extLst>
            <c:ext xmlns:c16="http://schemas.microsoft.com/office/drawing/2014/chart" uri="{C3380CC4-5D6E-409C-BE32-E72D297353CC}">
              <c16:uniqueId val="{00000004-02C2-4DC3-80A8-B09EC0235055}"/>
            </c:ext>
          </c:extLst>
        </c:ser>
        <c:dLbls>
          <c:showLegendKey val="0"/>
          <c:showVal val="0"/>
          <c:showCatName val="0"/>
          <c:showSerName val="0"/>
          <c:showPercent val="0"/>
          <c:showBubbleSize val="0"/>
        </c:dLbls>
        <c:gapWidth val="50"/>
        <c:shape val="box"/>
        <c:axId val="411282088"/>
        <c:axId val="411281696"/>
        <c:axId val="116164072"/>
      </c:bar3DChart>
      <c:catAx>
        <c:axId val="411282088"/>
        <c:scaling>
          <c:orientation val="minMax"/>
        </c:scaling>
        <c:delete val="0"/>
        <c:axPos val="b"/>
        <c:title>
          <c:tx>
            <c:rich>
              <a:bodyPr/>
              <a:lstStyle/>
              <a:p>
                <a:pPr>
                  <a:defRPr sz="1600" b="0" i="0" u="none" strike="noStrike" baseline="0">
                    <a:solidFill>
                      <a:srgbClr val="000000"/>
                    </a:solidFill>
                    <a:latin typeface="Calibri"/>
                    <a:ea typeface="Calibri"/>
                    <a:cs typeface="Calibri"/>
                  </a:defRPr>
                </a:pPr>
                <a:r>
                  <a:rPr lang="en-GB"/>
                  <a:t>Year</a:t>
                </a:r>
              </a:p>
            </c:rich>
          </c:tx>
          <c:layout>
            <c:manualLayout>
              <c:xMode val="edge"/>
              <c:yMode val="edge"/>
              <c:x val="0.49638055842812823"/>
              <c:y val="0.84237288135593225"/>
            </c:manualLayout>
          </c:layout>
          <c:overlay val="0"/>
          <c:spPr>
            <a:noFill/>
            <a:ln w="25400">
              <a:noFill/>
            </a:ln>
          </c:spPr>
        </c:title>
        <c:numFmt formatCode="0" sourceLinked="1"/>
        <c:majorTickMark val="out"/>
        <c:minorTickMark val="none"/>
        <c:tickLblPos val="low"/>
        <c:spPr>
          <a:ln w="3175">
            <a:solidFill>
              <a:srgbClr val="000000"/>
            </a:solidFill>
            <a:prstDash val="solid"/>
          </a:ln>
        </c:spPr>
        <c:txPr>
          <a:bodyPr rot="-2700000" vert="horz"/>
          <a:lstStyle/>
          <a:p>
            <a:pPr>
              <a:defRPr sz="1000" b="0" i="0" u="none" strike="noStrike" baseline="0">
                <a:solidFill>
                  <a:srgbClr val="000000"/>
                </a:solidFill>
                <a:latin typeface="Calibri"/>
                <a:ea typeface="Calibri"/>
                <a:cs typeface="Calibri"/>
              </a:defRPr>
            </a:pPr>
            <a:endParaRPr lang="en-US"/>
          </a:p>
        </c:txPr>
        <c:crossAx val="411281696"/>
        <c:crosses val="autoZero"/>
        <c:auto val="0"/>
        <c:lblAlgn val="ctr"/>
        <c:lblOffset val="100"/>
        <c:tickLblSkip val="1"/>
        <c:tickMarkSkip val="1"/>
        <c:noMultiLvlLbl val="1"/>
      </c:catAx>
      <c:valAx>
        <c:axId val="411281696"/>
        <c:scaling>
          <c:orientation val="minMax"/>
        </c:scaling>
        <c:delete val="0"/>
        <c:axPos val="l"/>
        <c:majorGridlines>
          <c:spPr>
            <a:ln w="12700">
              <a:solidFill>
                <a:srgbClr val="C0C0C0"/>
              </a:solidFill>
              <a:prstDash val="solid"/>
            </a:ln>
          </c:spPr>
        </c:majorGridlines>
        <c:title>
          <c:tx>
            <c:rich>
              <a:bodyPr/>
              <a:lstStyle/>
              <a:p>
                <a:pPr>
                  <a:defRPr sz="1600" b="0" i="0" u="none" strike="noStrike" baseline="0">
                    <a:solidFill>
                      <a:srgbClr val="000000"/>
                    </a:solidFill>
                    <a:latin typeface="Calibri"/>
                    <a:ea typeface="Calibri"/>
                    <a:cs typeface="Calibri"/>
                  </a:defRPr>
                </a:pPr>
                <a:r>
                  <a:rPr lang="en-GB"/>
                  <a:t>Net Cashflow (£)</a:t>
                </a:r>
              </a:p>
            </c:rich>
          </c:tx>
          <c:layout>
            <c:manualLayout>
              <c:xMode val="edge"/>
              <c:yMode val="edge"/>
              <c:x val="0"/>
              <c:y val="0.31525423728813562"/>
            </c:manualLayout>
          </c:layout>
          <c:overlay val="0"/>
          <c:spPr>
            <a:noFill/>
            <a:ln w="25400">
              <a:noFill/>
            </a:ln>
          </c:spPr>
        </c:title>
        <c:numFmt formatCode="&quot;£&quot;#,##0;[Red]\(&quot;£&quot;#,##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411282088"/>
        <c:crosses val="autoZero"/>
        <c:crossBetween val="between"/>
      </c:valAx>
      <c:serAx>
        <c:axId val="11616407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411281696"/>
        <c:crosses val="autoZero"/>
        <c:tickLblSkip val="105"/>
        <c:tickMarkSkip val="1"/>
      </c:serAx>
      <c:spPr>
        <a:noFill/>
        <a:ln w="25400">
          <a:noFill/>
        </a:ln>
      </c:spPr>
    </c:plotArea>
    <c:legend>
      <c:legendPos val="r"/>
      <c:layout>
        <c:manualLayout>
          <c:xMode val="edge"/>
          <c:yMode val="edge"/>
          <c:x val="0.91313340227507755"/>
          <c:y val="0.14237288135593221"/>
          <c:w val="8.583247156153051E-2"/>
          <c:h val="0.71186440677966101"/>
        </c:manualLayout>
      </c:layout>
      <c:overlay val="0"/>
      <c:spPr>
        <a:solidFill>
          <a:srgbClr val="FFFFFF"/>
        </a:solidFill>
        <a:ln w="3175">
          <a:solidFill>
            <a:srgbClr val="C0C0C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w="9525">
      <a:noFill/>
    </a:ln>
  </c:spPr>
  <c:txPr>
    <a:bodyPr/>
    <a:lstStyle/>
    <a:p>
      <a:pPr>
        <a:defRPr sz="1400" b="0" i="0" u="none" strike="noStrike" baseline="0">
          <a:solidFill>
            <a:srgbClr val="000000"/>
          </a:solidFill>
          <a:latin typeface="Calibri"/>
          <a:ea typeface="Calibri"/>
          <a:cs typeface="Calibri"/>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9479449351163"/>
          <c:y val="8.1730769230769232E-2"/>
          <c:w val="0.85691222183845661"/>
          <c:h val="0.64182692307692313"/>
        </c:manualLayout>
      </c:layout>
      <c:barChart>
        <c:barDir val="col"/>
        <c:grouping val="clustered"/>
        <c:varyColors val="0"/>
        <c:ser>
          <c:idx val="1"/>
          <c:order val="0"/>
          <c:tx>
            <c:strRef>
              <c:f>'SD-CF'!$A$22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'SD-CF'!$B$15:$AA$15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'SD-CF'!$B$22:$AA$22</c:f>
              <c:numCache>
                <c:formatCode>"£"#,##0;[Red]\("£"#,##0\)</c:formatCode>
                <c:ptCount val="26"/>
                <c:pt idx="0">
                  <c:v>-35000</c:v>
                </c:pt>
                <c:pt idx="1">
                  <c:v>-35000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FC04-4647-8E61-DC6176642920}"/>
            </c:ext>
          </c:extLst>
        </c:ser>
        <c:ser>
          <c:idx val="0"/>
          <c:order val="1"/>
          <c:tx>
            <c:strRef>
              <c:f>'SD-CF'!$A$40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'SD-CF'!$B$15:$AA$15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'SD-CF'!$B$40:$AA$40</c:f>
              <c:numCache>
                <c:formatCode>"£"#,##0;[Red]\("£"#,##0\)</c:formatCode>
                <c:ptCount val="26"/>
                <c:pt idx="0">
                  <c:v>2108.890000000596</c:v>
                </c:pt>
                <c:pt idx="1">
                  <c:v>4217.7800000011921</c:v>
                </c:pt>
                <c:pt idx="2">
                  <c:v>4217.7800000011921</c:v>
                </c:pt>
                <c:pt idx="3">
                  <c:v>4217.7800000011921</c:v>
                </c:pt>
                <c:pt idx="4">
                  <c:v>4217.7800000011921</c:v>
                </c:pt>
                <c:pt idx="5">
                  <c:v>4217.7800000011921</c:v>
                </c:pt>
                <c:pt idx="6">
                  <c:v>4217.7800000011921</c:v>
                </c:pt>
                <c:pt idx="7">
                  <c:v>4217.7800000011921</c:v>
                </c:pt>
                <c:pt idx="8">
                  <c:v>4217.7800000011921</c:v>
                </c:pt>
                <c:pt idx="9">
                  <c:v>4217.7800000011921</c:v>
                </c:pt>
                <c:pt idx="10">
                  <c:v>4217.7800000011921</c:v>
                </c:pt>
                <c:pt idx="11">
                  <c:v>4217.7800000011921</c:v>
                </c:pt>
                <c:pt idx="12">
                  <c:v>4217.7800000011921</c:v>
                </c:pt>
                <c:pt idx="13">
                  <c:v>4217.7800000011921</c:v>
                </c:pt>
                <c:pt idx="14">
                  <c:v>4217.7800000011921</c:v>
                </c:pt>
                <c:pt idx="15">
                  <c:v>4217.7800000011921</c:v>
                </c:pt>
                <c:pt idx="16">
                  <c:v>4217.7800000011921</c:v>
                </c:pt>
                <c:pt idx="17">
                  <c:v>4217.7800000011921</c:v>
                </c:pt>
                <c:pt idx="18">
                  <c:v>4217.7800000011921</c:v>
                </c:pt>
                <c:pt idx="19">
                  <c:v>4217.7800000011921</c:v>
                </c:pt>
                <c:pt idx="20">
                  <c:v>4217.7800000011921</c:v>
                </c:pt>
                <c:pt idx="21">
                  <c:v>4217.7800000011921</c:v>
                </c:pt>
                <c:pt idx="22">
                  <c:v>4217.7800000011921</c:v>
                </c:pt>
                <c:pt idx="23">
                  <c:v>4217.7800000011921</c:v>
                </c:pt>
                <c:pt idx="24">
                  <c:v>4217.7800000011921</c:v>
                </c:pt>
                <c:pt idx="25">
                  <c:v>4217.7800000011921</c:v>
                </c:pt>
              </c:numCache>
            </c:numRef>
          </c:val>
          <c:extLst>
            <c:ext xmlns:c16="http://schemas.microsoft.com/office/drawing/2014/chart" uri="{C3380CC4-5D6E-409C-BE32-E72D297353CC}">
              <c16:uniqueId val="{00000001-FC04-4647-8E61-DC6176642920}"/>
            </c:ext>
          </c:extLst>
        </c:ser>
        <c:dLbls>
          <c:showLegendKey val="0"/>
          <c:showVal val="0"/>
          <c:showCatName val="0"/>
          <c:showSerName val="0"/>
          <c:showPercent val="0"/>
          <c:showBubbleSize val="0"/>
        </c:dLbls>
        <c:gapWidth val="50"/>
        <c:overlap val="100"/>
        <c:axId val="411279736"/>
        <c:axId val="411276600"/>
      </c:barChart>
      <c:lineChart>
        <c:grouping val="standard"/>
        <c:varyColors val="0"/>
        <c:ser>
          <c:idx val="2"/>
          <c:order val="2"/>
          <c:tx>
            <c:strRef>
              <c:f>'SD-CF'!$A$54</c:f>
              <c:strCache>
                <c:ptCount val="1"/>
                <c:pt idx="0">
                  <c:v>Net Cashflow</c:v>
                </c:pt>
              </c:strCache>
            </c:strRef>
          </c:tx>
          <c:spPr>
            <a:ln w="25400">
              <a:solidFill>
                <a:srgbClr val="008000"/>
              </a:solidFill>
              <a:prstDash val="lgDash"/>
            </a:ln>
          </c:spPr>
          <c:marker>
            <c:symbol val="none"/>
          </c:marker>
          <c:cat>
            <c:numRef>
              <c:f>'SD-CF'!$B$15:$AA$15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'SD-CF'!$B$54:$AA$54</c:f>
              <c:numCache>
                <c:formatCode>"£"#,##0;[Red]\("£"#,##0\)</c:formatCode>
                <c:ptCount val="26"/>
                <c:pt idx="0">
                  <c:v>-32891.109999999404</c:v>
                </c:pt>
                <c:pt idx="1">
                  <c:v>-30782.219999998808</c:v>
                </c:pt>
                <c:pt idx="2">
                  <c:v>4217.7800000011921</c:v>
                </c:pt>
                <c:pt idx="3">
                  <c:v>4217.7800000011921</c:v>
                </c:pt>
                <c:pt idx="4">
                  <c:v>4217.7800000011921</c:v>
                </c:pt>
                <c:pt idx="5">
                  <c:v>4217.7800000011921</c:v>
                </c:pt>
                <c:pt idx="6">
                  <c:v>4217.7800000011921</c:v>
                </c:pt>
                <c:pt idx="7">
                  <c:v>4217.7800000011921</c:v>
                </c:pt>
                <c:pt idx="8">
                  <c:v>4217.7800000011921</c:v>
                </c:pt>
                <c:pt idx="9">
                  <c:v>4217.7800000011921</c:v>
                </c:pt>
                <c:pt idx="10">
                  <c:v>4217.7800000011921</c:v>
                </c:pt>
                <c:pt idx="11">
                  <c:v>4217.7800000011921</c:v>
                </c:pt>
                <c:pt idx="12">
                  <c:v>4217.7800000011921</c:v>
                </c:pt>
                <c:pt idx="13">
                  <c:v>4217.7800000011921</c:v>
                </c:pt>
                <c:pt idx="14">
                  <c:v>4217.7800000011921</c:v>
                </c:pt>
                <c:pt idx="15">
                  <c:v>4217.7800000011921</c:v>
                </c:pt>
                <c:pt idx="16">
                  <c:v>4217.7800000011921</c:v>
                </c:pt>
                <c:pt idx="17">
                  <c:v>4217.7800000011921</c:v>
                </c:pt>
                <c:pt idx="18">
                  <c:v>4217.7800000011921</c:v>
                </c:pt>
                <c:pt idx="19">
                  <c:v>4217.7800000011921</c:v>
                </c:pt>
                <c:pt idx="20">
                  <c:v>4217.7800000011921</c:v>
                </c:pt>
                <c:pt idx="21">
                  <c:v>4217.7800000011921</c:v>
                </c:pt>
                <c:pt idx="22">
                  <c:v>4217.7800000011921</c:v>
                </c:pt>
                <c:pt idx="23">
                  <c:v>4217.7800000011921</c:v>
                </c:pt>
                <c:pt idx="24">
                  <c:v>4217.7800000011921</c:v>
                </c:pt>
                <c:pt idx="25">
                  <c:v>4217.7800000011921</c:v>
                </c:pt>
              </c:numCache>
            </c:numRef>
          </c:val>
          <c:smooth val="0"/>
          <c:extLst>
            <c:ext xmlns:c16="http://schemas.microsoft.com/office/drawing/2014/chart" uri="{C3380CC4-5D6E-409C-BE32-E72D297353CC}">
              <c16:uniqueId val="{00000002-FC04-4647-8E61-DC6176642920}"/>
            </c:ext>
          </c:extLst>
        </c:ser>
        <c:dLbls>
          <c:showLegendKey val="0"/>
          <c:showVal val="0"/>
          <c:showCatName val="0"/>
          <c:showSerName val="0"/>
          <c:showPercent val="0"/>
          <c:showBubbleSize val="0"/>
        </c:dLbls>
        <c:marker val="1"/>
        <c:smooth val="0"/>
        <c:axId val="411276992"/>
        <c:axId val="411277384"/>
      </c:lineChart>
      <c:catAx>
        <c:axId val="411279736"/>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3597430070634866"/>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1276600"/>
        <c:crosses val="autoZero"/>
        <c:auto val="0"/>
        <c:lblAlgn val="ctr"/>
        <c:lblOffset val="100"/>
        <c:tickLblSkip val="1"/>
        <c:tickMarkSkip val="1"/>
        <c:noMultiLvlLbl val="0"/>
      </c:catAx>
      <c:valAx>
        <c:axId val="411276600"/>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1018593371059015E-2"/>
              <c:y val="0.31009615384615385"/>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1279736"/>
        <c:crosses val="autoZero"/>
        <c:crossBetween val="between"/>
      </c:valAx>
      <c:catAx>
        <c:axId val="411276992"/>
        <c:scaling>
          <c:orientation val="minMax"/>
        </c:scaling>
        <c:delete val="1"/>
        <c:axPos val="b"/>
        <c:numFmt formatCode="0" sourceLinked="1"/>
        <c:majorTickMark val="out"/>
        <c:minorTickMark val="none"/>
        <c:tickLblPos val="nextTo"/>
        <c:crossAx val="411277384"/>
        <c:crosses val="autoZero"/>
        <c:auto val="0"/>
        <c:lblAlgn val="ctr"/>
        <c:lblOffset val="100"/>
        <c:noMultiLvlLbl val="0"/>
      </c:catAx>
      <c:valAx>
        <c:axId val="411277384"/>
        <c:scaling>
          <c:orientation val="minMax"/>
        </c:scaling>
        <c:delete val="1"/>
        <c:axPos val="l"/>
        <c:numFmt formatCode="&quot;£&quot;#,##0;[Red]\(&quot;£&quot;#,##0\)" sourceLinked="1"/>
        <c:majorTickMark val="out"/>
        <c:minorTickMark val="none"/>
        <c:tickLblPos val="nextTo"/>
        <c:crossAx val="411276992"/>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0986274047999455"/>
          <c:y val="0.89903846153846156"/>
          <c:w val="0.39046096198363239"/>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00009781282695"/>
          <c:y val="8.1730769230769232E-2"/>
          <c:w val="0.85576990041089207"/>
          <c:h val="0.67548076923076927"/>
        </c:manualLayout>
      </c:layout>
      <c:barChart>
        <c:barDir val="col"/>
        <c:grouping val="clustered"/>
        <c:varyColors val="0"/>
        <c:ser>
          <c:idx val="1"/>
          <c:order val="0"/>
          <c:tx>
            <c:strRef>
              <c:f>'HA1-CF'!$A$22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'HA1-CF'!$B$15:$AA$15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'HA1-CF'!$B$22:$AA$22</c:f>
              <c:numCache>
                <c:formatCode>"£"#,##0;[Red]\("£"#,##0\)</c:formatCode>
                <c:ptCount val="26"/>
                <c:pt idx="0">
                  <c:v>-35000</c:v>
                </c:pt>
                <c:pt idx="1">
                  <c:v>-35000</c:v>
                </c:pt>
                <c:pt idx="2">
                  <c:v>-24500</c:v>
                </c:pt>
                <c:pt idx="3">
                  <c:v>-24500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0669-4766-8379-4BAE3CC9A63D}"/>
            </c:ext>
          </c:extLst>
        </c:ser>
        <c:ser>
          <c:idx val="0"/>
          <c:order val="1"/>
          <c:tx>
            <c:strRef>
              <c:f>'HA1-CF'!$A$40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'HA1-CF'!$B$15:$AA$15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'HA1-CF'!$B$40:$AA$40</c:f>
              <c:numCache>
                <c:formatCode>"£"#,##0;[Red]\("£"#,##0\)</c:formatCode>
                <c:ptCount val="26"/>
                <c:pt idx="0">
                  <c:v>2108.890000000596</c:v>
                </c:pt>
                <c:pt idx="1">
                  <c:v>4217.7800000011921</c:v>
                </c:pt>
                <c:pt idx="2">
                  <c:v>99133.114000001922</c:v>
                </c:pt>
                <c:pt idx="3">
                  <c:v>194048.44800000265</c:v>
                </c:pt>
                <c:pt idx="4">
                  <c:v>194048.44800000265</c:v>
                </c:pt>
                <c:pt idx="5">
                  <c:v>194048.44800000265</c:v>
                </c:pt>
                <c:pt idx="6">
                  <c:v>194048.44800000265</c:v>
                </c:pt>
                <c:pt idx="7">
                  <c:v>194048.44800000265</c:v>
                </c:pt>
                <c:pt idx="8">
                  <c:v>194048.44800000265</c:v>
                </c:pt>
                <c:pt idx="9">
                  <c:v>194048.44800000265</c:v>
                </c:pt>
                <c:pt idx="10">
                  <c:v>194048.44800000265</c:v>
                </c:pt>
                <c:pt idx="11">
                  <c:v>194048.44800000265</c:v>
                </c:pt>
                <c:pt idx="12">
                  <c:v>194048.44800000265</c:v>
                </c:pt>
                <c:pt idx="13">
                  <c:v>194048.44800000265</c:v>
                </c:pt>
                <c:pt idx="14">
                  <c:v>194048.44800000265</c:v>
                </c:pt>
                <c:pt idx="15">
                  <c:v>194048.44800000265</c:v>
                </c:pt>
                <c:pt idx="16">
                  <c:v>194048.44800000265</c:v>
                </c:pt>
                <c:pt idx="17">
                  <c:v>194048.44800000265</c:v>
                </c:pt>
                <c:pt idx="18">
                  <c:v>194048.44800000265</c:v>
                </c:pt>
                <c:pt idx="19">
                  <c:v>194048.44800000265</c:v>
                </c:pt>
                <c:pt idx="20">
                  <c:v>194048.44800000265</c:v>
                </c:pt>
                <c:pt idx="21">
                  <c:v>194048.44800000265</c:v>
                </c:pt>
                <c:pt idx="22">
                  <c:v>194048.44800000265</c:v>
                </c:pt>
                <c:pt idx="23">
                  <c:v>194048.44800000265</c:v>
                </c:pt>
                <c:pt idx="24">
                  <c:v>194048.44800000265</c:v>
                </c:pt>
                <c:pt idx="25">
                  <c:v>194048.44800000265</c:v>
                </c:pt>
              </c:numCache>
            </c:numRef>
          </c:val>
          <c:extLst>
            <c:ext xmlns:c16="http://schemas.microsoft.com/office/drawing/2014/chart" uri="{C3380CC4-5D6E-409C-BE32-E72D297353CC}">
              <c16:uniqueId val="{00000001-0669-4766-8379-4BAE3CC9A63D}"/>
            </c:ext>
          </c:extLst>
        </c:ser>
        <c:dLbls>
          <c:showLegendKey val="0"/>
          <c:showVal val="0"/>
          <c:showCatName val="0"/>
          <c:showSerName val="0"/>
          <c:showPercent val="0"/>
          <c:showBubbleSize val="0"/>
        </c:dLbls>
        <c:gapWidth val="50"/>
        <c:overlap val="100"/>
        <c:axId val="411280912"/>
        <c:axId val="118278456"/>
      </c:barChart>
      <c:lineChart>
        <c:grouping val="standard"/>
        <c:varyColors val="0"/>
        <c:ser>
          <c:idx val="2"/>
          <c:order val="2"/>
          <c:tx>
            <c:strRef>
              <c:f>'HA1-CF'!$A$54</c:f>
              <c:strCache>
                <c:ptCount val="1"/>
                <c:pt idx="0">
                  <c:v>Net Cashflow</c:v>
                </c:pt>
              </c:strCache>
            </c:strRef>
          </c:tx>
          <c:spPr>
            <a:ln w="25400">
              <a:solidFill>
                <a:srgbClr val="008000"/>
              </a:solidFill>
              <a:prstDash val="lgDash"/>
            </a:ln>
          </c:spPr>
          <c:marker>
            <c:symbol val="none"/>
          </c:marker>
          <c:cat>
            <c:numRef>
              <c:f>'HA1-CF'!$B$15:$AA$15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'HA1-CF'!$B$54:$AA$54</c:f>
              <c:numCache>
                <c:formatCode>"£"#,##0;[Red]\("£"#,##0\)</c:formatCode>
                <c:ptCount val="26"/>
                <c:pt idx="0">
                  <c:v>-32891.109999999404</c:v>
                </c:pt>
                <c:pt idx="1">
                  <c:v>-30782.219999998808</c:v>
                </c:pt>
                <c:pt idx="2">
                  <c:v>74633.114000001922</c:v>
                </c:pt>
                <c:pt idx="3">
                  <c:v>169548.44800000265</c:v>
                </c:pt>
                <c:pt idx="4">
                  <c:v>194048.44800000265</c:v>
                </c:pt>
                <c:pt idx="5">
                  <c:v>194048.44800000265</c:v>
                </c:pt>
                <c:pt idx="6">
                  <c:v>194048.44800000265</c:v>
                </c:pt>
                <c:pt idx="7">
                  <c:v>194048.44800000265</c:v>
                </c:pt>
                <c:pt idx="8">
                  <c:v>194048.44800000265</c:v>
                </c:pt>
                <c:pt idx="9">
                  <c:v>194048.44800000265</c:v>
                </c:pt>
                <c:pt idx="10">
                  <c:v>194048.44800000265</c:v>
                </c:pt>
                <c:pt idx="11">
                  <c:v>194048.44800000265</c:v>
                </c:pt>
                <c:pt idx="12">
                  <c:v>194048.44800000265</c:v>
                </c:pt>
                <c:pt idx="13">
                  <c:v>194048.44800000265</c:v>
                </c:pt>
                <c:pt idx="14">
                  <c:v>194048.44800000265</c:v>
                </c:pt>
                <c:pt idx="15">
                  <c:v>194048.44800000265</c:v>
                </c:pt>
                <c:pt idx="16">
                  <c:v>194048.44800000265</c:v>
                </c:pt>
                <c:pt idx="17">
                  <c:v>194048.44800000265</c:v>
                </c:pt>
                <c:pt idx="18">
                  <c:v>194048.44800000265</c:v>
                </c:pt>
                <c:pt idx="19">
                  <c:v>194048.44800000265</c:v>
                </c:pt>
                <c:pt idx="20">
                  <c:v>194048.44800000265</c:v>
                </c:pt>
                <c:pt idx="21">
                  <c:v>194048.44800000265</c:v>
                </c:pt>
                <c:pt idx="22">
                  <c:v>194048.44800000265</c:v>
                </c:pt>
                <c:pt idx="23">
                  <c:v>194048.44800000265</c:v>
                </c:pt>
                <c:pt idx="24">
                  <c:v>194048.44800000265</c:v>
                </c:pt>
                <c:pt idx="25">
                  <c:v>194048.44800000265</c:v>
                </c:pt>
              </c:numCache>
            </c:numRef>
          </c:val>
          <c:smooth val="0"/>
          <c:extLst>
            <c:ext xmlns:c16="http://schemas.microsoft.com/office/drawing/2014/chart" uri="{C3380CC4-5D6E-409C-BE32-E72D297353CC}">
              <c16:uniqueId val="{00000002-0669-4766-8379-4BAE3CC9A63D}"/>
            </c:ext>
          </c:extLst>
        </c:ser>
        <c:dLbls>
          <c:showLegendKey val="0"/>
          <c:showVal val="0"/>
          <c:showCatName val="0"/>
          <c:showSerName val="0"/>
          <c:showPercent val="0"/>
          <c:showBubbleSize val="0"/>
        </c:dLbls>
        <c:marker val="1"/>
        <c:smooth val="0"/>
        <c:axId val="118281200"/>
        <c:axId val="118282376"/>
      </c:lineChart>
      <c:catAx>
        <c:axId val="41128091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3605811292819172"/>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18278456"/>
        <c:crosses val="autoZero"/>
        <c:auto val="0"/>
        <c:lblAlgn val="ctr"/>
        <c:lblOffset val="100"/>
        <c:tickLblSkip val="1"/>
        <c:tickMarkSkip val="1"/>
        <c:noMultiLvlLbl val="0"/>
      </c:catAx>
      <c:valAx>
        <c:axId val="118278456"/>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1280912"/>
        <c:crosses val="autoZero"/>
        <c:crossBetween val="between"/>
      </c:valAx>
      <c:catAx>
        <c:axId val="118281200"/>
        <c:scaling>
          <c:orientation val="minMax"/>
        </c:scaling>
        <c:delete val="1"/>
        <c:axPos val="b"/>
        <c:numFmt formatCode="0" sourceLinked="1"/>
        <c:majorTickMark val="out"/>
        <c:minorTickMark val="none"/>
        <c:tickLblPos val="nextTo"/>
        <c:crossAx val="118282376"/>
        <c:crosses val="autoZero"/>
        <c:auto val="0"/>
        <c:lblAlgn val="ctr"/>
        <c:lblOffset val="100"/>
        <c:noMultiLvlLbl val="0"/>
      </c:catAx>
      <c:valAx>
        <c:axId val="118282376"/>
        <c:scaling>
          <c:orientation val="minMax"/>
        </c:scaling>
        <c:delete val="1"/>
        <c:axPos val="l"/>
        <c:numFmt formatCode="&quot;£&quot;#,##0;[Red]\(&quot;£&quot;#,##0\)" sourceLinked="1"/>
        <c:majorTickMark val="out"/>
        <c:minorTickMark val="none"/>
        <c:tickLblPos val="nextTo"/>
        <c:crossAx val="118281200"/>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174682852143482"/>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41677263056251"/>
          <c:y val="8.1730769230769232E-2"/>
          <c:w val="0.84535322559315651"/>
          <c:h val="0.67548076923076927"/>
        </c:manualLayout>
      </c:layout>
      <c:barChart>
        <c:barDir val="col"/>
        <c:grouping val="clustered"/>
        <c:varyColors val="0"/>
        <c:ser>
          <c:idx val="1"/>
          <c:order val="0"/>
          <c:tx>
            <c:strRef>
              <c:f>'HA2-CF'!$A$22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'HA2-CF'!$B$15:$AA$15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'HA2-CF'!$B$22:$AA$22</c:f>
              <c:numCache>
                <c:formatCode>"£"#,##0;[Red]\("£"#,##0\)</c:formatCode>
                <c:ptCount val="26"/>
                <c:pt idx="0">
                  <c:v>-35000</c:v>
                </c:pt>
                <c:pt idx="1">
                  <c:v>-35000</c:v>
                </c:pt>
                <c:pt idx="2">
                  <c:v>-24500</c:v>
                </c:pt>
                <c:pt idx="3">
                  <c:v>-24500</c:v>
                </c:pt>
                <c:pt idx="4">
                  <c:v>-8000</c:v>
                </c:pt>
                <c:pt idx="5">
                  <c:v>-8000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9E84-4BFC-8AC1-0FBFE1934D5D}"/>
            </c:ext>
          </c:extLst>
        </c:ser>
        <c:ser>
          <c:idx val="0"/>
          <c:order val="1"/>
          <c:tx>
            <c:strRef>
              <c:f>'HA2-CF'!$A$40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'HA2-CF'!$B$15:$AA$15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'HA2-CF'!$B$40:$AA$40</c:f>
              <c:numCache>
                <c:formatCode>"£"#,##0;[Red]\("£"#,##0\)</c:formatCode>
                <c:ptCount val="26"/>
                <c:pt idx="0">
                  <c:v>2108.890000000596</c:v>
                </c:pt>
                <c:pt idx="1">
                  <c:v>4217.7800000011921</c:v>
                </c:pt>
                <c:pt idx="2">
                  <c:v>99133.114000001922</c:v>
                </c:pt>
                <c:pt idx="3">
                  <c:v>194048.44800000265</c:v>
                </c:pt>
                <c:pt idx="4">
                  <c:v>247163.78200000338</c:v>
                </c:pt>
                <c:pt idx="5">
                  <c:v>300279.11600000411</c:v>
                </c:pt>
                <c:pt idx="6">
                  <c:v>300279.11600000411</c:v>
                </c:pt>
                <c:pt idx="7">
                  <c:v>300279.11600000411</c:v>
                </c:pt>
                <c:pt idx="8">
                  <c:v>300279.11600000411</c:v>
                </c:pt>
                <c:pt idx="9">
                  <c:v>300279.11600000411</c:v>
                </c:pt>
                <c:pt idx="10">
                  <c:v>300279.11600000411</c:v>
                </c:pt>
                <c:pt idx="11">
                  <c:v>300279.11600000411</c:v>
                </c:pt>
                <c:pt idx="12">
                  <c:v>300279.11600000411</c:v>
                </c:pt>
                <c:pt idx="13">
                  <c:v>300279.11600000411</c:v>
                </c:pt>
                <c:pt idx="14">
                  <c:v>300279.11600000411</c:v>
                </c:pt>
                <c:pt idx="15">
                  <c:v>300279.11600000411</c:v>
                </c:pt>
                <c:pt idx="16">
                  <c:v>300279.11600000411</c:v>
                </c:pt>
                <c:pt idx="17">
                  <c:v>300279.11600000411</c:v>
                </c:pt>
                <c:pt idx="18">
                  <c:v>300279.11600000411</c:v>
                </c:pt>
                <c:pt idx="19">
                  <c:v>300279.11600000411</c:v>
                </c:pt>
                <c:pt idx="20">
                  <c:v>300279.11600000411</c:v>
                </c:pt>
                <c:pt idx="21">
                  <c:v>300279.11600000411</c:v>
                </c:pt>
                <c:pt idx="22">
                  <c:v>300279.11600000411</c:v>
                </c:pt>
                <c:pt idx="23">
                  <c:v>300279.11600000411</c:v>
                </c:pt>
                <c:pt idx="24">
                  <c:v>300279.11600000411</c:v>
                </c:pt>
                <c:pt idx="25">
                  <c:v>300279.11600000411</c:v>
                </c:pt>
              </c:numCache>
            </c:numRef>
          </c:val>
          <c:extLst>
            <c:ext xmlns:c16="http://schemas.microsoft.com/office/drawing/2014/chart" uri="{C3380CC4-5D6E-409C-BE32-E72D297353CC}">
              <c16:uniqueId val="{00000001-9E84-4BFC-8AC1-0FBFE1934D5D}"/>
            </c:ext>
          </c:extLst>
        </c:ser>
        <c:dLbls>
          <c:showLegendKey val="0"/>
          <c:showVal val="0"/>
          <c:showCatName val="0"/>
          <c:showSerName val="0"/>
          <c:showPercent val="0"/>
          <c:showBubbleSize val="0"/>
        </c:dLbls>
        <c:gapWidth val="50"/>
        <c:overlap val="100"/>
        <c:axId val="413604432"/>
        <c:axId val="413597768"/>
      </c:barChart>
      <c:lineChart>
        <c:grouping val="standard"/>
        <c:varyColors val="0"/>
        <c:ser>
          <c:idx val="2"/>
          <c:order val="2"/>
          <c:tx>
            <c:strRef>
              <c:f>'HA2-CF'!$A$54</c:f>
              <c:strCache>
                <c:ptCount val="1"/>
                <c:pt idx="0">
                  <c:v>Net Cashflow</c:v>
                </c:pt>
              </c:strCache>
            </c:strRef>
          </c:tx>
          <c:spPr>
            <a:ln w="25400">
              <a:solidFill>
                <a:srgbClr val="008000"/>
              </a:solidFill>
              <a:prstDash val="lgDash"/>
            </a:ln>
          </c:spPr>
          <c:marker>
            <c:symbol val="none"/>
          </c:marker>
          <c:cat>
            <c:numRef>
              <c:f>'HA2-CF'!$B$15:$AA$15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'HA2-CF'!$B$54:$AA$54</c:f>
              <c:numCache>
                <c:formatCode>"£"#,##0;[Red]\("£"#,##0\)</c:formatCode>
                <c:ptCount val="26"/>
                <c:pt idx="0">
                  <c:v>-32891.109999999404</c:v>
                </c:pt>
                <c:pt idx="1">
                  <c:v>-30782.219999998808</c:v>
                </c:pt>
                <c:pt idx="2">
                  <c:v>74633.114000001922</c:v>
                </c:pt>
                <c:pt idx="3">
                  <c:v>169548.44800000265</c:v>
                </c:pt>
                <c:pt idx="4">
                  <c:v>239163.78200000338</c:v>
                </c:pt>
                <c:pt idx="5">
                  <c:v>292279.11600000411</c:v>
                </c:pt>
                <c:pt idx="6">
                  <c:v>300279.11600000411</c:v>
                </c:pt>
                <c:pt idx="7">
                  <c:v>300279.11600000411</c:v>
                </c:pt>
                <c:pt idx="8">
                  <c:v>300279.11600000411</c:v>
                </c:pt>
                <c:pt idx="9">
                  <c:v>300279.11600000411</c:v>
                </c:pt>
                <c:pt idx="10">
                  <c:v>300279.11600000411</c:v>
                </c:pt>
                <c:pt idx="11">
                  <c:v>300279.11600000411</c:v>
                </c:pt>
                <c:pt idx="12">
                  <c:v>300279.11600000411</c:v>
                </c:pt>
                <c:pt idx="13">
                  <c:v>300279.11600000411</c:v>
                </c:pt>
                <c:pt idx="14">
                  <c:v>300279.11600000411</c:v>
                </c:pt>
                <c:pt idx="15">
                  <c:v>300279.11600000411</c:v>
                </c:pt>
                <c:pt idx="16">
                  <c:v>300279.11600000411</c:v>
                </c:pt>
                <c:pt idx="17">
                  <c:v>300279.11600000411</c:v>
                </c:pt>
                <c:pt idx="18">
                  <c:v>300279.11600000411</c:v>
                </c:pt>
                <c:pt idx="19">
                  <c:v>300279.11600000411</c:v>
                </c:pt>
                <c:pt idx="20">
                  <c:v>300279.11600000411</c:v>
                </c:pt>
                <c:pt idx="21">
                  <c:v>300279.11600000411</c:v>
                </c:pt>
                <c:pt idx="22">
                  <c:v>300279.11600000411</c:v>
                </c:pt>
                <c:pt idx="23">
                  <c:v>300279.11600000411</c:v>
                </c:pt>
                <c:pt idx="24">
                  <c:v>300279.11600000411</c:v>
                </c:pt>
                <c:pt idx="25">
                  <c:v>300279.11600000411</c:v>
                </c:pt>
              </c:numCache>
            </c:numRef>
          </c:val>
          <c:smooth val="0"/>
          <c:extLst>
            <c:ext xmlns:c16="http://schemas.microsoft.com/office/drawing/2014/chart" uri="{C3380CC4-5D6E-409C-BE32-E72D297353CC}">
              <c16:uniqueId val="{00000002-9E84-4BFC-8AC1-0FBFE1934D5D}"/>
            </c:ext>
          </c:extLst>
        </c:ser>
        <c:dLbls>
          <c:showLegendKey val="0"/>
          <c:showVal val="0"/>
          <c:showCatName val="0"/>
          <c:showSerName val="0"/>
          <c:showPercent val="0"/>
          <c:showBubbleSize val="0"/>
        </c:dLbls>
        <c:marker val="1"/>
        <c:smooth val="0"/>
        <c:axId val="413598160"/>
        <c:axId val="413605216"/>
      </c:lineChart>
      <c:catAx>
        <c:axId val="41360443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086580523588401"/>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597768"/>
        <c:crosses val="autoZero"/>
        <c:auto val="0"/>
        <c:lblAlgn val="ctr"/>
        <c:lblOffset val="100"/>
        <c:tickLblSkip val="1"/>
        <c:tickMarkSkip val="1"/>
        <c:noMultiLvlLbl val="0"/>
      </c:catAx>
      <c:valAx>
        <c:axId val="413597768"/>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4432"/>
        <c:crosses val="autoZero"/>
        <c:crossBetween val="between"/>
      </c:valAx>
      <c:catAx>
        <c:axId val="413598160"/>
        <c:scaling>
          <c:orientation val="minMax"/>
        </c:scaling>
        <c:delete val="1"/>
        <c:axPos val="b"/>
        <c:numFmt formatCode="0" sourceLinked="1"/>
        <c:majorTickMark val="out"/>
        <c:minorTickMark val="none"/>
        <c:tickLblPos val="nextTo"/>
        <c:crossAx val="413605216"/>
        <c:crosses val="autoZero"/>
        <c:auto val="0"/>
        <c:lblAlgn val="ctr"/>
        <c:lblOffset val="100"/>
        <c:noMultiLvlLbl val="0"/>
      </c:catAx>
      <c:valAx>
        <c:axId val="413605216"/>
        <c:scaling>
          <c:orientation val="minMax"/>
        </c:scaling>
        <c:delete val="1"/>
        <c:axPos val="l"/>
        <c:numFmt formatCode="&quot;£&quot;#,##0;[Red]\(&quot;£&quot;#,##0\)" sourceLinked="1"/>
        <c:majorTickMark val="out"/>
        <c:minorTickMark val="none"/>
        <c:tickLblPos val="nextTo"/>
        <c:crossAx val="413598160"/>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2708366982973278"/>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03216477001074"/>
          <c:y val="8.1730769230769232E-2"/>
          <c:w val="0.83573783345370833"/>
          <c:h val="0.67548076923076927"/>
        </c:manualLayout>
      </c:layout>
      <c:barChart>
        <c:barDir val="col"/>
        <c:grouping val="clustered"/>
        <c:varyColors val="0"/>
        <c:ser>
          <c:idx val="1"/>
          <c:order val="0"/>
          <c:tx>
            <c:strRef>
              <c:f>'PA-CF'!$A$22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'PA-CF'!$B$15:$AA$15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'PA-CF'!$B$22:$AA$22</c:f>
              <c:numCache>
                <c:formatCode>"£"#,##0;[Red]\("£"#,##0\)</c:formatCode>
                <c:ptCount val="26"/>
                <c:pt idx="0">
                  <c:v>-35000</c:v>
                </c:pt>
                <c:pt idx="1">
                  <c:v>-35000</c:v>
                </c:pt>
                <c:pt idx="2">
                  <c:v>-24500</c:v>
                </c:pt>
                <c:pt idx="3">
                  <c:v>-24500</c:v>
                </c:pt>
                <c:pt idx="4">
                  <c:v>-8000</c:v>
                </c:pt>
                <c:pt idx="5">
                  <c:v>-8000</c:v>
                </c:pt>
                <c:pt idx="6">
                  <c:v>-23000</c:v>
                </c:pt>
                <c:pt idx="7">
                  <c:v>-23000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FAF0-4EE2-8896-0721F700876B}"/>
            </c:ext>
          </c:extLst>
        </c:ser>
        <c:ser>
          <c:idx val="0"/>
          <c:order val="1"/>
          <c:tx>
            <c:strRef>
              <c:f>'PA-CF'!$A$40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'PA-CF'!$B$15:$AA$15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'PA-CF'!$B$40:$AA$40</c:f>
              <c:numCache>
                <c:formatCode>"£"#,##0;[Red]\("£"#,##0\)</c:formatCode>
                <c:ptCount val="26"/>
                <c:pt idx="0">
                  <c:v>2108.890000000596</c:v>
                </c:pt>
                <c:pt idx="1">
                  <c:v>4217.7800000011921</c:v>
                </c:pt>
                <c:pt idx="2">
                  <c:v>99133.114000001922</c:v>
                </c:pt>
                <c:pt idx="3">
                  <c:v>194048.44800000265</c:v>
                </c:pt>
                <c:pt idx="4">
                  <c:v>247163.78200000338</c:v>
                </c:pt>
                <c:pt idx="5">
                  <c:v>300279.11600000411</c:v>
                </c:pt>
                <c:pt idx="6">
                  <c:v>413175.11800000444</c:v>
                </c:pt>
                <c:pt idx="7">
                  <c:v>526071.12000000477</c:v>
                </c:pt>
                <c:pt idx="8">
                  <c:v>526071.12000000477</c:v>
                </c:pt>
                <c:pt idx="9">
                  <c:v>526071.12000000477</c:v>
                </c:pt>
                <c:pt idx="10">
                  <c:v>526071.12000000477</c:v>
                </c:pt>
                <c:pt idx="11">
                  <c:v>526071.12000000477</c:v>
                </c:pt>
                <c:pt idx="12">
                  <c:v>526071.12000000477</c:v>
                </c:pt>
                <c:pt idx="13">
                  <c:v>526071.12000000477</c:v>
                </c:pt>
                <c:pt idx="14">
                  <c:v>526071.12000000477</c:v>
                </c:pt>
                <c:pt idx="15">
                  <c:v>526071.12000000477</c:v>
                </c:pt>
                <c:pt idx="16">
                  <c:v>526071.12000000477</c:v>
                </c:pt>
                <c:pt idx="17">
                  <c:v>526071.12000000477</c:v>
                </c:pt>
                <c:pt idx="18">
                  <c:v>526071.12000000477</c:v>
                </c:pt>
                <c:pt idx="19">
                  <c:v>526071.12000000477</c:v>
                </c:pt>
                <c:pt idx="20">
                  <c:v>526071.12000000477</c:v>
                </c:pt>
                <c:pt idx="21">
                  <c:v>526071.12000000477</c:v>
                </c:pt>
                <c:pt idx="22">
                  <c:v>526071.12000000477</c:v>
                </c:pt>
                <c:pt idx="23">
                  <c:v>526071.12000000477</c:v>
                </c:pt>
                <c:pt idx="24">
                  <c:v>526071.12000000477</c:v>
                </c:pt>
                <c:pt idx="25">
                  <c:v>526071.12000000477</c:v>
                </c:pt>
              </c:numCache>
            </c:numRef>
          </c:val>
          <c:extLst>
            <c:ext xmlns:c16="http://schemas.microsoft.com/office/drawing/2014/chart" uri="{C3380CC4-5D6E-409C-BE32-E72D297353CC}">
              <c16:uniqueId val="{00000001-FAF0-4EE2-8896-0721F700876B}"/>
            </c:ext>
          </c:extLst>
        </c:ser>
        <c:dLbls>
          <c:showLegendKey val="0"/>
          <c:showVal val="0"/>
          <c:showCatName val="0"/>
          <c:showSerName val="0"/>
          <c:showPercent val="0"/>
          <c:showBubbleSize val="0"/>
        </c:dLbls>
        <c:gapWidth val="50"/>
        <c:overlap val="100"/>
        <c:axId val="413600512"/>
        <c:axId val="413600904"/>
      </c:barChart>
      <c:lineChart>
        <c:grouping val="standard"/>
        <c:varyColors val="0"/>
        <c:ser>
          <c:idx val="2"/>
          <c:order val="2"/>
          <c:tx>
            <c:strRef>
              <c:f>'PA-CF'!$A$54</c:f>
              <c:strCache>
                <c:ptCount val="1"/>
                <c:pt idx="0">
                  <c:v>Net Cashflow</c:v>
                </c:pt>
              </c:strCache>
            </c:strRef>
          </c:tx>
          <c:spPr>
            <a:ln w="25400">
              <a:solidFill>
                <a:srgbClr val="008000"/>
              </a:solidFill>
              <a:prstDash val="lgDash"/>
            </a:ln>
          </c:spPr>
          <c:marker>
            <c:symbol val="none"/>
          </c:marker>
          <c:cat>
            <c:numRef>
              <c:f>'PA-CF'!$B$15:$AA$15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'PA-CF'!$B$54:$AA$54</c:f>
              <c:numCache>
                <c:formatCode>"£"#,##0;[Red]\("£"#,##0\)</c:formatCode>
                <c:ptCount val="26"/>
                <c:pt idx="0">
                  <c:v>-32891.109999999404</c:v>
                </c:pt>
                <c:pt idx="1">
                  <c:v>-30782.219999998808</c:v>
                </c:pt>
                <c:pt idx="2">
                  <c:v>74633.114000001922</c:v>
                </c:pt>
                <c:pt idx="3">
                  <c:v>169548.44800000265</c:v>
                </c:pt>
                <c:pt idx="4">
                  <c:v>239163.78200000338</c:v>
                </c:pt>
                <c:pt idx="5">
                  <c:v>292279.11600000411</c:v>
                </c:pt>
                <c:pt idx="6">
                  <c:v>390175.11800000444</c:v>
                </c:pt>
                <c:pt idx="7">
                  <c:v>503071.12000000477</c:v>
                </c:pt>
                <c:pt idx="8">
                  <c:v>526071.12000000477</c:v>
                </c:pt>
                <c:pt idx="9">
                  <c:v>526071.12000000477</c:v>
                </c:pt>
                <c:pt idx="10">
                  <c:v>526071.12000000477</c:v>
                </c:pt>
                <c:pt idx="11">
                  <c:v>526071.12000000477</c:v>
                </c:pt>
                <c:pt idx="12">
                  <c:v>526071.12000000477</c:v>
                </c:pt>
                <c:pt idx="13">
                  <c:v>526071.12000000477</c:v>
                </c:pt>
                <c:pt idx="14">
                  <c:v>526071.12000000477</c:v>
                </c:pt>
                <c:pt idx="15">
                  <c:v>526071.12000000477</c:v>
                </c:pt>
                <c:pt idx="16">
                  <c:v>526071.12000000477</c:v>
                </c:pt>
                <c:pt idx="17">
                  <c:v>526071.12000000477</c:v>
                </c:pt>
                <c:pt idx="18">
                  <c:v>526071.12000000477</c:v>
                </c:pt>
                <c:pt idx="19">
                  <c:v>526071.12000000477</c:v>
                </c:pt>
                <c:pt idx="20">
                  <c:v>526071.12000000477</c:v>
                </c:pt>
                <c:pt idx="21">
                  <c:v>526071.12000000477</c:v>
                </c:pt>
                <c:pt idx="22">
                  <c:v>526071.12000000477</c:v>
                </c:pt>
                <c:pt idx="23">
                  <c:v>526071.12000000477</c:v>
                </c:pt>
                <c:pt idx="24">
                  <c:v>526071.12000000477</c:v>
                </c:pt>
                <c:pt idx="25">
                  <c:v>526071.12000000477</c:v>
                </c:pt>
              </c:numCache>
            </c:numRef>
          </c:val>
          <c:smooth val="0"/>
          <c:extLst>
            <c:ext xmlns:c16="http://schemas.microsoft.com/office/drawing/2014/chart" uri="{C3380CC4-5D6E-409C-BE32-E72D297353CC}">
              <c16:uniqueId val="{00000002-FAF0-4EE2-8896-0721F700876B}"/>
            </c:ext>
          </c:extLst>
        </c:ser>
        <c:dLbls>
          <c:showLegendKey val="0"/>
          <c:showVal val="0"/>
          <c:showCatName val="0"/>
          <c:showSerName val="0"/>
          <c:showPercent val="0"/>
          <c:showBubbleSize val="0"/>
        </c:dLbls>
        <c:marker val="1"/>
        <c:smooth val="0"/>
        <c:axId val="413601688"/>
        <c:axId val="413602080"/>
      </c:lineChart>
      <c:catAx>
        <c:axId val="413600512"/>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56734975435763"/>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600904"/>
        <c:crosses val="autoZero"/>
        <c:auto val="0"/>
        <c:lblAlgn val="ctr"/>
        <c:lblOffset val="100"/>
        <c:tickLblSkip val="1"/>
        <c:tickMarkSkip val="1"/>
        <c:noMultiLvlLbl val="0"/>
      </c:catAx>
      <c:valAx>
        <c:axId val="413600904"/>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2692307692307693"/>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0512"/>
        <c:crosses val="autoZero"/>
        <c:crossBetween val="between"/>
      </c:valAx>
      <c:catAx>
        <c:axId val="413601688"/>
        <c:scaling>
          <c:orientation val="minMax"/>
        </c:scaling>
        <c:delete val="1"/>
        <c:axPos val="b"/>
        <c:numFmt formatCode="0" sourceLinked="1"/>
        <c:majorTickMark val="out"/>
        <c:minorTickMark val="none"/>
        <c:tickLblPos val="nextTo"/>
        <c:crossAx val="413602080"/>
        <c:crosses val="autoZero"/>
        <c:auto val="0"/>
        <c:lblAlgn val="ctr"/>
        <c:lblOffset val="100"/>
        <c:noMultiLvlLbl val="0"/>
      </c:catAx>
      <c:valAx>
        <c:axId val="413602080"/>
        <c:scaling>
          <c:orientation val="minMax"/>
        </c:scaling>
        <c:delete val="1"/>
        <c:axPos val="l"/>
        <c:numFmt formatCode="&quot;£&quot;#,##0;[Red]\(&quot;£&quot;#,##0\)" sourceLinked="1"/>
        <c:majorTickMark val="out"/>
        <c:minorTickMark val="none"/>
        <c:tickLblPos val="nextTo"/>
        <c:crossAx val="413601688"/>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5432725957332254"/>
          <c:y val="0.89903846153846156"/>
          <c:w val="0.38701956726563025"/>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23729548316014"/>
          <c:y val="8.4134615384615391E-2"/>
          <c:w val="0.83253270274055891"/>
          <c:h val="0.65144230769230771"/>
        </c:manualLayout>
      </c:layout>
      <c:barChart>
        <c:barDir val="col"/>
        <c:grouping val="clustered"/>
        <c:varyColors val="0"/>
        <c:ser>
          <c:idx val="1"/>
          <c:order val="0"/>
          <c:tx>
            <c:strRef>
              <c:f>'AG-CF'!$A$22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'AG-CF'!$B$15:$AA$15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'AG-CF'!$B$22:$AA$22</c:f>
              <c:numCache>
                <c:formatCode>"£"#,##0;[Red]\("£"#,##0\)</c:formatCode>
                <c:ptCount val="26"/>
                <c:pt idx="0">
                  <c:v>-35000</c:v>
                </c:pt>
                <c:pt idx="1">
                  <c:v>-35000</c:v>
                </c:pt>
                <c:pt idx="2">
                  <c:v>-24500</c:v>
                </c:pt>
                <c:pt idx="3">
                  <c:v>-24500</c:v>
                </c:pt>
                <c:pt idx="4">
                  <c:v>-8000</c:v>
                </c:pt>
                <c:pt idx="5">
                  <c:v>-8000</c:v>
                </c:pt>
                <c:pt idx="6">
                  <c:v>-23000</c:v>
                </c:pt>
                <c:pt idx="7">
                  <c:v>-23000</c:v>
                </c:pt>
                <c:pt idx="8">
                  <c:v>-13000</c:v>
                </c:pt>
                <c:pt idx="9">
                  <c:v>-13000</c:v>
                </c:pt>
                <c:pt idx="10">
                  <c:v>-13000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B202-40C0-B7F4-08CBC0E2F1B8}"/>
            </c:ext>
          </c:extLst>
        </c:ser>
        <c:ser>
          <c:idx val="0"/>
          <c:order val="1"/>
          <c:tx>
            <c:strRef>
              <c:f>'AG-CF'!$A$40</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'AG-CF'!$B$15:$AA$15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'AG-CF'!$B$40:$AA$40</c:f>
              <c:numCache>
                <c:formatCode>"£"#,##0;[Red]\("£"#,##0\)</c:formatCode>
                <c:ptCount val="26"/>
                <c:pt idx="0">
                  <c:v>2108.890000000596</c:v>
                </c:pt>
                <c:pt idx="1">
                  <c:v>4217.7800000011921</c:v>
                </c:pt>
                <c:pt idx="2">
                  <c:v>99133.114000001922</c:v>
                </c:pt>
                <c:pt idx="3">
                  <c:v>194048.44800000265</c:v>
                </c:pt>
                <c:pt idx="4">
                  <c:v>247163.78200000338</c:v>
                </c:pt>
                <c:pt idx="5">
                  <c:v>300279.11600000411</c:v>
                </c:pt>
                <c:pt idx="6">
                  <c:v>413175.11800000444</c:v>
                </c:pt>
                <c:pt idx="7">
                  <c:v>526071.12000000477</c:v>
                </c:pt>
                <c:pt idx="8">
                  <c:v>678004.45333333872</c:v>
                </c:pt>
                <c:pt idx="9">
                  <c:v>829937.78666667268</c:v>
                </c:pt>
                <c:pt idx="10">
                  <c:v>981871.12000000663</c:v>
                </c:pt>
                <c:pt idx="11">
                  <c:v>981871.12000000663</c:v>
                </c:pt>
                <c:pt idx="12">
                  <c:v>981871.12000000663</c:v>
                </c:pt>
                <c:pt idx="13">
                  <c:v>981871.12000000663</c:v>
                </c:pt>
                <c:pt idx="14">
                  <c:v>981871.12000000663</c:v>
                </c:pt>
                <c:pt idx="15">
                  <c:v>981871.12000000663</c:v>
                </c:pt>
                <c:pt idx="16">
                  <c:v>981871.12000000663</c:v>
                </c:pt>
                <c:pt idx="17">
                  <c:v>981871.12000000663</c:v>
                </c:pt>
                <c:pt idx="18">
                  <c:v>981871.12000000663</c:v>
                </c:pt>
                <c:pt idx="19">
                  <c:v>981871.12000000663</c:v>
                </c:pt>
                <c:pt idx="20">
                  <c:v>981871.12000000663</c:v>
                </c:pt>
                <c:pt idx="21">
                  <c:v>981871.12000000663</c:v>
                </c:pt>
                <c:pt idx="22">
                  <c:v>981871.12000000663</c:v>
                </c:pt>
                <c:pt idx="23">
                  <c:v>981871.12000000663</c:v>
                </c:pt>
                <c:pt idx="24">
                  <c:v>981871.12000000663</c:v>
                </c:pt>
                <c:pt idx="25">
                  <c:v>981871.12000000663</c:v>
                </c:pt>
              </c:numCache>
            </c:numRef>
          </c:val>
          <c:extLst>
            <c:ext xmlns:c16="http://schemas.microsoft.com/office/drawing/2014/chart" uri="{C3380CC4-5D6E-409C-BE32-E72D297353CC}">
              <c16:uniqueId val="{00000001-B202-40C0-B7F4-08CBC0E2F1B8}"/>
            </c:ext>
          </c:extLst>
        </c:ser>
        <c:dLbls>
          <c:showLegendKey val="0"/>
          <c:showVal val="0"/>
          <c:showCatName val="0"/>
          <c:showSerName val="0"/>
          <c:showPercent val="0"/>
          <c:showBubbleSize val="0"/>
        </c:dLbls>
        <c:gapWidth val="50"/>
        <c:overlap val="100"/>
        <c:axId val="413604824"/>
        <c:axId val="413599728"/>
      </c:barChart>
      <c:lineChart>
        <c:grouping val="standard"/>
        <c:varyColors val="0"/>
        <c:ser>
          <c:idx val="2"/>
          <c:order val="2"/>
          <c:tx>
            <c:strRef>
              <c:f>'AG-CF'!$A$54</c:f>
              <c:strCache>
                <c:ptCount val="1"/>
                <c:pt idx="0">
                  <c:v>Net Cashflow</c:v>
                </c:pt>
              </c:strCache>
            </c:strRef>
          </c:tx>
          <c:spPr>
            <a:ln w="25400">
              <a:solidFill>
                <a:srgbClr val="008000"/>
              </a:solidFill>
              <a:prstDash val="lgDash"/>
            </a:ln>
          </c:spPr>
          <c:marker>
            <c:symbol val="none"/>
          </c:marker>
          <c:cat>
            <c:numRef>
              <c:f>'AG-CF'!$B$15:$AA$15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'AG-CF'!$B$54:$AA$54</c:f>
              <c:numCache>
                <c:formatCode>"£"#,##0;[Red]\("£"#,##0\)</c:formatCode>
                <c:ptCount val="26"/>
                <c:pt idx="0">
                  <c:v>-32891.109999999404</c:v>
                </c:pt>
                <c:pt idx="1">
                  <c:v>-30782.219999998808</c:v>
                </c:pt>
                <c:pt idx="2">
                  <c:v>74633.114000001922</c:v>
                </c:pt>
                <c:pt idx="3">
                  <c:v>169548.44800000265</c:v>
                </c:pt>
                <c:pt idx="4">
                  <c:v>239163.78200000338</c:v>
                </c:pt>
                <c:pt idx="5">
                  <c:v>292279.11600000411</c:v>
                </c:pt>
                <c:pt idx="6">
                  <c:v>390175.11800000444</c:v>
                </c:pt>
                <c:pt idx="7">
                  <c:v>503071.12000000477</c:v>
                </c:pt>
                <c:pt idx="8">
                  <c:v>665004.45333333872</c:v>
                </c:pt>
                <c:pt idx="9">
                  <c:v>816937.78666667268</c:v>
                </c:pt>
                <c:pt idx="10">
                  <c:v>968871.12000000663</c:v>
                </c:pt>
                <c:pt idx="11">
                  <c:v>981871.12000000663</c:v>
                </c:pt>
                <c:pt idx="12">
                  <c:v>981871.12000000663</c:v>
                </c:pt>
                <c:pt idx="13">
                  <c:v>981871.12000000663</c:v>
                </c:pt>
                <c:pt idx="14">
                  <c:v>981871.12000000663</c:v>
                </c:pt>
                <c:pt idx="15">
                  <c:v>981871.12000000663</c:v>
                </c:pt>
                <c:pt idx="16">
                  <c:v>981871.12000000663</c:v>
                </c:pt>
                <c:pt idx="17">
                  <c:v>981871.12000000663</c:v>
                </c:pt>
                <c:pt idx="18">
                  <c:v>981871.12000000663</c:v>
                </c:pt>
                <c:pt idx="19">
                  <c:v>981871.12000000663</c:v>
                </c:pt>
                <c:pt idx="20">
                  <c:v>981871.12000000663</c:v>
                </c:pt>
                <c:pt idx="21">
                  <c:v>981871.12000000663</c:v>
                </c:pt>
                <c:pt idx="22">
                  <c:v>981871.12000000663</c:v>
                </c:pt>
                <c:pt idx="23">
                  <c:v>981871.12000000663</c:v>
                </c:pt>
                <c:pt idx="24">
                  <c:v>981871.12000000663</c:v>
                </c:pt>
                <c:pt idx="25">
                  <c:v>981871.12000000663</c:v>
                </c:pt>
              </c:numCache>
            </c:numRef>
          </c:val>
          <c:smooth val="0"/>
          <c:extLst>
            <c:ext xmlns:c16="http://schemas.microsoft.com/office/drawing/2014/chart" uri="{C3380CC4-5D6E-409C-BE32-E72D297353CC}">
              <c16:uniqueId val="{00000002-B202-40C0-B7F4-08CBC0E2F1B8}"/>
            </c:ext>
          </c:extLst>
        </c:ser>
        <c:dLbls>
          <c:showLegendKey val="0"/>
          <c:showVal val="0"/>
          <c:showCatName val="0"/>
          <c:showSerName val="0"/>
          <c:showPercent val="0"/>
          <c:showBubbleSize val="0"/>
        </c:dLbls>
        <c:marker val="1"/>
        <c:smooth val="0"/>
        <c:axId val="413602864"/>
        <c:axId val="413603256"/>
      </c:lineChart>
      <c:catAx>
        <c:axId val="413604824"/>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472760616461404"/>
              <c:y val="0.77644230769230771"/>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3599728"/>
        <c:crosses val="autoZero"/>
        <c:auto val="0"/>
        <c:lblAlgn val="ctr"/>
        <c:lblOffset val="100"/>
        <c:tickLblSkip val="1"/>
        <c:tickMarkSkip val="1"/>
        <c:noMultiLvlLbl val="0"/>
      </c:catAx>
      <c:valAx>
        <c:axId val="413599728"/>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403846153846154E-2"/>
              <c:y val="0.31730769230769229"/>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3604824"/>
        <c:crosses val="autoZero"/>
        <c:crossBetween val="between"/>
      </c:valAx>
      <c:catAx>
        <c:axId val="413602864"/>
        <c:scaling>
          <c:orientation val="minMax"/>
        </c:scaling>
        <c:delete val="1"/>
        <c:axPos val="b"/>
        <c:numFmt formatCode="0" sourceLinked="1"/>
        <c:majorTickMark val="out"/>
        <c:minorTickMark val="none"/>
        <c:tickLblPos val="nextTo"/>
        <c:crossAx val="413603256"/>
        <c:crosses val="autoZero"/>
        <c:auto val="0"/>
        <c:lblAlgn val="ctr"/>
        <c:lblOffset val="100"/>
        <c:noMultiLvlLbl val="0"/>
      </c:catAx>
      <c:valAx>
        <c:axId val="413603256"/>
        <c:scaling>
          <c:orientation val="minMax"/>
        </c:scaling>
        <c:delete val="1"/>
        <c:axPos val="l"/>
        <c:numFmt formatCode="&quot;£&quot;#,##0;[Red]\(&quot;£&quot;#,##0\)" sourceLinked="1"/>
        <c:majorTickMark val="out"/>
        <c:minorTickMark val="none"/>
        <c:tickLblPos val="nextTo"/>
        <c:crossAx val="413602864"/>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x val="0.43750033649639947"/>
          <c:y val="0.88942307692307687"/>
          <c:w val="0.38701956726563019"/>
          <c:h val="7.211538461538458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326985150447865E-2"/>
          <c:y val="8.1730769230769232E-2"/>
          <c:w val="0.90144301307327124"/>
          <c:h val="0.64182692307692313"/>
        </c:manualLayout>
      </c:layout>
      <c:barChart>
        <c:barDir val="col"/>
        <c:grouping val="clustered"/>
        <c:varyColors val="0"/>
        <c:ser>
          <c:idx val="1"/>
          <c:order val="0"/>
          <c:tx>
            <c:strRef>
              <c:f>'Current-CF'!$A$22</c:f>
              <c:strCache>
                <c:ptCount val="1"/>
                <c:pt idx="0">
                  <c:v>Capex</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25400">
              <a:noFill/>
            </a:ln>
          </c:spPr>
          <c:invertIfNegative val="0"/>
          <c:cat>
            <c:numRef>
              <c:f>'Current-CF'!$B$15:$AA$15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'Current-CF'!$B$22:$AA$22</c:f>
              <c:numCache>
                <c:formatCode>"£"#,##0;[Red]\("£"#,##0\)</c:formatCode>
                <c:ptCount val="26"/>
              </c:numCache>
            </c:numRef>
          </c:val>
          <c:extLst>
            <c:ext xmlns:c16="http://schemas.microsoft.com/office/drawing/2014/chart" uri="{C3380CC4-5D6E-409C-BE32-E72D297353CC}">
              <c16:uniqueId val="{00000000-D19D-4F25-8BB9-3BF34BBDA79F}"/>
            </c:ext>
          </c:extLst>
        </c:ser>
        <c:ser>
          <c:idx val="0"/>
          <c:order val="1"/>
          <c:tx>
            <c:strRef>
              <c:f>'Current-CF'!$A$28</c:f>
              <c:strCache>
                <c:ptCount val="1"/>
                <c:pt idx="0">
                  <c:v>Benefit vs. Current</c:v>
                </c:pt>
              </c:strCache>
            </c:strRef>
          </c:tx>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0" scaled="1"/>
            </a:gradFill>
            <a:ln w="25400">
              <a:noFill/>
            </a:ln>
          </c:spPr>
          <c:invertIfNegative val="0"/>
          <c:cat>
            <c:numRef>
              <c:f>'Current-CF'!$B$15:$AA$15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'Current-CF'!$B$28:$AA$28</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D19D-4F25-8BB9-3BF34BBDA79F}"/>
            </c:ext>
          </c:extLst>
        </c:ser>
        <c:dLbls>
          <c:showLegendKey val="0"/>
          <c:showVal val="0"/>
          <c:showCatName val="0"/>
          <c:showSerName val="0"/>
          <c:showPercent val="0"/>
          <c:showBubbleSize val="0"/>
        </c:dLbls>
        <c:gapWidth val="50"/>
        <c:overlap val="100"/>
        <c:axId val="414558408"/>
        <c:axId val="414562720"/>
      </c:barChart>
      <c:lineChart>
        <c:grouping val="standard"/>
        <c:varyColors val="0"/>
        <c:ser>
          <c:idx val="2"/>
          <c:order val="2"/>
          <c:tx>
            <c:strRef>
              <c:f>'Current-CF'!$A$34</c:f>
              <c:strCache>
                <c:ptCount val="1"/>
                <c:pt idx="0">
                  <c:v>Net Cashflow</c:v>
                </c:pt>
              </c:strCache>
            </c:strRef>
          </c:tx>
          <c:spPr>
            <a:ln w="25400">
              <a:solidFill>
                <a:srgbClr val="008000"/>
              </a:solidFill>
              <a:prstDash val="lgDash"/>
            </a:ln>
          </c:spPr>
          <c:marker>
            <c:symbol val="none"/>
          </c:marker>
          <c:cat>
            <c:numRef>
              <c:f>'Current-CF'!$B$15:$AA$15</c:f>
              <c:numCache>
                <c:formatCode>0</c:formatCode>
                <c:ptCount val="26"/>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numCache>
            </c:numRef>
          </c:cat>
          <c:val>
            <c:numRef>
              <c:f>'Current-CF'!$B$34:$AA$34</c:f>
              <c:numCache>
                <c:formatCode>"£"#,##0;[Red]\("£"#,##0\)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2-D19D-4F25-8BB9-3BF34BBDA79F}"/>
            </c:ext>
          </c:extLst>
        </c:ser>
        <c:dLbls>
          <c:showLegendKey val="0"/>
          <c:showVal val="0"/>
          <c:showCatName val="0"/>
          <c:showSerName val="0"/>
          <c:showPercent val="0"/>
          <c:showBubbleSize val="0"/>
        </c:dLbls>
        <c:marker val="1"/>
        <c:smooth val="0"/>
        <c:axId val="414563896"/>
        <c:axId val="414563112"/>
      </c:lineChart>
      <c:catAx>
        <c:axId val="414558408"/>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GB"/>
                  <a:t>Year</a:t>
                </a:r>
              </a:p>
            </c:rich>
          </c:tx>
          <c:layout>
            <c:manualLayout>
              <c:xMode val="edge"/>
              <c:yMode val="edge"/>
              <c:x val="0.51282093344101221"/>
              <c:y val="0.7980769230769231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14562720"/>
        <c:crosses val="autoZero"/>
        <c:auto val="0"/>
        <c:lblAlgn val="ctr"/>
        <c:lblOffset val="100"/>
        <c:tickLblSkip val="1"/>
        <c:tickMarkSkip val="1"/>
        <c:noMultiLvlLbl val="0"/>
      </c:catAx>
      <c:valAx>
        <c:axId val="414562720"/>
        <c:scaling>
          <c:orientation val="minMax"/>
        </c:scaling>
        <c:delete val="0"/>
        <c:axPos val="l"/>
        <c:majorGridlines>
          <c:spPr>
            <a:ln w="12700">
              <a:solidFill>
                <a:srgbClr val="C0C0C0"/>
              </a:solidFill>
              <a:prstDash val="solid"/>
            </a:ln>
          </c:spPr>
        </c:majorGridlines>
        <c:title>
          <c:tx>
            <c:rich>
              <a:bodyPr/>
              <a:lstStyle/>
              <a:p>
                <a:pPr>
                  <a:defRPr sz="1400" b="1" i="0" u="none" strike="noStrike" baseline="0">
                    <a:solidFill>
                      <a:srgbClr val="000000"/>
                    </a:solidFill>
                    <a:latin typeface="Calibri"/>
                    <a:ea typeface="Calibri"/>
                    <a:cs typeface="Calibri"/>
                  </a:defRPr>
                </a:pPr>
                <a:r>
                  <a:rPr lang="en-GB"/>
                  <a:t>Value (£)</a:t>
                </a:r>
              </a:p>
            </c:rich>
          </c:tx>
          <c:layout>
            <c:manualLayout>
              <c:xMode val="edge"/>
              <c:yMode val="edge"/>
              <c:x val="2.0833333333333332E-2"/>
              <c:y val="0.31009615384615385"/>
            </c:manualLayout>
          </c:layout>
          <c:overlay val="0"/>
          <c:spPr>
            <a:noFill/>
            <a:ln w="25400">
              <a:noFill/>
            </a:ln>
          </c:spPr>
        </c:title>
        <c:numFmt formatCode="&quot;£&quot;#,##0;[Red]\(&quot;£&quot;#,##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414558408"/>
        <c:crosses val="autoZero"/>
        <c:crossBetween val="between"/>
      </c:valAx>
      <c:catAx>
        <c:axId val="414563896"/>
        <c:scaling>
          <c:orientation val="minMax"/>
        </c:scaling>
        <c:delete val="1"/>
        <c:axPos val="b"/>
        <c:numFmt formatCode="0" sourceLinked="1"/>
        <c:majorTickMark val="out"/>
        <c:minorTickMark val="none"/>
        <c:tickLblPos val="nextTo"/>
        <c:crossAx val="414563112"/>
        <c:crosses val="autoZero"/>
        <c:auto val="0"/>
        <c:lblAlgn val="ctr"/>
        <c:lblOffset val="100"/>
        <c:noMultiLvlLbl val="0"/>
      </c:catAx>
      <c:valAx>
        <c:axId val="414563112"/>
        <c:scaling>
          <c:orientation val="minMax"/>
        </c:scaling>
        <c:delete val="1"/>
        <c:axPos val="l"/>
        <c:numFmt formatCode="&quot;£&quot;#,##0;[Red]\(&quot;£&quot;#,##0\)" sourceLinked="1"/>
        <c:majorTickMark val="out"/>
        <c:minorTickMark val="none"/>
        <c:tickLblPos val="nextTo"/>
        <c:crossAx val="414563896"/>
        <c:crosses val="autoZero"/>
        <c:crossBetween val="between"/>
      </c:valAx>
      <c:spPr>
        <a:gradFill rotWithShape="0">
          <a:gsLst>
            <a:gs pos="0">
              <a:srgbClr xmlns:mc="http://schemas.openxmlformats.org/markup-compatibility/2006" xmlns:a14="http://schemas.microsoft.com/office/drawing/2010/main" val="F2F2F2" mc:Ignorable="a14" a14:legacySpreadsheetColorIndex="55">
                <a:gamma/>
                <a:tint val="12549"/>
                <a:invGamma/>
              </a:srgbClr>
            </a:gs>
            <a:gs pos="100000">
              <a:srgbClr xmlns:mc="http://schemas.openxmlformats.org/markup-compatibility/2006" xmlns:a14="http://schemas.microsoft.com/office/drawing/2010/main" val="969696" mc:Ignorable="a14" a14:legacySpreadsheetColorIndex="55"/>
            </a:gs>
          </a:gsLst>
          <a:lin ang="5400000" scaled="1"/>
        </a:gradFill>
        <a:ln w="12700">
          <a:solidFill>
            <a:srgbClr val="808080"/>
          </a:solidFill>
          <a:prstDash val="solid"/>
        </a:ln>
      </c:spPr>
    </c:plotArea>
    <c:legend>
      <c:legendPos val="b"/>
      <c:layout>
        <c:manualLayout>
          <c:xMode val="edge"/>
          <c:yMode val="edge"/>
          <c:wMode val="edge"/>
          <c:hMode val="edge"/>
          <c:x val="0.33253230365435094"/>
          <c:y val="0.89903846153846156"/>
          <c:w val="0.71955187091998118"/>
          <c:h val="0.97115384615384615"/>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4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sht_Outputs_Chart1">
    <tabColor indexed="41"/>
  </sheetPr>
  <sheetViews>
    <sheetView workbookViewId="0"/>
  </sheetViews>
  <pageMargins left="0.75" right="0.75" top="1" bottom="1" header="0.5" footer="0.5"/>
  <pageSetup paperSize="9" orientation="landscape"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sht_Outputs_Chart2">
    <tabColor indexed="41"/>
  </sheetPr>
  <sheetViews>
    <sheetView workbookViewId="0"/>
  </sheetViews>
  <pageMargins left="0.75" right="0.75" top="1" bottom="1" header="0.5" footer="0.5"/>
  <pageSetup paperSize="9" orientation="landscape" r:id="rId1"/>
  <headerFooter alignWithMargins="0">
    <oddHeader>&amp;A</oddHeader>
    <oddFooter>Page &amp;P</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7.xml"/></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8.xml"/></Relationships>
</file>

<file path=xl/drawings/_rels/drawing2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1.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2.xml"/></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66675</xdr:rowOff>
    </xdr:from>
    <xdr:to>
      <xdr:col>10</xdr:col>
      <xdr:colOff>352425</xdr:colOff>
      <xdr:row>20</xdr:row>
      <xdr:rowOff>0</xdr:rowOff>
    </xdr:to>
    <xdr:sp macro="" textlink="">
      <xdr:nvSpPr>
        <xdr:cNvPr id="9309" name="Rectangle 16">
          <a:extLst>
            <a:ext uri="{FF2B5EF4-FFF2-40B4-BE49-F238E27FC236}">
              <a16:creationId xmlns:a16="http://schemas.microsoft.com/office/drawing/2014/main" id="{00000000-0008-0000-0000-00005D240000}"/>
            </a:ext>
          </a:extLst>
        </xdr:cNvPr>
        <xdr:cNvSpPr>
          <a:spLocks noChangeArrowheads="1"/>
        </xdr:cNvSpPr>
      </xdr:nvSpPr>
      <xdr:spPr bwMode="auto">
        <a:xfrm>
          <a:off x="57150" y="66675"/>
          <a:ext cx="6238875" cy="3762375"/>
        </a:xfrm>
        <a:prstGeom prst="rect">
          <a:avLst/>
        </a:prstGeom>
        <a:noFill/>
        <a:ln w="9525">
          <a:solidFill>
            <a:srgbClr xmlns:mc="http://schemas.openxmlformats.org/markup-compatibility/2006" xmlns:a14="http://schemas.microsoft.com/office/drawing/2010/main" val="969696" mc:Ignorable="a14" a14:legacySpreadsheetColorIndex="55"/>
          </a:solidFill>
          <a:miter lim="800000"/>
          <a:headEnd/>
          <a:tailEnd/>
        </a:ln>
        <a:effectLst>
          <a:prstShdw prst="shdw17" dist="17961" dir="13500000">
            <a:srgbClr val="5A5A5A"/>
          </a:prstShdw>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161925</xdr:colOff>
      <xdr:row>3</xdr:row>
      <xdr:rowOff>66675</xdr:rowOff>
    </xdr:from>
    <xdr:to>
      <xdr:col>2</xdr:col>
      <xdr:colOff>323850</xdr:colOff>
      <xdr:row>6</xdr:row>
      <xdr:rowOff>19050</xdr:rowOff>
    </xdr:to>
    <xdr:pic>
      <xdr:nvPicPr>
        <xdr:cNvPr id="9310" name="Picture 2">
          <a:extLst>
            <a:ext uri="{FF2B5EF4-FFF2-40B4-BE49-F238E27FC236}">
              <a16:creationId xmlns:a16="http://schemas.microsoft.com/office/drawing/2014/main" id="{00000000-0008-0000-0000-00005E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524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123825</xdr:colOff>
          <xdr:row>0</xdr:row>
          <xdr:rowOff>123825</xdr:rowOff>
        </xdr:from>
        <xdr:to>
          <xdr:col>1</xdr:col>
          <xdr:colOff>523875</xdr:colOff>
          <xdr:row>2</xdr:row>
          <xdr:rowOff>28575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552450</xdr:colOff>
          <xdr:row>0</xdr:row>
          <xdr:rowOff>123825</xdr:rowOff>
        </xdr:from>
        <xdr:to>
          <xdr:col>2</xdr:col>
          <xdr:colOff>180975</xdr:colOff>
          <xdr:row>2</xdr:row>
          <xdr:rowOff>28575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twoCellAnchor editAs="oneCell">
    <xdr:from>
      <xdr:col>10</xdr:col>
      <xdr:colOff>419100</xdr:colOff>
      <xdr:row>0</xdr:row>
      <xdr:rowOff>66675</xdr:rowOff>
    </xdr:from>
    <xdr:to>
      <xdr:col>16</xdr:col>
      <xdr:colOff>123825</xdr:colOff>
      <xdr:row>42</xdr:row>
      <xdr:rowOff>28575</xdr:rowOff>
    </xdr:to>
    <xdr:pic>
      <xdr:nvPicPr>
        <xdr:cNvPr id="9311" name="Picture 14" descr="CoverImg_Vers1">
          <a:extLst>
            <a:ext uri="{FF2B5EF4-FFF2-40B4-BE49-F238E27FC236}">
              <a16:creationId xmlns:a16="http://schemas.microsoft.com/office/drawing/2014/main" id="{00000000-0008-0000-0000-00005F2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8543" b="644"/>
        <a:stretch>
          <a:fillRect/>
        </a:stretch>
      </xdr:blipFill>
      <xdr:spPr bwMode="auto">
        <a:xfrm>
          <a:off x="6362700" y="66675"/>
          <a:ext cx="3362325" cy="7353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20</xdr:row>
      <xdr:rowOff>66675</xdr:rowOff>
    </xdr:from>
    <xdr:to>
      <xdr:col>10</xdr:col>
      <xdr:colOff>333375</xdr:colOff>
      <xdr:row>42</xdr:row>
      <xdr:rowOff>28575</xdr:rowOff>
    </xdr:to>
    <xdr:pic>
      <xdr:nvPicPr>
        <xdr:cNvPr id="9312" name="Picture 15" descr="lemon-004993 B&amp;W">
          <a:extLst>
            <a:ext uri="{FF2B5EF4-FFF2-40B4-BE49-F238E27FC236}">
              <a16:creationId xmlns:a16="http://schemas.microsoft.com/office/drawing/2014/main" id="{00000000-0008-0000-0000-00006024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15218"/>
        <a:stretch>
          <a:fillRect/>
        </a:stretch>
      </xdr:blipFill>
      <xdr:spPr bwMode="auto">
        <a:xfrm>
          <a:off x="57150" y="3895725"/>
          <a:ext cx="62198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absoluteAnchor>
    <xdr:pos x="1737633" y="3634315"/>
    <xdr:ext cx="7720814" cy="4938185"/>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38100</xdr:colOff>
          <xdr:row>0</xdr:row>
          <xdr:rowOff>38100</xdr:rowOff>
        </xdr:from>
        <xdr:to>
          <xdr:col>0</xdr:col>
          <xdr:colOff>647700</xdr:colOff>
          <xdr:row>1</xdr:row>
          <xdr:rowOff>76200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xdr:row>
          <xdr:rowOff>114300</xdr:rowOff>
        </xdr:from>
        <xdr:to>
          <xdr:col>0</xdr:col>
          <xdr:colOff>647700</xdr:colOff>
          <xdr:row>2</xdr:row>
          <xdr:rowOff>114300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0</xdr:rowOff>
        </xdr:from>
        <xdr:to>
          <xdr:col>0</xdr:col>
          <xdr:colOff>228600</xdr:colOff>
          <xdr:row>4</xdr:row>
          <xdr:rowOff>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100-000003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3</xdr:row>
          <xdr:rowOff>0</xdr:rowOff>
        </xdr:from>
        <xdr:to>
          <xdr:col>0</xdr:col>
          <xdr:colOff>419100</xdr:colOff>
          <xdr:row>4</xdr:row>
          <xdr:rowOff>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0100-000004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3</xdr:row>
          <xdr:rowOff>0</xdr:rowOff>
        </xdr:from>
        <xdr:to>
          <xdr:col>0</xdr:col>
          <xdr:colOff>647700</xdr:colOff>
          <xdr:row>4</xdr:row>
          <xdr:rowOff>0</xdr:rowOff>
        </xdr:to>
        <xdr:sp macro="" textlink="">
          <xdr:nvSpPr>
            <xdr:cNvPr id="88069" name="Button 5" hidden="1">
              <a:extLst>
                <a:ext uri="{63B3BB69-23CF-44E3-9099-C40C66FF867C}">
                  <a14:compatExt spid="_x0000_s88069"/>
                </a:ext>
                <a:ext uri="{FF2B5EF4-FFF2-40B4-BE49-F238E27FC236}">
                  <a16:creationId xmlns:a16="http://schemas.microsoft.com/office/drawing/2014/main" id="{00000000-0008-0000-0100-000005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absoluteAnchor>
    <xdr:pos x="9378180" y="3748615"/>
    <xdr:ext cx="7803546" cy="4991101"/>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a:extLst xmlns:a="http://schemas.openxmlformats.org/drawingml/2006/main">
            <a:ext uri="{FF2B5EF4-FFF2-40B4-BE49-F238E27FC236}">
              <a16:creationId xmlns:a16="http://schemas.microsoft.com/office/drawing/2014/main" id="{A948CEE4-3845-409C-A31A-51AF9388A872}"/>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4.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a:extLst xmlns:a="http://schemas.openxmlformats.org/drawingml/2006/main">
            <a:ext uri="{FF2B5EF4-FFF2-40B4-BE49-F238E27FC236}">
              <a16:creationId xmlns:a16="http://schemas.microsoft.com/office/drawing/2014/main" id="{1706B380-3890-4A8E-A104-6E532F38070E}"/>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5.xml><?xml version="1.0" encoding="utf-8"?>
<xdr:wsDr xmlns:xdr="http://schemas.openxmlformats.org/drawingml/2006/spreadsheetDrawing" xmlns:a="http://schemas.openxmlformats.org/drawingml/2006/main">
  <xdr:absoluteAnchor>
    <xdr:pos x="1737633" y="3634315"/>
    <xdr:ext cx="7720814" cy="4938185"/>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200-000004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0200-000005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133350</xdr:rowOff>
        </xdr:from>
        <xdr:to>
          <xdr:col>0</xdr:col>
          <xdr:colOff>219075</xdr:colOff>
          <xdr:row>3</xdr:row>
          <xdr:rowOff>133350</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200-000006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238125</xdr:colOff>
          <xdr:row>2</xdr:row>
          <xdr:rowOff>133350</xdr:rowOff>
        </xdr:from>
        <xdr:to>
          <xdr:col>0</xdr:col>
          <xdr:colOff>428625</xdr:colOff>
          <xdr:row>3</xdr:row>
          <xdr:rowOff>133350</xdr:rowOff>
        </xdr:to>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200-000007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133350</xdr:rowOff>
        </xdr:from>
        <xdr:to>
          <xdr:col>0</xdr:col>
          <xdr:colOff>657225</xdr:colOff>
          <xdr:row>3</xdr:row>
          <xdr:rowOff>133350</xdr:rowOff>
        </xdr:to>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200-000008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xdr:absoluteAnchor>
    <xdr:pos x="10978380" y="3634315"/>
    <xdr:ext cx="7803546" cy="4991101"/>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a:extLst xmlns:a="http://schemas.openxmlformats.org/drawingml/2006/main">
            <a:ext uri="{FF2B5EF4-FFF2-40B4-BE49-F238E27FC236}">
              <a16:creationId xmlns:a16="http://schemas.microsoft.com/office/drawing/2014/main" id="{C3287B69-9CE9-4948-951B-7F891E7BD9ED}"/>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7.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a:extLst xmlns:a="http://schemas.openxmlformats.org/drawingml/2006/main">
            <a:ext uri="{FF2B5EF4-FFF2-40B4-BE49-F238E27FC236}">
              <a16:creationId xmlns:a16="http://schemas.microsoft.com/office/drawing/2014/main" id="{712B1FEA-9281-41F8-AF42-623F0128AD85}"/>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8.xml><?xml version="1.0" encoding="utf-8"?>
<xdr:wsDr xmlns:xdr="http://schemas.openxmlformats.org/drawingml/2006/spreadsheetDrawing" xmlns:a="http://schemas.openxmlformats.org/drawingml/2006/main">
  <xdr:twoCellAnchor>
    <xdr:from>
      <xdr:col>1</xdr:col>
      <xdr:colOff>190500</xdr:colOff>
      <xdr:row>29</xdr:row>
      <xdr:rowOff>47625</xdr:rowOff>
    </xdr:from>
    <xdr:to>
      <xdr:col>11</xdr:col>
      <xdr:colOff>828675</xdr:colOff>
      <xdr:row>62</xdr:row>
      <xdr:rowOff>76200</xdr:rowOff>
    </xdr:to>
    <xdr:sp macro="" textlink="">
      <xdr:nvSpPr>
        <xdr:cNvPr id="7244" name="AutoShape 76">
          <a:extLst>
            <a:ext uri="{FF2B5EF4-FFF2-40B4-BE49-F238E27FC236}">
              <a16:creationId xmlns:a16="http://schemas.microsoft.com/office/drawing/2014/main" id="{00000000-0008-0000-0300-00004C1C0000}"/>
            </a:ext>
          </a:extLst>
        </xdr:cNvPr>
        <xdr:cNvSpPr>
          <a:spLocks noChangeArrowheads="1"/>
        </xdr:cNvSpPr>
      </xdr:nvSpPr>
      <xdr:spPr bwMode="auto">
        <a:xfrm>
          <a:off x="866775" y="4895850"/>
          <a:ext cx="4229100" cy="5372100"/>
        </a:xfrm>
        <a:prstGeom prst="roundRect">
          <a:avLst>
            <a:gd name="adj" fmla="val 3185"/>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lnSpc>
              <a:spcPts val="1600"/>
            </a:lnSpc>
            <a:defRPr sz="1000"/>
          </a:pPr>
          <a:r>
            <a:rPr lang="en-GB" sz="1400" b="0" i="1" u="none" strike="noStrike" baseline="0">
              <a:solidFill>
                <a:srgbClr val="000000"/>
              </a:solidFill>
              <a:latin typeface="Calibri"/>
              <a:cs typeface="Calibri"/>
            </a:rPr>
            <a:t>Higher Level </a:t>
          </a:r>
        </a:p>
        <a:p>
          <a:pPr algn="l" rtl="0">
            <a:lnSpc>
              <a:spcPts val="1600"/>
            </a:lnSpc>
            <a:defRPr sz="1000"/>
          </a:pPr>
          <a:r>
            <a:rPr lang="en-GB" sz="1400" b="0" i="1" u="none" strike="noStrike" baseline="0">
              <a:solidFill>
                <a:srgbClr val="000000"/>
              </a:solidFill>
              <a:latin typeface="Calibri"/>
              <a:cs typeface="Calibri"/>
            </a:rPr>
            <a:t>Analytics</a:t>
          </a:r>
          <a:endParaRPr lang="en-GB"/>
        </a:p>
      </xdr:txBody>
    </xdr:sp>
    <xdr:clientData/>
  </xdr:twoCellAnchor>
  <xdr:twoCellAnchor>
    <xdr:from>
      <xdr:col>1</xdr:col>
      <xdr:colOff>190500</xdr:colOff>
      <xdr:row>12</xdr:row>
      <xdr:rowOff>38100</xdr:rowOff>
    </xdr:from>
    <xdr:to>
      <xdr:col>11</xdr:col>
      <xdr:colOff>828675</xdr:colOff>
      <xdr:row>17</xdr:row>
      <xdr:rowOff>123825</xdr:rowOff>
    </xdr:to>
    <xdr:sp macro="" textlink="">
      <xdr:nvSpPr>
        <xdr:cNvPr id="7177" name="AutoShape 9">
          <a:extLst>
            <a:ext uri="{FF2B5EF4-FFF2-40B4-BE49-F238E27FC236}">
              <a16:creationId xmlns:a16="http://schemas.microsoft.com/office/drawing/2014/main" id="{00000000-0008-0000-0300-0000091C0000}"/>
            </a:ext>
          </a:extLst>
        </xdr:cNvPr>
        <xdr:cNvSpPr>
          <a:spLocks noChangeArrowheads="1"/>
        </xdr:cNvSpPr>
      </xdr:nvSpPr>
      <xdr:spPr bwMode="auto">
        <a:xfrm>
          <a:off x="866775" y="2133600"/>
          <a:ext cx="4229100" cy="895350"/>
        </a:xfrm>
        <a:prstGeom prst="roundRect">
          <a:avLst>
            <a:gd name="adj" fmla="val 16667"/>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defRPr sz="1000"/>
          </a:pPr>
          <a:r>
            <a:rPr lang="en-GB" sz="1400" b="0" i="1" u="none" strike="noStrike" baseline="0">
              <a:solidFill>
                <a:srgbClr val="000000"/>
              </a:solidFill>
              <a:latin typeface="Calibri"/>
              <a:cs typeface="Calibri"/>
            </a:rPr>
            <a:t>Current</a:t>
          </a:r>
          <a:endParaRPr lang="en-GB"/>
        </a:p>
      </xdr:txBody>
    </xdr:sp>
    <xdr:clientData/>
  </xdr:twoCellAnchor>
  <xdr:twoCellAnchor>
    <xdr:from>
      <xdr:col>1</xdr:col>
      <xdr:colOff>190500</xdr:colOff>
      <xdr:row>20</xdr:row>
      <xdr:rowOff>66675</xdr:rowOff>
    </xdr:from>
    <xdr:to>
      <xdr:col>11</xdr:col>
      <xdr:colOff>828675</xdr:colOff>
      <xdr:row>25</xdr:row>
      <xdr:rowOff>142875</xdr:rowOff>
    </xdr:to>
    <xdr:sp macro="" textlink="">
      <xdr:nvSpPr>
        <xdr:cNvPr id="7178" name="AutoShape 10">
          <a:extLst>
            <a:ext uri="{FF2B5EF4-FFF2-40B4-BE49-F238E27FC236}">
              <a16:creationId xmlns:a16="http://schemas.microsoft.com/office/drawing/2014/main" id="{00000000-0008-0000-0300-00000A1C0000}"/>
            </a:ext>
          </a:extLst>
        </xdr:cNvPr>
        <xdr:cNvSpPr>
          <a:spLocks noChangeArrowheads="1"/>
        </xdr:cNvSpPr>
      </xdr:nvSpPr>
      <xdr:spPr bwMode="auto">
        <a:xfrm>
          <a:off x="866775" y="3457575"/>
          <a:ext cx="4229100" cy="885825"/>
        </a:xfrm>
        <a:prstGeom prst="roundRect">
          <a:avLst>
            <a:gd name="adj" fmla="val 16667"/>
          </a:avLst>
        </a:prstGeom>
        <a:solidFill>
          <a:srgbClr xmlns:mc="http://schemas.openxmlformats.org/markup-compatibility/2006" xmlns:a14="http://schemas.microsoft.com/office/drawing/2010/main" val="99CCFF" mc:Ignorable="a14" a14:legacySpreadsheetColorIndex="44">
            <a:alpha val="33000"/>
          </a:srgbClr>
        </a:solidFill>
        <a:ln w="9525">
          <a:solidFill>
            <a:srgbClr xmlns:mc="http://schemas.openxmlformats.org/markup-compatibility/2006" xmlns:a14="http://schemas.microsoft.com/office/drawing/2010/main" val="969696" mc:Ignorable="a14" a14:legacySpreadsheetColorIndex="55"/>
          </a:solidFill>
          <a:round/>
          <a:headEnd/>
          <a:tailEnd/>
        </a:ln>
      </xdr:spPr>
      <xdr:txBody>
        <a:bodyPr vertOverflow="clip" wrap="square" lIns="36576" tIns="32004" rIns="0" bIns="32004" anchor="ctr" upright="1"/>
        <a:lstStyle/>
        <a:p>
          <a:pPr algn="l" rtl="0">
            <a:defRPr sz="1000"/>
          </a:pPr>
          <a:r>
            <a:rPr lang="en-GB" sz="1400" b="0" i="1" u="none" strike="noStrike" baseline="0">
              <a:solidFill>
                <a:srgbClr val="000000"/>
              </a:solidFill>
              <a:latin typeface="Calibri"/>
              <a:cs typeface="Calibri"/>
            </a:rPr>
            <a:t>Future</a:t>
          </a:r>
          <a:endParaRPr lang="en-GB"/>
        </a:p>
      </xdr:txBody>
    </xdr:sp>
    <xdr:clientData/>
  </xdr:twoCellAnchor>
  <xdr:twoCellAnchor>
    <xdr:from>
      <xdr:col>3</xdr:col>
      <xdr:colOff>95251</xdr:colOff>
      <xdr:row>13</xdr:row>
      <xdr:rowOff>9525</xdr:rowOff>
    </xdr:from>
    <xdr:to>
      <xdr:col>6</xdr:col>
      <xdr:colOff>333375</xdr:colOff>
      <xdr:row>16</xdr:row>
      <xdr:rowOff>152400</xdr:rowOff>
    </xdr:to>
    <xdr:sp macro="" textlink="">
      <xdr:nvSpPr>
        <xdr:cNvPr id="7170" name="AutoShape 2">
          <a:extLst>
            <a:ext uri="{FF2B5EF4-FFF2-40B4-BE49-F238E27FC236}">
              <a16:creationId xmlns:a16="http://schemas.microsoft.com/office/drawing/2014/main" id="{00000000-0008-0000-0300-0000021C0000}"/>
            </a:ext>
          </a:extLst>
        </xdr:cNvPr>
        <xdr:cNvSpPr>
          <a:spLocks noChangeArrowheads="1"/>
        </xdr:cNvSpPr>
      </xdr:nvSpPr>
      <xdr:spPr bwMode="auto">
        <a:xfrm>
          <a:off x="1809751" y="2266950"/>
          <a:ext cx="7524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Data Acquisition</a:t>
          </a:r>
          <a:endParaRPr lang="en-GB" sz="600"/>
        </a:p>
      </xdr:txBody>
    </xdr:sp>
    <xdr:clientData/>
  </xdr:twoCellAnchor>
  <xdr:twoCellAnchor>
    <xdr:from>
      <xdr:col>6</xdr:col>
      <xdr:colOff>609601</xdr:colOff>
      <xdr:row>13</xdr:row>
      <xdr:rowOff>9525</xdr:rowOff>
    </xdr:from>
    <xdr:to>
      <xdr:col>8</xdr:col>
      <xdr:colOff>85725</xdr:colOff>
      <xdr:row>16</xdr:row>
      <xdr:rowOff>152400</xdr:rowOff>
    </xdr:to>
    <xdr:sp macro="" textlink="">
      <xdr:nvSpPr>
        <xdr:cNvPr id="7171" name="AutoShape 3">
          <a:extLst>
            <a:ext uri="{FF2B5EF4-FFF2-40B4-BE49-F238E27FC236}">
              <a16:creationId xmlns:a16="http://schemas.microsoft.com/office/drawing/2014/main" id="{00000000-0008-0000-0300-0000031C0000}"/>
            </a:ext>
          </a:extLst>
        </xdr:cNvPr>
        <xdr:cNvSpPr>
          <a:spLocks noChangeArrowheads="1"/>
        </xdr:cNvSpPr>
      </xdr:nvSpPr>
      <xdr:spPr bwMode="auto">
        <a:xfrm>
          <a:off x="2838451" y="2266950"/>
          <a:ext cx="8667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Data     Manipulation      </a:t>
          </a:r>
          <a:endParaRPr lang="en-GB" sz="600"/>
        </a:p>
      </xdr:txBody>
    </xdr:sp>
    <xdr:clientData/>
  </xdr:twoCellAnchor>
  <xdr:twoCellAnchor>
    <xdr:from>
      <xdr:col>9</xdr:col>
      <xdr:colOff>85726</xdr:colOff>
      <xdr:row>13</xdr:row>
      <xdr:rowOff>8868</xdr:rowOff>
    </xdr:from>
    <xdr:to>
      <xdr:col>11</xdr:col>
      <xdr:colOff>485775</xdr:colOff>
      <xdr:row>16</xdr:row>
      <xdr:rowOff>154043</xdr:rowOff>
    </xdr:to>
    <xdr:sp macro="" textlink="">
      <xdr:nvSpPr>
        <xdr:cNvPr id="7172" name="AutoShape 4">
          <a:extLst>
            <a:ext uri="{FF2B5EF4-FFF2-40B4-BE49-F238E27FC236}">
              <a16:creationId xmlns:a16="http://schemas.microsoft.com/office/drawing/2014/main" id="{00000000-0008-0000-0300-0000041C0000}"/>
            </a:ext>
          </a:extLst>
        </xdr:cNvPr>
        <xdr:cNvSpPr>
          <a:spLocks noChangeArrowheads="1"/>
        </xdr:cNvSpPr>
      </xdr:nvSpPr>
      <xdr:spPr bwMode="auto">
        <a:xfrm>
          <a:off x="3971926" y="2266293"/>
          <a:ext cx="781049" cy="6309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State Detection</a:t>
          </a:r>
          <a:endParaRPr lang="en-GB" sz="600"/>
        </a:p>
      </xdr:txBody>
    </xdr:sp>
    <xdr:clientData/>
  </xdr:twoCellAnchor>
  <xdr:twoCellAnchor>
    <xdr:from>
      <xdr:col>6</xdr:col>
      <xdr:colOff>114301</xdr:colOff>
      <xdr:row>29</xdr:row>
      <xdr:rowOff>114300</xdr:rowOff>
    </xdr:from>
    <xdr:to>
      <xdr:col>8</xdr:col>
      <xdr:colOff>28574</xdr:colOff>
      <xdr:row>34</xdr:row>
      <xdr:rowOff>152400</xdr:rowOff>
    </xdr:to>
    <xdr:sp macro="" textlink="">
      <xdr:nvSpPr>
        <xdr:cNvPr id="7185" name="AutoShape 17">
          <a:extLst>
            <a:ext uri="{FF2B5EF4-FFF2-40B4-BE49-F238E27FC236}">
              <a16:creationId xmlns:a16="http://schemas.microsoft.com/office/drawing/2014/main" id="{00000000-0008-0000-0300-0000111C0000}"/>
            </a:ext>
          </a:extLst>
        </xdr:cNvPr>
        <xdr:cNvSpPr>
          <a:spLocks noChangeArrowheads="1"/>
        </xdr:cNvSpPr>
      </xdr:nvSpPr>
      <xdr:spPr bwMode="auto">
        <a:xfrm>
          <a:off x="2343151" y="4962525"/>
          <a:ext cx="1304923"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Basic Health Assessment</a:t>
          </a:r>
          <a:endParaRPr lang="en-GB" sz="600"/>
        </a:p>
      </xdr:txBody>
    </xdr:sp>
    <xdr:clientData/>
  </xdr:twoCellAnchor>
  <xdr:twoCellAnchor>
    <xdr:from>
      <xdr:col>6</xdr:col>
      <xdr:colOff>114301</xdr:colOff>
      <xdr:row>38</xdr:row>
      <xdr:rowOff>114300</xdr:rowOff>
    </xdr:from>
    <xdr:to>
      <xdr:col>8</xdr:col>
      <xdr:colOff>19313</xdr:colOff>
      <xdr:row>43</xdr:row>
      <xdr:rowOff>152400</xdr:rowOff>
    </xdr:to>
    <xdr:sp macro="" textlink="">
      <xdr:nvSpPr>
        <xdr:cNvPr id="7191" name="AutoShape 23">
          <a:extLst>
            <a:ext uri="{FF2B5EF4-FFF2-40B4-BE49-F238E27FC236}">
              <a16:creationId xmlns:a16="http://schemas.microsoft.com/office/drawing/2014/main" id="{00000000-0008-0000-0300-0000171C0000}"/>
            </a:ext>
          </a:extLst>
        </xdr:cNvPr>
        <xdr:cNvSpPr>
          <a:spLocks noChangeArrowheads="1"/>
        </xdr:cNvSpPr>
      </xdr:nvSpPr>
      <xdr:spPr bwMode="auto">
        <a:xfrm>
          <a:off x="2343151" y="6419850"/>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Advanced Health Assessment</a:t>
          </a:r>
          <a:endParaRPr lang="en-GB" sz="600"/>
        </a:p>
      </xdr:txBody>
    </xdr:sp>
    <xdr:clientData/>
  </xdr:twoCellAnchor>
  <xdr:twoCellAnchor>
    <xdr:from>
      <xdr:col>6</xdr:col>
      <xdr:colOff>114301</xdr:colOff>
      <xdr:row>47</xdr:row>
      <xdr:rowOff>114300</xdr:rowOff>
    </xdr:from>
    <xdr:to>
      <xdr:col>8</xdr:col>
      <xdr:colOff>19313</xdr:colOff>
      <xdr:row>52</xdr:row>
      <xdr:rowOff>152400</xdr:rowOff>
    </xdr:to>
    <xdr:sp macro="" textlink="">
      <xdr:nvSpPr>
        <xdr:cNvPr id="7199" name="AutoShape 31">
          <a:extLst>
            <a:ext uri="{FF2B5EF4-FFF2-40B4-BE49-F238E27FC236}">
              <a16:creationId xmlns:a16="http://schemas.microsoft.com/office/drawing/2014/main" id="{00000000-0008-0000-0300-00001F1C0000}"/>
            </a:ext>
          </a:extLst>
        </xdr:cNvPr>
        <xdr:cNvSpPr>
          <a:spLocks noChangeArrowheads="1"/>
        </xdr:cNvSpPr>
      </xdr:nvSpPr>
      <xdr:spPr bwMode="auto">
        <a:xfrm>
          <a:off x="2343151" y="7877175"/>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Prognostic Assessment</a:t>
          </a:r>
          <a:endParaRPr lang="en-GB" sz="600"/>
        </a:p>
      </xdr:txBody>
    </xdr:sp>
    <xdr:clientData/>
  </xdr:twoCellAnchor>
  <xdr:twoCellAnchor>
    <xdr:from>
      <xdr:col>6</xdr:col>
      <xdr:colOff>114301</xdr:colOff>
      <xdr:row>56</xdr:row>
      <xdr:rowOff>114300</xdr:rowOff>
    </xdr:from>
    <xdr:to>
      <xdr:col>8</xdr:col>
      <xdr:colOff>19313</xdr:colOff>
      <xdr:row>61</xdr:row>
      <xdr:rowOff>152400</xdr:rowOff>
    </xdr:to>
    <xdr:sp macro="" textlink="">
      <xdr:nvSpPr>
        <xdr:cNvPr id="7213" name="AutoShape 45">
          <a:extLst>
            <a:ext uri="{FF2B5EF4-FFF2-40B4-BE49-F238E27FC236}">
              <a16:creationId xmlns:a16="http://schemas.microsoft.com/office/drawing/2014/main" id="{00000000-0008-0000-0300-00002D1C0000}"/>
            </a:ext>
          </a:extLst>
        </xdr:cNvPr>
        <xdr:cNvSpPr>
          <a:spLocks noChangeArrowheads="1"/>
        </xdr:cNvSpPr>
      </xdr:nvSpPr>
      <xdr:spPr bwMode="auto">
        <a:xfrm>
          <a:off x="2343151" y="9334500"/>
          <a:ext cx="1295662" cy="847725"/>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Advisory Generation</a:t>
          </a:r>
          <a:endParaRPr lang="en-GB" sz="600"/>
        </a:p>
      </xdr:txBody>
    </xdr:sp>
    <xdr:clientData/>
  </xdr:twoCellAnchor>
  <xdr:twoCellAnchor>
    <xdr:from>
      <xdr:col>4</xdr:col>
      <xdr:colOff>3362</xdr:colOff>
      <xdr:row>18</xdr:row>
      <xdr:rowOff>0</xdr:rowOff>
    </xdr:from>
    <xdr:to>
      <xdr:col>10</xdr:col>
      <xdr:colOff>91889</xdr:colOff>
      <xdr:row>19</xdr:row>
      <xdr:rowOff>152400</xdr:rowOff>
    </xdr:to>
    <xdr:sp macro="" textlink="">
      <xdr:nvSpPr>
        <xdr:cNvPr id="7778" name="AutoShape 58">
          <a:extLst>
            <a:ext uri="{FF2B5EF4-FFF2-40B4-BE49-F238E27FC236}">
              <a16:creationId xmlns:a16="http://schemas.microsoft.com/office/drawing/2014/main" id="{00000000-0008-0000-0300-0000621E0000}"/>
            </a:ext>
          </a:extLst>
        </xdr:cNvPr>
        <xdr:cNvSpPr>
          <a:spLocks noChangeArrowheads="1"/>
        </xdr:cNvSpPr>
      </xdr:nvSpPr>
      <xdr:spPr bwMode="auto">
        <a:xfrm>
          <a:off x="1852333" y="2991971"/>
          <a:ext cx="2307291" cy="309282"/>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3</xdr:col>
      <xdr:colOff>95251</xdr:colOff>
      <xdr:row>21</xdr:row>
      <xdr:rowOff>38100</xdr:rowOff>
    </xdr:from>
    <xdr:to>
      <xdr:col>6</xdr:col>
      <xdr:colOff>333375</xdr:colOff>
      <xdr:row>25</xdr:row>
      <xdr:rowOff>19050</xdr:rowOff>
    </xdr:to>
    <xdr:sp macro="" textlink="">
      <xdr:nvSpPr>
        <xdr:cNvPr id="7230" name="AutoShape 62">
          <a:extLst>
            <a:ext uri="{FF2B5EF4-FFF2-40B4-BE49-F238E27FC236}">
              <a16:creationId xmlns:a16="http://schemas.microsoft.com/office/drawing/2014/main" id="{00000000-0008-0000-0300-00003E1C0000}"/>
            </a:ext>
          </a:extLst>
        </xdr:cNvPr>
        <xdr:cNvSpPr>
          <a:spLocks noChangeArrowheads="1"/>
        </xdr:cNvSpPr>
      </xdr:nvSpPr>
      <xdr:spPr bwMode="auto">
        <a:xfrm>
          <a:off x="1809751" y="3590925"/>
          <a:ext cx="7524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Data Acquisition</a:t>
          </a:r>
          <a:endParaRPr lang="en-GB" sz="600"/>
        </a:p>
      </xdr:txBody>
    </xdr:sp>
    <xdr:clientData/>
  </xdr:twoCellAnchor>
  <xdr:twoCellAnchor>
    <xdr:from>
      <xdr:col>6</xdr:col>
      <xdr:colOff>609601</xdr:colOff>
      <xdr:row>21</xdr:row>
      <xdr:rowOff>38100</xdr:rowOff>
    </xdr:from>
    <xdr:to>
      <xdr:col>8</xdr:col>
      <xdr:colOff>85725</xdr:colOff>
      <xdr:row>25</xdr:row>
      <xdr:rowOff>19050</xdr:rowOff>
    </xdr:to>
    <xdr:sp macro="" textlink="">
      <xdr:nvSpPr>
        <xdr:cNvPr id="7231" name="AutoShape 63">
          <a:extLst>
            <a:ext uri="{FF2B5EF4-FFF2-40B4-BE49-F238E27FC236}">
              <a16:creationId xmlns:a16="http://schemas.microsoft.com/office/drawing/2014/main" id="{00000000-0008-0000-0300-00003F1C0000}"/>
            </a:ext>
          </a:extLst>
        </xdr:cNvPr>
        <xdr:cNvSpPr>
          <a:spLocks noChangeArrowheads="1"/>
        </xdr:cNvSpPr>
      </xdr:nvSpPr>
      <xdr:spPr bwMode="auto">
        <a:xfrm>
          <a:off x="2838451" y="3590925"/>
          <a:ext cx="866774"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lnSpc>
              <a:spcPts val="1600"/>
            </a:lnSpc>
            <a:defRPr sz="1000"/>
          </a:pPr>
          <a:r>
            <a:rPr lang="en-GB" sz="1000" b="0" i="0" u="none" strike="noStrike" baseline="0">
              <a:solidFill>
                <a:srgbClr val="000000"/>
              </a:solidFill>
              <a:latin typeface="Calibri"/>
              <a:cs typeface="Calibri"/>
            </a:rPr>
            <a:t> Data   Manipulation</a:t>
          </a:r>
          <a:endParaRPr lang="en-GB" sz="600"/>
        </a:p>
      </xdr:txBody>
    </xdr:sp>
    <xdr:clientData/>
  </xdr:twoCellAnchor>
  <xdr:twoCellAnchor>
    <xdr:from>
      <xdr:col>9</xdr:col>
      <xdr:colOff>82770</xdr:colOff>
      <xdr:row>21</xdr:row>
      <xdr:rowOff>48282</xdr:rowOff>
    </xdr:from>
    <xdr:to>
      <xdr:col>11</xdr:col>
      <xdr:colOff>482819</xdr:colOff>
      <xdr:row>25</xdr:row>
      <xdr:rowOff>29232</xdr:rowOff>
    </xdr:to>
    <xdr:sp macro="" textlink="">
      <xdr:nvSpPr>
        <xdr:cNvPr id="7232" name="AutoShape 64">
          <a:extLst>
            <a:ext uri="{FF2B5EF4-FFF2-40B4-BE49-F238E27FC236}">
              <a16:creationId xmlns:a16="http://schemas.microsoft.com/office/drawing/2014/main" id="{00000000-0008-0000-0300-0000401C0000}"/>
            </a:ext>
          </a:extLst>
        </xdr:cNvPr>
        <xdr:cNvSpPr>
          <a:spLocks noChangeArrowheads="1"/>
        </xdr:cNvSpPr>
      </xdr:nvSpPr>
      <xdr:spPr bwMode="auto">
        <a:xfrm>
          <a:off x="3968970" y="3601107"/>
          <a:ext cx="781049" cy="62865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808080" mc:Ignorable="a14" a14:legacySpreadsheetColorIndex="23"/>
          </a:solidFill>
          <a:round/>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State Detection</a:t>
          </a:r>
          <a:endParaRPr lang="en-GB" sz="600"/>
        </a:p>
      </xdr:txBody>
    </xdr:sp>
    <xdr:clientData/>
  </xdr:twoCellAnchor>
  <xdr:twoCellAnchor>
    <xdr:from>
      <xdr:col>4</xdr:col>
      <xdr:colOff>3362</xdr:colOff>
      <xdr:row>26</xdr:row>
      <xdr:rowOff>114300</xdr:rowOff>
    </xdr:from>
    <xdr:to>
      <xdr:col>10</xdr:col>
      <xdr:colOff>91889</xdr:colOff>
      <xdr:row>29</xdr:row>
      <xdr:rowOff>0</xdr:rowOff>
    </xdr:to>
    <xdr:sp macro="" textlink="">
      <xdr:nvSpPr>
        <xdr:cNvPr id="7782" name="AutoShape 65">
          <a:extLst>
            <a:ext uri="{FF2B5EF4-FFF2-40B4-BE49-F238E27FC236}">
              <a16:creationId xmlns:a16="http://schemas.microsoft.com/office/drawing/2014/main" id="{00000000-0008-0000-0300-0000661E0000}"/>
            </a:ext>
          </a:extLst>
        </xdr:cNvPr>
        <xdr:cNvSpPr>
          <a:spLocks noChangeArrowheads="1"/>
        </xdr:cNvSpPr>
      </xdr:nvSpPr>
      <xdr:spPr bwMode="auto">
        <a:xfrm>
          <a:off x="1852333" y="4361329"/>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35</xdr:row>
      <xdr:rowOff>114300</xdr:rowOff>
    </xdr:from>
    <xdr:to>
      <xdr:col>10</xdr:col>
      <xdr:colOff>91889</xdr:colOff>
      <xdr:row>38</xdr:row>
      <xdr:rowOff>0</xdr:rowOff>
    </xdr:to>
    <xdr:sp macro="" textlink="">
      <xdr:nvSpPr>
        <xdr:cNvPr id="7783" name="AutoShape 66">
          <a:extLst>
            <a:ext uri="{FF2B5EF4-FFF2-40B4-BE49-F238E27FC236}">
              <a16:creationId xmlns:a16="http://schemas.microsoft.com/office/drawing/2014/main" id="{00000000-0008-0000-0300-0000671E0000}"/>
            </a:ext>
          </a:extLst>
        </xdr:cNvPr>
        <xdr:cNvSpPr>
          <a:spLocks noChangeArrowheads="1"/>
        </xdr:cNvSpPr>
      </xdr:nvSpPr>
      <xdr:spPr bwMode="auto">
        <a:xfrm>
          <a:off x="1852333" y="5773271"/>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44</xdr:row>
      <xdr:rowOff>114300</xdr:rowOff>
    </xdr:from>
    <xdr:to>
      <xdr:col>10</xdr:col>
      <xdr:colOff>91889</xdr:colOff>
      <xdr:row>47</xdr:row>
      <xdr:rowOff>0</xdr:rowOff>
    </xdr:to>
    <xdr:sp macro="" textlink="">
      <xdr:nvSpPr>
        <xdr:cNvPr id="7784" name="AutoShape 67">
          <a:extLst>
            <a:ext uri="{FF2B5EF4-FFF2-40B4-BE49-F238E27FC236}">
              <a16:creationId xmlns:a16="http://schemas.microsoft.com/office/drawing/2014/main" id="{00000000-0008-0000-0300-0000681E0000}"/>
            </a:ext>
          </a:extLst>
        </xdr:cNvPr>
        <xdr:cNvSpPr>
          <a:spLocks noChangeArrowheads="1"/>
        </xdr:cNvSpPr>
      </xdr:nvSpPr>
      <xdr:spPr bwMode="auto">
        <a:xfrm>
          <a:off x="1852333" y="7185212"/>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4</xdr:col>
      <xdr:colOff>3362</xdr:colOff>
      <xdr:row>53</xdr:row>
      <xdr:rowOff>114300</xdr:rowOff>
    </xdr:from>
    <xdr:to>
      <xdr:col>10</xdr:col>
      <xdr:colOff>91889</xdr:colOff>
      <xdr:row>56</xdr:row>
      <xdr:rowOff>0</xdr:rowOff>
    </xdr:to>
    <xdr:sp macro="" textlink="">
      <xdr:nvSpPr>
        <xdr:cNvPr id="7785" name="AutoShape 68">
          <a:extLst>
            <a:ext uri="{FF2B5EF4-FFF2-40B4-BE49-F238E27FC236}">
              <a16:creationId xmlns:a16="http://schemas.microsoft.com/office/drawing/2014/main" id="{00000000-0008-0000-0300-0000691E0000}"/>
            </a:ext>
          </a:extLst>
        </xdr:cNvPr>
        <xdr:cNvSpPr>
          <a:spLocks noChangeArrowheads="1"/>
        </xdr:cNvSpPr>
      </xdr:nvSpPr>
      <xdr:spPr bwMode="auto">
        <a:xfrm>
          <a:off x="1852333" y="8597153"/>
          <a:ext cx="2307291" cy="356347"/>
        </a:xfrm>
        <a:prstGeom prst="downArrow">
          <a:avLst>
            <a:gd name="adj1" fmla="val 66231"/>
            <a:gd name="adj2" fmla="val 58824"/>
          </a:avLst>
        </a:prstGeom>
        <a:solidFill>
          <a:srgbClr xmlns:mc="http://schemas.openxmlformats.org/markup-compatibility/2006" xmlns:a14="http://schemas.microsoft.com/office/drawing/2010/main" val="C0C0C0" mc:Ignorable="a14" a14:legacySpreadsheetColorIndex="22">
            <a:alpha val="0"/>
          </a:srgbClr>
        </a:solidFill>
        <a:ln w="9525">
          <a:solidFill>
            <a:srgbClr xmlns:mc="http://schemas.openxmlformats.org/markup-compatibility/2006" xmlns:a14="http://schemas.microsoft.com/office/drawing/2010/main" val="808080" mc:Ignorable="a14" a14:legacySpreadsheetColorIndex="23"/>
          </a:solidFill>
          <a:miter lim="800000"/>
          <a:headEnd/>
          <a:tailEnd/>
        </a:ln>
      </xdr:spPr>
    </xdr:sp>
    <xdr:clientData/>
  </xdr:twoCellAnchor>
  <xdr:twoCellAnchor>
    <xdr:from>
      <xdr:col>12</xdr:col>
      <xdr:colOff>228600</xdr:colOff>
      <xdr:row>12</xdr:row>
      <xdr:rowOff>114300</xdr:rowOff>
    </xdr:from>
    <xdr:to>
      <xdr:col>15</xdr:col>
      <xdr:colOff>114300</xdr:colOff>
      <xdr:row>17</xdr:row>
      <xdr:rowOff>57150</xdr:rowOff>
    </xdr:to>
    <xdr:sp macro="" textlink="">
      <xdr:nvSpPr>
        <xdr:cNvPr id="7786" name="AutoShape 12">
          <a:extLst>
            <a:ext uri="{FF2B5EF4-FFF2-40B4-BE49-F238E27FC236}">
              <a16:creationId xmlns:a16="http://schemas.microsoft.com/office/drawing/2014/main" id="{00000000-0008-0000-0300-00006A1E0000}"/>
            </a:ext>
          </a:extLst>
        </xdr:cNvPr>
        <xdr:cNvSpPr>
          <a:spLocks noChangeArrowheads="1"/>
        </xdr:cNvSpPr>
      </xdr:nvSpPr>
      <xdr:spPr bwMode="auto">
        <a:xfrm>
          <a:off x="7191375" y="2209800"/>
          <a:ext cx="2305050"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26</xdr:row>
      <xdr:rowOff>123825</xdr:rowOff>
    </xdr:from>
    <xdr:to>
      <xdr:col>19</xdr:col>
      <xdr:colOff>114300</xdr:colOff>
      <xdr:row>35</xdr:row>
      <xdr:rowOff>57150</xdr:rowOff>
    </xdr:to>
    <xdr:sp macro="" textlink="">
      <xdr:nvSpPr>
        <xdr:cNvPr id="7787" name="AutoShape 70">
          <a:extLst>
            <a:ext uri="{FF2B5EF4-FFF2-40B4-BE49-F238E27FC236}">
              <a16:creationId xmlns:a16="http://schemas.microsoft.com/office/drawing/2014/main" id="{00000000-0008-0000-0300-00006B1E0000}"/>
            </a:ext>
          </a:extLst>
        </xdr:cNvPr>
        <xdr:cNvSpPr>
          <a:spLocks noChangeArrowheads="1"/>
        </xdr:cNvSpPr>
      </xdr:nvSpPr>
      <xdr:spPr bwMode="auto">
        <a:xfrm>
          <a:off x="7181850" y="4486275"/>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17</xdr:row>
      <xdr:rowOff>123825</xdr:rowOff>
    </xdr:from>
    <xdr:to>
      <xdr:col>17</xdr:col>
      <xdr:colOff>104775</xdr:colOff>
      <xdr:row>26</xdr:row>
      <xdr:rowOff>57150</xdr:rowOff>
    </xdr:to>
    <xdr:sp macro="" textlink="">
      <xdr:nvSpPr>
        <xdr:cNvPr id="7788" name="AutoShape 71">
          <a:extLst>
            <a:ext uri="{FF2B5EF4-FFF2-40B4-BE49-F238E27FC236}">
              <a16:creationId xmlns:a16="http://schemas.microsoft.com/office/drawing/2014/main" id="{00000000-0008-0000-0300-00006C1E0000}"/>
            </a:ext>
          </a:extLst>
        </xdr:cNvPr>
        <xdr:cNvSpPr>
          <a:spLocks noChangeArrowheads="1"/>
        </xdr:cNvSpPr>
      </xdr:nvSpPr>
      <xdr:spPr bwMode="auto">
        <a:xfrm>
          <a:off x="7181850" y="3028950"/>
          <a:ext cx="3228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35</xdr:row>
      <xdr:rowOff>123825</xdr:rowOff>
    </xdr:from>
    <xdr:to>
      <xdr:col>19</xdr:col>
      <xdr:colOff>114300</xdr:colOff>
      <xdr:row>44</xdr:row>
      <xdr:rowOff>57150</xdr:rowOff>
    </xdr:to>
    <xdr:sp macro="" textlink="">
      <xdr:nvSpPr>
        <xdr:cNvPr id="7789" name="AutoShape 73">
          <a:extLst>
            <a:ext uri="{FF2B5EF4-FFF2-40B4-BE49-F238E27FC236}">
              <a16:creationId xmlns:a16="http://schemas.microsoft.com/office/drawing/2014/main" id="{00000000-0008-0000-0300-00006D1E0000}"/>
            </a:ext>
          </a:extLst>
        </xdr:cNvPr>
        <xdr:cNvSpPr>
          <a:spLocks noChangeArrowheads="1"/>
        </xdr:cNvSpPr>
      </xdr:nvSpPr>
      <xdr:spPr bwMode="auto">
        <a:xfrm>
          <a:off x="7181850" y="5943600"/>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44</xdr:row>
      <xdr:rowOff>123825</xdr:rowOff>
    </xdr:from>
    <xdr:to>
      <xdr:col>19</xdr:col>
      <xdr:colOff>114300</xdr:colOff>
      <xdr:row>53</xdr:row>
      <xdr:rowOff>57150</xdr:rowOff>
    </xdr:to>
    <xdr:sp macro="" textlink="">
      <xdr:nvSpPr>
        <xdr:cNvPr id="7790" name="AutoShape 74">
          <a:extLst>
            <a:ext uri="{FF2B5EF4-FFF2-40B4-BE49-F238E27FC236}">
              <a16:creationId xmlns:a16="http://schemas.microsoft.com/office/drawing/2014/main" id="{00000000-0008-0000-0300-00006E1E0000}"/>
            </a:ext>
          </a:extLst>
        </xdr:cNvPr>
        <xdr:cNvSpPr>
          <a:spLocks noChangeArrowheads="1"/>
        </xdr:cNvSpPr>
      </xdr:nvSpPr>
      <xdr:spPr bwMode="auto">
        <a:xfrm>
          <a:off x="7181850" y="7400925"/>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12</xdr:col>
      <xdr:colOff>219075</xdr:colOff>
      <xdr:row>53</xdr:row>
      <xdr:rowOff>123825</xdr:rowOff>
    </xdr:from>
    <xdr:to>
      <xdr:col>19</xdr:col>
      <xdr:colOff>114300</xdr:colOff>
      <xdr:row>62</xdr:row>
      <xdr:rowOff>57150</xdr:rowOff>
    </xdr:to>
    <xdr:sp macro="" textlink="">
      <xdr:nvSpPr>
        <xdr:cNvPr id="7791" name="AutoShape 75">
          <a:extLst>
            <a:ext uri="{FF2B5EF4-FFF2-40B4-BE49-F238E27FC236}">
              <a16:creationId xmlns:a16="http://schemas.microsoft.com/office/drawing/2014/main" id="{00000000-0008-0000-0300-00006F1E0000}"/>
            </a:ext>
          </a:extLst>
        </xdr:cNvPr>
        <xdr:cNvSpPr>
          <a:spLocks noChangeArrowheads="1"/>
        </xdr:cNvSpPr>
      </xdr:nvSpPr>
      <xdr:spPr bwMode="auto">
        <a:xfrm>
          <a:off x="7181850" y="8858250"/>
          <a:ext cx="41624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xdr:col>
      <xdr:colOff>190500</xdr:colOff>
      <xdr:row>3</xdr:row>
      <xdr:rowOff>123825</xdr:rowOff>
    </xdr:from>
    <xdr:to>
      <xdr:col>11</xdr:col>
      <xdr:colOff>828675</xdr:colOff>
      <xdr:row>10</xdr:row>
      <xdr:rowOff>85725</xdr:rowOff>
    </xdr:to>
    <xdr:sp macro="" textlink="">
      <xdr:nvSpPr>
        <xdr:cNvPr id="7792" name="AutoShape 94">
          <a:extLst>
            <a:ext uri="{FF2B5EF4-FFF2-40B4-BE49-F238E27FC236}">
              <a16:creationId xmlns:a16="http://schemas.microsoft.com/office/drawing/2014/main" id="{00000000-0008-0000-0300-0000701E0000}"/>
            </a:ext>
          </a:extLst>
        </xdr:cNvPr>
        <xdr:cNvSpPr>
          <a:spLocks noChangeArrowheads="1"/>
        </xdr:cNvSpPr>
      </xdr:nvSpPr>
      <xdr:spPr bwMode="auto">
        <a:xfrm>
          <a:off x="867276" y="760496"/>
          <a:ext cx="4267702" cy="1084847"/>
        </a:xfrm>
        <a:prstGeom prst="roundRect">
          <a:avLst>
            <a:gd name="adj" fmla="val 9574"/>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7</xdr:col>
          <xdr:colOff>171450</xdr:colOff>
          <xdr:row>7</xdr:row>
          <xdr:rowOff>0</xdr:rowOff>
        </xdr:to>
        <xdr:sp macro="" textlink="">
          <xdr:nvSpPr>
            <xdr:cNvPr id="7247" name="Sens_Current_Risk_sbar" hidden="1">
              <a:extLst>
                <a:ext uri="{63B3BB69-23CF-44E3-9099-C40C66FF867C}">
                  <a14:compatExt spid="_x0000_s7247"/>
                </a:ext>
                <a:ext uri="{FF2B5EF4-FFF2-40B4-BE49-F238E27FC236}">
                  <a16:creationId xmlns:a16="http://schemas.microsoft.com/office/drawing/2014/main" id="{00000000-0008-0000-0300-00004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7</xdr:col>
          <xdr:colOff>171450</xdr:colOff>
          <xdr:row>8</xdr:row>
          <xdr:rowOff>0</xdr:rowOff>
        </xdr:to>
        <xdr:sp macro="" textlink="">
          <xdr:nvSpPr>
            <xdr:cNvPr id="7249" name="Sens_Current_WLC_sbar" hidden="1">
              <a:extLst>
                <a:ext uri="{63B3BB69-23CF-44E3-9099-C40C66FF867C}">
                  <a14:compatExt spid="_x0000_s7249"/>
                </a:ext>
                <a:ext uri="{FF2B5EF4-FFF2-40B4-BE49-F238E27FC236}">
                  <a16:creationId xmlns:a16="http://schemas.microsoft.com/office/drawing/2014/main" id="{00000000-0008-0000-0300-00005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7</xdr:col>
          <xdr:colOff>171450</xdr:colOff>
          <xdr:row>9</xdr:row>
          <xdr:rowOff>0</xdr:rowOff>
        </xdr:to>
        <xdr:sp macro="" textlink="">
          <xdr:nvSpPr>
            <xdr:cNvPr id="7250" name="Sens_Current_RCM_WLC_sbar" hidden="1">
              <a:extLst>
                <a:ext uri="{63B3BB69-23CF-44E3-9099-C40C66FF867C}">
                  <a14:compatExt spid="_x0000_s7250"/>
                </a:ext>
                <a:ext uri="{FF2B5EF4-FFF2-40B4-BE49-F238E27FC236}">
                  <a16:creationId xmlns:a16="http://schemas.microsoft.com/office/drawing/2014/main" id="{00000000-0008-0000-0300-00005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790575</xdr:colOff>
          <xdr:row>7</xdr:row>
          <xdr:rowOff>0</xdr:rowOff>
        </xdr:to>
        <xdr:sp macro="" textlink="">
          <xdr:nvSpPr>
            <xdr:cNvPr id="7251" name="Sens_MLevel_Risk_sbar" hidden="1">
              <a:extLst>
                <a:ext uri="{63B3BB69-23CF-44E3-9099-C40C66FF867C}">
                  <a14:compatExt spid="_x0000_s7251"/>
                </a:ext>
                <a:ext uri="{FF2B5EF4-FFF2-40B4-BE49-F238E27FC236}">
                  <a16:creationId xmlns:a16="http://schemas.microsoft.com/office/drawing/2014/main" id="{00000000-0008-0000-0300-00005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790575</xdr:colOff>
          <xdr:row>8</xdr:row>
          <xdr:rowOff>0</xdr:rowOff>
        </xdr:to>
        <xdr:sp macro="" textlink="">
          <xdr:nvSpPr>
            <xdr:cNvPr id="7252" name="Sens_MLevel_WLC_sbar" hidden="1">
              <a:extLst>
                <a:ext uri="{63B3BB69-23CF-44E3-9099-C40C66FF867C}">
                  <a14:compatExt spid="_x0000_s7252"/>
                </a:ext>
                <a:ext uri="{FF2B5EF4-FFF2-40B4-BE49-F238E27FC236}">
                  <a16:creationId xmlns:a16="http://schemas.microsoft.com/office/drawing/2014/main" id="{00000000-0008-0000-0300-00005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790575</xdr:colOff>
          <xdr:row>9</xdr:row>
          <xdr:rowOff>0</xdr:rowOff>
        </xdr:to>
        <xdr:sp macro="" textlink="">
          <xdr:nvSpPr>
            <xdr:cNvPr id="7253" name="Sens_MLevel_RCM_WLC_sbar" hidden="1">
              <a:extLst>
                <a:ext uri="{63B3BB69-23CF-44E3-9099-C40C66FF867C}">
                  <a14:compatExt spid="_x0000_s7253"/>
                </a:ext>
                <a:ext uri="{FF2B5EF4-FFF2-40B4-BE49-F238E27FC236}">
                  <a16:creationId xmlns:a16="http://schemas.microsoft.com/office/drawing/2014/main" id="{00000000-0008-0000-0300-00005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0</xdr:rowOff>
        </xdr:from>
        <xdr:to>
          <xdr:col>11</xdr:col>
          <xdr:colOff>790575</xdr:colOff>
          <xdr:row>10</xdr:row>
          <xdr:rowOff>0</xdr:rowOff>
        </xdr:to>
        <xdr:sp macro="" textlink="">
          <xdr:nvSpPr>
            <xdr:cNvPr id="7254" name="Sens_MLevel_Investment_sbar" hidden="1">
              <a:extLst>
                <a:ext uri="{63B3BB69-23CF-44E3-9099-C40C66FF867C}">
                  <a14:compatExt spid="_x0000_s7254"/>
                </a:ext>
                <a:ext uri="{FF2B5EF4-FFF2-40B4-BE49-F238E27FC236}">
                  <a16:creationId xmlns:a16="http://schemas.microsoft.com/office/drawing/2014/main" id="{00000000-0008-0000-0300-00005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9525</xdr:rowOff>
        </xdr:from>
        <xdr:to>
          <xdr:col>4</xdr:col>
          <xdr:colOff>180975</xdr:colOff>
          <xdr:row>7</xdr:row>
          <xdr:rowOff>0</xdr:rowOff>
        </xdr:to>
        <xdr:sp macro="" textlink="">
          <xdr:nvSpPr>
            <xdr:cNvPr id="7255" name="Sens_Current_Risk_bt" hidden="1">
              <a:extLst>
                <a:ext uri="{63B3BB69-23CF-44E3-9099-C40C66FF867C}">
                  <a14:compatExt spid="_x0000_s7255"/>
                </a:ext>
                <a:ext uri="{FF2B5EF4-FFF2-40B4-BE49-F238E27FC236}">
                  <a16:creationId xmlns:a16="http://schemas.microsoft.com/office/drawing/2014/main" id="{00000000-0008-0000-0300-00005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4</xdr:col>
          <xdr:colOff>180975</xdr:colOff>
          <xdr:row>8</xdr:row>
          <xdr:rowOff>0</xdr:rowOff>
        </xdr:to>
        <xdr:sp macro="" textlink="">
          <xdr:nvSpPr>
            <xdr:cNvPr id="7256" name="Sens_Current_WLC_bt" hidden="1">
              <a:extLst>
                <a:ext uri="{63B3BB69-23CF-44E3-9099-C40C66FF867C}">
                  <a14:compatExt spid="_x0000_s7256"/>
                </a:ext>
                <a:ext uri="{FF2B5EF4-FFF2-40B4-BE49-F238E27FC236}">
                  <a16:creationId xmlns:a16="http://schemas.microsoft.com/office/drawing/2014/main" id="{00000000-0008-0000-0300-00005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9525</xdr:rowOff>
        </xdr:from>
        <xdr:to>
          <xdr:col>4</xdr:col>
          <xdr:colOff>180975</xdr:colOff>
          <xdr:row>9</xdr:row>
          <xdr:rowOff>0</xdr:rowOff>
        </xdr:to>
        <xdr:sp macro="" textlink="">
          <xdr:nvSpPr>
            <xdr:cNvPr id="7257" name="Sens_Current_RCM_WLC_bt" hidden="1">
              <a:extLst>
                <a:ext uri="{63B3BB69-23CF-44E3-9099-C40C66FF867C}">
                  <a14:compatExt spid="_x0000_s7257"/>
                </a:ext>
                <a:ext uri="{FF2B5EF4-FFF2-40B4-BE49-F238E27FC236}">
                  <a16:creationId xmlns:a16="http://schemas.microsoft.com/office/drawing/2014/main" id="{00000000-0008-0000-0300-00005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9525</xdr:rowOff>
        </xdr:from>
        <xdr:to>
          <xdr:col>10</xdr:col>
          <xdr:colOff>0</xdr:colOff>
          <xdr:row>7</xdr:row>
          <xdr:rowOff>0</xdr:rowOff>
        </xdr:to>
        <xdr:sp macro="" textlink="">
          <xdr:nvSpPr>
            <xdr:cNvPr id="7258" name="Sens_MLevel_Risk_bt" hidden="1">
              <a:extLst>
                <a:ext uri="{63B3BB69-23CF-44E3-9099-C40C66FF867C}">
                  <a14:compatExt spid="_x0000_s7258"/>
                </a:ext>
                <a:ext uri="{FF2B5EF4-FFF2-40B4-BE49-F238E27FC236}">
                  <a16:creationId xmlns:a16="http://schemas.microsoft.com/office/drawing/2014/main" id="{00000000-0008-0000-0300-00005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xdr:row>
          <xdr:rowOff>9525</xdr:rowOff>
        </xdr:from>
        <xdr:to>
          <xdr:col>10</xdr:col>
          <xdr:colOff>0</xdr:colOff>
          <xdr:row>8</xdr:row>
          <xdr:rowOff>0</xdr:rowOff>
        </xdr:to>
        <xdr:sp macro="" textlink="">
          <xdr:nvSpPr>
            <xdr:cNvPr id="7259" name="Sens_MLevel_WLC_bt" hidden="1">
              <a:extLst>
                <a:ext uri="{63B3BB69-23CF-44E3-9099-C40C66FF867C}">
                  <a14:compatExt spid="_x0000_s7259"/>
                </a:ext>
                <a:ext uri="{FF2B5EF4-FFF2-40B4-BE49-F238E27FC236}">
                  <a16:creationId xmlns:a16="http://schemas.microsoft.com/office/drawing/2014/main" id="{00000000-0008-0000-0300-00005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xdr:row>
          <xdr:rowOff>9525</xdr:rowOff>
        </xdr:from>
        <xdr:to>
          <xdr:col>10</xdr:col>
          <xdr:colOff>0</xdr:colOff>
          <xdr:row>9</xdr:row>
          <xdr:rowOff>0</xdr:rowOff>
        </xdr:to>
        <xdr:sp macro="" textlink="">
          <xdr:nvSpPr>
            <xdr:cNvPr id="7260" name="Sens_MLevel_RCM_WLC_bt" hidden="1">
              <a:extLst>
                <a:ext uri="{63B3BB69-23CF-44E3-9099-C40C66FF867C}">
                  <a14:compatExt spid="_x0000_s7260"/>
                </a:ext>
                <a:ext uri="{FF2B5EF4-FFF2-40B4-BE49-F238E27FC236}">
                  <a16:creationId xmlns:a16="http://schemas.microsoft.com/office/drawing/2014/main" id="{00000000-0008-0000-0300-00005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9</xdr:row>
          <xdr:rowOff>9525</xdr:rowOff>
        </xdr:from>
        <xdr:to>
          <xdr:col>10</xdr:col>
          <xdr:colOff>0</xdr:colOff>
          <xdr:row>10</xdr:row>
          <xdr:rowOff>0</xdr:rowOff>
        </xdr:to>
        <xdr:sp macro="" textlink="">
          <xdr:nvSpPr>
            <xdr:cNvPr id="7261" name="Sens_MLevel_Investment_bt" hidden="1">
              <a:extLst>
                <a:ext uri="{63B3BB69-23CF-44E3-9099-C40C66FF867C}">
                  <a14:compatExt spid="_x0000_s7261"/>
                </a:ext>
                <a:ext uri="{FF2B5EF4-FFF2-40B4-BE49-F238E27FC236}">
                  <a16:creationId xmlns:a16="http://schemas.microsoft.com/office/drawing/2014/main" id="{00000000-0008-0000-0300-00005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7268" name="Button 100" hidden="1">
              <a:extLst>
                <a:ext uri="{63B3BB69-23CF-44E3-9099-C40C66FF867C}">
                  <a14:compatExt spid="_x0000_s7268"/>
                </a:ext>
                <a:ext uri="{FF2B5EF4-FFF2-40B4-BE49-F238E27FC236}">
                  <a16:creationId xmlns:a16="http://schemas.microsoft.com/office/drawing/2014/main" id="{00000000-0008-0000-0300-00006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1</xdr:row>
          <xdr:rowOff>285750</xdr:rowOff>
        </xdr:to>
        <xdr:sp macro="" textlink="">
          <xdr:nvSpPr>
            <xdr:cNvPr id="7269" name="Button 101" hidden="1">
              <a:extLst>
                <a:ext uri="{63B3BB69-23CF-44E3-9099-C40C66FF867C}">
                  <a14:compatExt spid="_x0000_s7269"/>
                </a:ext>
                <a:ext uri="{FF2B5EF4-FFF2-40B4-BE49-F238E27FC236}">
                  <a16:creationId xmlns:a16="http://schemas.microsoft.com/office/drawing/2014/main" id="{00000000-0008-0000-0300-00006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314325</xdr:rowOff>
        </xdr:from>
        <xdr:to>
          <xdr:col>0</xdr:col>
          <xdr:colOff>228600</xdr:colOff>
          <xdr:row>3</xdr:row>
          <xdr:rowOff>0</xdr:rowOff>
        </xdr:to>
        <xdr:sp macro="" textlink="">
          <xdr:nvSpPr>
            <xdr:cNvPr id="7270" name="Button 102" hidden="1">
              <a:extLst>
                <a:ext uri="{63B3BB69-23CF-44E3-9099-C40C66FF867C}">
                  <a14:compatExt spid="_x0000_s7270"/>
                </a:ext>
                <a:ext uri="{FF2B5EF4-FFF2-40B4-BE49-F238E27FC236}">
                  <a16:creationId xmlns:a16="http://schemas.microsoft.com/office/drawing/2014/main" id="{00000000-0008-0000-0300-00006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1</xdr:row>
          <xdr:rowOff>314325</xdr:rowOff>
        </xdr:from>
        <xdr:to>
          <xdr:col>0</xdr:col>
          <xdr:colOff>657225</xdr:colOff>
          <xdr:row>3</xdr:row>
          <xdr:rowOff>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300-00006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1</xdr:row>
          <xdr:rowOff>314325</xdr:rowOff>
        </xdr:from>
        <xdr:to>
          <xdr:col>0</xdr:col>
          <xdr:colOff>438150</xdr:colOff>
          <xdr:row>3</xdr:row>
          <xdr:rowOff>0</xdr:rowOff>
        </xdr:to>
        <xdr:sp macro="" textlink="">
          <xdr:nvSpPr>
            <xdr:cNvPr id="7272" name="Button 104" hidden="1">
              <a:extLst>
                <a:ext uri="{63B3BB69-23CF-44E3-9099-C40C66FF867C}">
                  <a14:compatExt spid="_x0000_s7272"/>
                </a:ext>
                <a:ext uri="{FF2B5EF4-FFF2-40B4-BE49-F238E27FC236}">
                  <a16:creationId xmlns:a16="http://schemas.microsoft.com/office/drawing/2014/main" id="{00000000-0008-0000-0300-00006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twoCellAnchor editAs="oneCell">
    <xdr:from>
      <xdr:col>1</xdr:col>
      <xdr:colOff>28575</xdr:colOff>
      <xdr:row>0</xdr:row>
      <xdr:rowOff>57150</xdr:rowOff>
    </xdr:from>
    <xdr:to>
      <xdr:col>2</xdr:col>
      <xdr:colOff>752475</xdr:colOff>
      <xdr:row>2</xdr:row>
      <xdr:rowOff>104775</xdr:rowOff>
    </xdr:to>
    <xdr:pic>
      <xdr:nvPicPr>
        <xdr:cNvPr id="7793" name="Picture 105">
          <a:extLst>
            <a:ext uri="{FF2B5EF4-FFF2-40B4-BE49-F238E27FC236}">
              <a16:creationId xmlns:a16="http://schemas.microsoft.com/office/drawing/2014/main" id="{00000000-0008-0000-0300-0000711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19</xdr:col>
      <xdr:colOff>104775</xdr:colOff>
      <xdr:row>12</xdr:row>
      <xdr:rowOff>123825</xdr:rowOff>
    </xdr:from>
    <xdr:to>
      <xdr:col>22</xdr:col>
      <xdr:colOff>57150</xdr:colOff>
      <xdr:row>17</xdr:row>
      <xdr:rowOff>66675</xdr:rowOff>
    </xdr:to>
    <xdr:sp macro="" textlink="">
      <xdr:nvSpPr>
        <xdr:cNvPr id="48" name="AutoShape 12">
          <a:extLst>
            <a:ext uri="{FF2B5EF4-FFF2-40B4-BE49-F238E27FC236}">
              <a16:creationId xmlns:a16="http://schemas.microsoft.com/office/drawing/2014/main" id="{00000000-0008-0000-0300-000030000000}"/>
            </a:ext>
          </a:extLst>
        </xdr:cNvPr>
        <xdr:cNvSpPr>
          <a:spLocks noChangeArrowheads="1"/>
        </xdr:cNvSpPr>
      </xdr:nvSpPr>
      <xdr:spPr bwMode="auto">
        <a:xfrm>
          <a:off x="11334750" y="2219325"/>
          <a:ext cx="21812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104775</xdr:colOff>
      <xdr:row>12</xdr:row>
      <xdr:rowOff>123825</xdr:rowOff>
    </xdr:from>
    <xdr:to>
      <xdr:col>29</xdr:col>
      <xdr:colOff>57150</xdr:colOff>
      <xdr:row>17</xdr:row>
      <xdr:rowOff>66675</xdr:rowOff>
    </xdr:to>
    <xdr:sp macro="" textlink="">
      <xdr:nvSpPr>
        <xdr:cNvPr id="49" name="AutoShape 12">
          <a:extLst>
            <a:ext uri="{FF2B5EF4-FFF2-40B4-BE49-F238E27FC236}">
              <a16:creationId xmlns:a16="http://schemas.microsoft.com/office/drawing/2014/main" id="{00000000-0008-0000-0300-000031000000}"/>
            </a:ext>
          </a:extLst>
        </xdr:cNvPr>
        <xdr:cNvSpPr>
          <a:spLocks noChangeArrowheads="1"/>
        </xdr:cNvSpPr>
      </xdr:nvSpPr>
      <xdr:spPr bwMode="auto">
        <a:xfrm>
          <a:off x="11334750" y="2219325"/>
          <a:ext cx="21812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104775</xdr:colOff>
      <xdr:row>12</xdr:row>
      <xdr:rowOff>123825</xdr:rowOff>
    </xdr:from>
    <xdr:to>
      <xdr:col>36</xdr:col>
      <xdr:colOff>57150</xdr:colOff>
      <xdr:row>17</xdr:row>
      <xdr:rowOff>66675</xdr:rowOff>
    </xdr:to>
    <xdr:sp macro="" textlink="">
      <xdr:nvSpPr>
        <xdr:cNvPr id="51" name="AutoShape 12">
          <a:extLst>
            <a:ext uri="{FF2B5EF4-FFF2-40B4-BE49-F238E27FC236}">
              <a16:creationId xmlns:a16="http://schemas.microsoft.com/office/drawing/2014/main" id="{00000000-0008-0000-0300-000033000000}"/>
            </a:ext>
          </a:extLst>
        </xdr:cNvPr>
        <xdr:cNvSpPr>
          <a:spLocks noChangeArrowheads="1"/>
        </xdr:cNvSpPr>
      </xdr:nvSpPr>
      <xdr:spPr bwMode="auto">
        <a:xfrm>
          <a:off x="15640050" y="2219325"/>
          <a:ext cx="2066925"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104775</xdr:colOff>
      <xdr:row>12</xdr:row>
      <xdr:rowOff>123825</xdr:rowOff>
    </xdr:from>
    <xdr:to>
      <xdr:col>43</xdr:col>
      <xdr:colOff>57150</xdr:colOff>
      <xdr:row>17</xdr:row>
      <xdr:rowOff>66675</xdr:rowOff>
    </xdr:to>
    <xdr:sp macro="" textlink="">
      <xdr:nvSpPr>
        <xdr:cNvPr id="52" name="AutoShape 12">
          <a:extLst>
            <a:ext uri="{FF2B5EF4-FFF2-40B4-BE49-F238E27FC236}">
              <a16:creationId xmlns:a16="http://schemas.microsoft.com/office/drawing/2014/main" id="{00000000-0008-0000-0300-000034000000}"/>
            </a:ext>
          </a:extLst>
        </xdr:cNvPr>
        <xdr:cNvSpPr>
          <a:spLocks noChangeArrowheads="1"/>
        </xdr:cNvSpPr>
      </xdr:nvSpPr>
      <xdr:spPr bwMode="auto">
        <a:xfrm>
          <a:off x="20059650" y="2219325"/>
          <a:ext cx="2171700" cy="752475"/>
        </a:xfrm>
        <a:prstGeom prst="roundRect">
          <a:avLst>
            <a:gd name="adj" fmla="val 15190"/>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104775</xdr:colOff>
      <xdr:row>17</xdr:row>
      <xdr:rowOff>123825</xdr:rowOff>
    </xdr:from>
    <xdr:to>
      <xdr:col>24</xdr:col>
      <xdr:colOff>47625</xdr:colOff>
      <xdr:row>26</xdr:row>
      <xdr:rowOff>57150</xdr:rowOff>
    </xdr:to>
    <xdr:sp macro="" textlink="">
      <xdr:nvSpPr>
        <xdr:cNvPr id="53" name="AutoShape 71">
          <a:extLst>
            <a:ext uri="{FF2B5EF4-FFF2-40B4-BE49-F238E27FC236}">
              <a16:creationId xmlns:a16="http://schemas.microsoft.com/office/drawing/2014/main" id="{00000000-0008-0000-0300-000035000000}"/>
            </a:ext>
          </a:extLst>
        </xdr:cNvPr>
        <xdr:cNvSpPr>
          <a:spLocks noChangeArrowheads="1"/>
        </xdr:cNvSpPr>
      </xdr:nvSpPr>
      <xdr:spPr bwMode="auto">
        <a:xfrm>
          <a:off x="11334750" y="3028950"/>
          <a:ext cx="31337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104775</xdr:colOff>
      <xdr:row>17</xdr:row>
      <xdr:rowOff>152400</xdr:rowOff>
    </xdr:from>
    <xdr:to>
      <xdr:col>31</xdr:col>
      <xdr:colOff>76200</xdr:colOff>
      <xdr:row>26</xdr:row>
      <xdr:rowOff>85725</xdr:rowOff>
    </xdr:to>
    <xdr:sp macro="" textlink="">
      <xdr:nvSpPr>
        <xdr:cNvPr id="54" name="AutoShape 71">
          <a:extLst>
            <a:ext uri="{FF2B5EF4-FFF2-40B4-BE49-F238E27FC236}">
              <a16:creationId xmlns:a16="http://schemas.microsoft.com/office/drawing/2014/main" id="{00000000-0008-0000-0300-000036000000}"/>
            </a:ext>
          </a:extLst>
        </xdr:cNvPr>
        <xdr:cNvSpPr>
          <a:spLocks noChangeArrowheads="1"/>
        </xdr:cNvSpPr>
      </xdr:nvSpPr>
      <xdr:spPr bwMode="auto">
        <a:xfrm>
          <a:off x="14949488" y="3076575"/>
          <a:ext cx="3409950" cy="1433513"/>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95250</xdr:colOff>
      <xdr:row>17</xdr:row>
      <xdr:rowOff>133350</xdr:rowOff>
    </xdr:from>
    <xdr:to>
      <xdr:col>38</xdr:col>
      <xdr:colOff>76200</xdr:colOff>
      <xdr:row>26</xdr:row>
      <xdr:rowOff>66675</xdr:rowOff>
    </xdr:to>
    <xdr:sp macro="" textlink="">
      <xdr:nvSpPr>
        <xdr:cNvPr id="55" name="AutoShape 71">
          <a:extLst>
            <a:ext uri="{FF2B5EF4-FFF2-40B4-BE49-F238E27FC236}">
              <a16:creationId xmlns:a16="http://schemas.microsoft.com/office/drawing/2014/main" id="{00000000-0008-0000-0300-000037000000}"/>
            </a:ext>
          </a:extLst>
        </xdr:cNvPr>
        <xdr:cNvSpPr>
          <a:spLocks noChangeArrowheads="1"/>
        </xdr:cNvSpPr>
      </xdr:nvSpPr>
      <xdr:spPr bwMode="auto">
        <a:xfrm>
          <a:off x="19673888" y="3057525"/>
          <a:ext cx="3490912" cy="1433513"/>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114300</xdr:colOff>
      <xdr:row>17</xdr:row>
      <xdr:rowOff>123825</xdr:rowOff>
    </xdr:from>
    <xdr:to>
      <xdr:col>45</xdr:col>
      <xdr:colOff>66675</xdr:colOff>
      <xdr:row>26</xdr:row>
      <xdr:rowOff>57150</xdr:rowOff>
    </xdr:to>
    <xdr:sp macro="" textlink="">
      <xdr:nvSpPr>
        <xdr:cNvPr id="56" name="AutoShape 71">
          <a:extLst>
            <a:ext uri="{FF2B5EF4-FFF2-40B4-BE49-F238E27FC236}">
              <a16:creationId xmlns:a16="http://schemas.microsoft.com/office/drawing/2014/main" id="{00000000-0008-0000-0300-000038000000}"/>
            </a:ext>
          </a:extLst>
        </xdr:cNvPr>
        <xdr:cNvSpPr>
          <a:spLocks noChangeArrowheads="1"/>
        </xdr:cNvSpPr>
      </xdr:nvSpPr>
      <xdr:spPr bwMode="auto">
        <a:xfrm>
          <a:off x="24398288" y="3048000"/>
          <a:ext cx="3471862" cy="1433513"/>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114301</xdr:colOff>
      <xdr:row>26</xdr:row>
      <xdr:rowOff>123825</xdr:rowOff>
    </xdr:from>
    <xdr:to>
      <xdr:col>26</xdr:col>
      <xdr:colOff>114301</xdr:colOff>
      <xdr:row>35</xdr:row>
      <xdr:rowOff>57150</xdr:rowOff>
    </xdr:to>
    <xdr:sp macro="" textlink="">
      <xdr:nvSpPr>
        <xdr:cNvPr id="62" name="AutoShape 70">
          <a:extLst>
            <a:ext uri="{FF2B5EF4-FFF2-40B4-BE49-F238E27FC236}">
              <a16:creationId xmlns:a16="http://schemas.microsoft.com/office/drawing/2014/main" id="{00000000-0008-0000-0300-00003E000000}"/>
            </a:ext>
          </a:extLst>
        </xdr:cNvPr>
        <xdr:cNvSpPr>
          <a:spLocks noChangeArrowheads="1"/>
        </xdr:cNvSpPr>
      </xdr:nvSpPr>
      <xdr:spPr bwMode="auto">
        <a:xfrm>
          <a:off x="11344276" y="4486275"/>
          <a:ext cx="43053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123825</xdr:colOff>
      <xdr:row>26</xdr:row>
      <xdr:rowOff>123825</xdr:rowOff>
    </xdr:from>
    <xdr:to>
      <xdr:col>33</xdr:col>
      <xdr:colOff>114300</xdr:colOff>
      <xdr:row>35</xdr:row>
      <xdr:rowOff>57150</xdr:rowOff>
    </xdr:to>
    <xdr:sp macro="" textlink="">
      <xdr:nvSpPr>
        <xdr:cNvPr id="63" name="AutoShape 70">
          <a:extLst>
            <a:ext uri="{FF2B5EF4-FFF2-40B4-BE49-F238E27FC236}">
              <a16:creationId xmlns:a16="http://schemas.microsoft.com/office/drawing/2014/main" id="{00000000-0008-0000-0300-00003F000000}"/>
            </a:ext>
          </a:extLst>
        </xdr:cNvPr>
        <xdr:cNvSpPr>
          <a:spLocks noChangeArrowheads="1"/>
        </xdr:cNvSpPr>
      </xdr:nvSpPr>
      <xdr:spPr bwMode="auto">
        <a:xfrm>
          <a:off x="15659100" y="4486275"/>
          <a:ext cx="44100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26</xdr:row>
      <xdr:rowOff>123825</xdr:rowOff>
    </xdr:from>
    <xdr:to>
      <xdr:col>40</xdr:col>
      <xdr:colOff>114300</xdr:colOff>
      <xdr:row>35</xdr:row>
      <xdr:rowOff>57150</xdr:rowOff>
    </xdr:to>
    <xdr:sp macro="" textlink="">
      <xdr:nvSpPr>
        <xdr:cNvPr id="64" name="AutoShape 70">
          <a:extLst>
            <a:ext uri="{FF2B5EF4-FFF2-40B4-BE49-F238E27FC236}">
              <a16:creationId xmlns:a16="http://schemas.microsoft.com/office/drawing/2014/main" id="{00000000-0008-0000-0300-000040000000}"/>
            </a:ext>
          </a:extLst>
        </xdr:cNvPr>
        <xdr:cNvSpPr>
          <a:spLocks noChangeArrowheads="1"/>
        </xdr:cNvSpPr>
      </xdr:nvSpPr>
      <xdr:spPr bwMode="auto">
        <a:xfrm>
          <a:off x="20078700" y="448627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114301</xdr:colOff>
      <xdr:row>26</xdr:row>
      <xdr:rowOff>123825</xdr:rowOff>
    </xdr:from>
    <xdr:to>
      <xdr:col>47</xdr:col>
      <xdr:colOff>114301</xdr:colOff>
      <xdr:row>35</xdr:row>
      <xdr:rowOff>57150</xdr:rowOff>
    </xdr:to>
    <xdr:sp macro="" textlink="">
      <xdr:nvSpPr>
        <xdr:cNvPr id="65" name="AutoShape 70">
          <a:extLst>
            <a:ext uri="{FF2B5EF4-FFF2-40B4-BE49-F238E27FC236}">
              <a16:creationId xmlns:a16="http://schemas.microsoft.com/office/drawing/2014/main" id="{00000000-0008-0000-0300-000041000000}"/>
            </a:ext>
          </a:extLst>
        </xdr:cNvPr>
        <xdr:cNvSpPr>
          <a:spLocks noChangeArrowheads="1"/>
        </xdr:cNvSpPr>
      </xdr:nvSpPr>
      <xdr:spPr bwMode="auto">
        <a:xfrm>
          <a:off x="24460201" y="448627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114300</xdr:colOff>
      <xdr:row>35</xdr:row>
      <xdr:rowOff>123825</xdr:rowOff>
    </xdr:from>
    <xdr:to>
      <xdr:col>26</xdr:col>
      <xdr:colOff>133350</xdr:colOff>
      <xdr:row>44</xdr:row>
      <xdr:rowOff>57150</xdr:rowOff>
    </xdr:to>
    <xdr:sp macro="" textlink="">
      <xdr:nvSpPr>
        <xdr:cNvPr id="59" name="AutoShape 73">
          <a:extLst>
            <a:ext uri="{FF2B5EF4-FFF2-40B4-BE49-F238E27FC236}">
              <a16:creationId xmlns:a16="http://schemas.microsoft.com/office/drawing/2014/main" id="{00000000-0008-0000-0300-00003B000000}"/>
            </a:ext>
          </a:extLst>
        </xdr:cNvPr>
        <xdr:cNvSpPr>
          <a:spLocks noChangeArrowheads="1"/>
        </xdr:cNvSpPr>
      </xdr:nvSpPr>
      <xdr:spPr bwMode="auto">
        <a:xfrm>
          <a:off x="11344275" y="5943600"/>
          <a:ext cx="43243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142875</xdr:colOff>
      <xdr:row>35</xdr:row>
      <xdr:rowOff>123825</xdr:rowOff>
    </xdr:from>
    <xdr:to>
      <xdr:col>33</xdr:col>
      <xdr:colOff>123825</xdr:colOff>
      <xdr:row>44</xdr:row>
      <xdr:rowOff>57150</xdr:rowOff>
    </xdr:to>
    <xdr:sp macro="" textlink="">
      <xdr:nvSpPr>
        <xdr:cNvPr id="60" name="AutoShape 73">
          <a:extLst>
            <a:ext uri="{FF2B5EF4-FFF2-40B4-BE49-F238E27FC236}">
              <a16:creationId xmlns:a16="http://schemas.microsoft.com/office/drawing/2014/main" id="{00000000-0008-0000-0300-00003C000000}"/>
            </a:ext>
          </a:extLst>
        </xdr:cNvPr>
        <xdr:cNvSpPr>
          <a:spLocks noChangeArrowheads="1"/>
        </xdr:cNvSpPr>
      </xdr:nvSpPr>
      <xdr:spPr bwMode="auto">
        <a:xfrm>
          <a:off x="15678150" y="5943600"/>
          <a:ext cx="44005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35</xdr:row>
      <xdr:rowOff>123825</xdr:rowOff>
    </xdr:from>
    <xdr:to>
      <xdr:col>40</xdr:col>
      <xdr:colOff>114300</xdr:colOff>
      <xdr:row>44</xdr:row>
      <xdr:rowOff>57150</xdr:rowOff>
    </xdr:to>
    <xdr:sp macro="" textlink="">
      <xdr:nvSpPr>
        <xdr:cNvPr id="61" name="AutoShape 73">
          <a:extLst>
            <a:ext uri="{FF2B5EF4-FFF2-40B4-BE49-F238E27FC236}">
              <a16:creationId xmlns:a16="http://schemas.microsoft.com/office/drawing/2014/main" id="{00000000-0008-0000-0300-00003D000000}"/>
            </a:ext>
          </a:extLst>
        </xdr:cNvPr>
        <xdr:cNvSpPr>
          <a:spLocks noChangeArrowheads="1"/>
        </xdr:cNvSpPr>
      </xdr:nvSpPr>
      <xdr:spPr bwMode="auto">
        <a:xfrm>
          <a:off x="20078700" y="5943600"/>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123825</xdr:colOff>
      <xdr:row>35</xdr:row>
      <xdr:rowOff>123825</xdr:rowOff>
    </xdr:from>
    <xdr:to>
      <xdr:col>47</xdr:col>
      <xdr:colOff>114300</xdr:colOff>
      <xdr:row>44</xdr:row>
      <xdr:rowOff>57150</xdr:rowOff>
    </xdr:to>
    <xdr:sp macro="" textlink="">
      <xdr:nvSpPr>
        <xdr:cNvPr id="66" name="AutoShape 73">
          <a:extLst>
            <a:ext uri="{FF2B5EF4-FFF2-40B4-BE49-F238E27FC236}">
              <a16:creationId xmlns:a16="http://schemas.microsoft.com/office/drawing/2014/main" id="{00000000-0008-0000-0300-000042000000}"/>
            </a:ext>
          </a:extLst>
        </xdr:cNvPr>
        <xdr:cNvSpPr>
          <a:spLocks noChangeArrowheads="1"/>
        </xdr:cNvSpPr>
      </xdr:nvSpPr>
      <xdr:spPr bwMode="auto">
        <a:xfrm>
          <a:off x="24469725" y="5943600"/>
          <a:ext cx="4371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114301</xdr:colOff>
      <xdr:row>44</xdr:row>
      <xdr:rowOff>123825</xdr:rowOff>
    </xdr:from>
    <xdr:to>
      <xdr:col>26</xdr:col>
      <xdr:colOff>142875</xdr:colOff>
      <xdr:row>53</xdr:row>
      <xdr:rowOff>57150</xdr:rowOff>
    </xdr:to>
    <xdr:sp macro="" textlink="">
      <xdr:nvSpPr>
        <xdr:cNvPr id="67" name="AutoShape 74">
          <a:extLst>
            <a:ext uri="{FF2B5EF4-FFF2-40B4-BE49-F238E27FC236}">
              <a16:creationId xmlns:a16="http://schemas.microsoft.com/office/drawing/2014/main" id="{00000000-0008-0000-0300-000043000000}"/>
            </a:ext>
          </a:extLst>
        </xdr:cNvPr>
        <xdr:cNvSpPr>
          <a:spLocks noChangeArrowheads="1"/>
        </xdr:cNvSpPr>
      </xdr:nvSpPr>
      <xdr:spPr bwMode="auto">
        <a:xfrm>
          <a:off x="11344276" y="7400925"/>
          <a:ext cx="4333874"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142875</xdr:colOff>
      <xdr:row>44</xdr:row>
      <xdr:rowOff>123825</xdr:rowOff>
    </xdr:from>
    <xdr:to>
      <xdr:col>33</xdr:col>
      <xdr:colOff>114300</xdr:colOff>
      <xdr:row>53</xdr:row>
      <xdr:rowOff>57150</xdr:rowOff>
    </xdr:to>
    <xdr:sp macro="" textlink="">
      <xdr:nvSpPr>
        <xdr:cNvPr id="68" name="AutoShape 74">
          <a:extLst>
            <a:ext uri="{FF2B5EF4-FFF2-40B4-BE49-F238E27FC236}">
              <a16:creationId xmlns:a16="http://schemas.microsoft.com/office/drawing/2014/main" id="{00000000-0008-0000-0300-000044000000}"/>
            </a:ext>
          </a:extLst>
        </xdr:cNvPr>
        <xdr:cNvSpPr>
          <a:spLocks noChangeArrowheads="1"/>
        </xdr:cNvSpPr>
      </xdr:nvSpPr>
      <xdr:spPr bwMode="auto">
        <a:xfrm>
          <a:off x="15678150" y="7400925"/>
          <a:ext cx="43910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123825</xdr:colOff>
      <xdr:row>44</xdr:row>
      <xdr:rowOff>123825</xdr:rowOff>
    </xdr:from>
    <xdr:to>
      <xdr:col>40</xdr:col>
      <xdr:colOff>114300</xdr:colOff>
      <xdr:row>53</xdr:row>
      <xdr:rowOff>57150</xdr:rowOff>
    </xdr:to>
    <xdr:sp macro="" textlink="">
      <xdr:nvSpPr>
        <xdr:cNvPr id="69" name="AutoShape 74">
          <a:extLst>
            <a:ext uri="{FF2B5EF4-FFF2-40B4-BE49-F238E27FC236}">
              <a16:creationId xmlns:a16="http://schemas.microsoft.com/office/drawing/2014/main" id="{00000000-0008-0000-0300-000045000000}"/>
            </a:ext>
          </a:extLst>
        </xdr:cNvPr>
        <xdr:cNvSpPr>
          <a:spLocks noChangeArrowheads="1"/>
        </xdr:cNvSpPr>
      </xdr:nvSpPr>
      <xdr:spPr bwMode="auto">
        <a:xfrm>
          <a:off x="20078700" y="7400925"/>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123825</xdr:colOff>
      <xdr:row>44</xdr:row>
      <xdr:rowOff>123825</xdr:rowOff>
    </xdr:from>
    <xdr:to>
      <xdr:col>47</xdr:col>
      <xdr:colOff>114300</xdr:colOff>
      <xdr:row>53</xdr:row>
      <xdr:rowOff>57150</xdr:rowOff>
    </xdr:to>
    <xdr:sp macro="" textlink="">
      <xdr:nvSpPr>
        <xdr:cNvPr id="70" name="AutoShape 74">
          <a:extLst>
            <a:ext uri="{FF2B5EF4-FFF2-40B4-BE49-F238E27FC236}">
              <a16:creationId xmlns:a16="http://schemas.microsoft.com/office/drawing/2014/main" id="{00000000-0008-0000-0300-000046000000}"/>
            </a:ext>
          </a:extLst>
        </xdr:cNvPr>
        <xdr:cNvSpPr>
          <a:spLocks noChangeArrowheads="1"/>
        </xdr:cNvSpPr>
      </xdr:nvSpPr>
      <xdr:spPr bwMode="auto">
        <a:xfrm>
          <a:off x="24469725" y="7400925"/>
          <a:ext cx="437197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19</xdr:col>
      <xdr:colOff>114300</xdr:colOff>
      <xdr:row>53</xdr:row>
      <xdr:rowOff>123825</xdr:rowOff>
    </xdr:from>
    <xdr:to>
      <xdr:col>26</xdr:col>
      <xdr:colOff>152399</xdr:colOff>
      <xdr:row>62</xdr:row>
      <xdr:rowOff>57150</xdr:rowOff>
    </xdr:to>
    <xdr:sp macro="" textlink="">
      <xdr:nvSpPr>
        <xdr:cNvPr id="71" name="AutoShape 75">
          <a:extLst>
            <a:ext uri="{FF2B5EF4-FFF2-40B4-BE49-F238E27FC236}">
              <a16:creationId xmlns:a16="http://schemas.microsoft.com/office/drawing/2014/main" id="{00000000-0008-0000-0300-000047000000}"/>
            </a:ext>
          </a:extLst>
        </xdr:cNvPr>
        <xdr:cNvSpPr>
          <a:spLocks noChangeArrowheads="1"/>
        </xdr:cNvSpPr>
      </xdr:nvSpPr>
      <xdr:spPr bwMode="auto">
        <a:xfrm>
          <a:off x="11344275" y="8858250"/>
          <a:ext cx="4343399"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26</xdr:col>
      <xdr:colOff>161925</xdr:colOff>
      <xdr:row>53</xdr:row>
      <xdr:rowOff>123825</xdr:rowOff>
    </xdr:from>
    <xdr:to>
      <xdr:col>33</xdr:col>
      <xdr:colOff>133350</xdr:colOff>
      <xdr:row>62</xdr:row>
      <xdr:rowOff>57150</xdr:rowOff>
    </xdr:to>
    <xdr:sp macro="" textlink="">
      <xdr:nvSpPr>
        <xdr:cNvPr id="72" name="AutoShape 75">
          <a:extLst>
            <a:ext uri="{FF2B5EF4-FFF2-40B4-BE49-F238E27FC236}">
              <a16:creationId xmlns:a16="http://schemas.microsoft.com/office/drawing/2014/main" id="{00000000-0008-0000-0300-000048000000}"/>
            </a:ext>
          </a:extLst>
        </xdr:cNvPr>
        <xdr:cNvSpPr>
          <a:spLocks noChangeArrowheads="1"/>
        </xdr:cNvSpPr>
      </xdr:nvSpPr>
      <xdr:spPr bwMode="auto">
        <a:xfrm>
          <a:off x="15697200" y="8858250"/>
          <a:ext cx="4391025"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33</xdr:col>
      <xdr:colOff>142875</xdr:colOff>
      <xdr:row>53</xdr:row>
      <xdr:rowOff>123825</xdr:rowOff>
    </xdr:from>
    <xdr:to>
      <xdr:col>40</xdr:col>
      <xdr:colOff>114300</xdr:colOff>
      <xdr:row>62</xdr:row>
      <xdr:rowOff>57150</xdr:rowOff>
    </xdr:to>
    <xdr:sp macro="" textlink="">
      <xdr:nvSpPr>
        <xdr:cNvPr id="73" name="AutoShape 75">
          <a:extLst>
            <a:ext uri="{FF2B5EF4-FFF2-40B4-BE49-F238E27FC236}">
              <a16:creationId xmlns:a16="http://schemas.microsoft.com/office/drawing/2014/main" id="{00000000-0008-0000-0300-000049000000}"/>
            </a:ext>
          </a:extLst>
        </xdr:cNvPr>
        <xdr:cNvSpPr>
          <a:spLocks noChangeArrowheads="1"/>
        </xdr:cNvSpPr>
      </xdr:nvSpPr>
      <xdr:spPr bwMode="auto">
        <a:xfrm>
          <a:off x="20097750" y="8858250"/>
          <a:ext cx="436245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twoCellAnchor>
    <xdr:from>
      <xdr:col>40</xdr:col>
      <xdr:colOff>114301</xdr:colOff>
      <xdr:row>53</xdr:row>
      <xdr:rowOff>123825</xdr:rowOff>
    </xdr:from>
    <xdr:to>
      <xdr:col>47</xdr:col>
      <xdr:colOff>114301</xdr:colOff>
      <xdr:row>62</xdr:row>
      <xdr:rowOff>57150</xdr:rowOff>
    </xdr:to>
    <xdr:sp macro="" textlink="">
      <xdr:nvSpPr>
        <xdr:cNvPr id="74" name="AutoShape 75">
          <a:extLst>
            <a:ext uri="{FF2B5EF4-FFF2-40B4-BE49-F238E27FC236}">
              <a16:creationId xmlns:a16="http://schemas.microsoft.com/office/drawing/2014/main" id="{00000000-0008-0000-0300-00004A000000}"/>
            </a:ext>
          </a:extLst>
        </xdr:cNvPr>
        <xdr:cNvSpPr>
          <a:spLocks noChangeArrowheads="1"/>
        </xdr:cNvSpPr>
      </xdr:nvSpPr>
      <xdr:spPr bwMode="auto">
        <a:xfrm>
          <a:off x="24460201" y="8858250"/>
          <a:ext cx="4381500" cy="1390650"/>
        </a:xfrm>
        <a:prstGeom prst="roundRect">
          <a:avLst>
            <a:gd name="adj" fmla="val 9648"/>
          </a:avLst>
        </a:prstGeom>
        <a:solidFill>
          <a:srgbClr xmlns:mc="http://schemas.openxmlformats.org/markup-compatibility/2006" xmlns:a14="http://schemas.microsoft.com/office/drawing/2010/main" val="C0C0C0" mc:Ignorable="a14" a14:legacySpreadsheetColorIndex="22">
            <a:alpha val="10196"/>
          </a:srgbClr>
        </a:solidFill>
        <a:ln w="9525">
          <a:solidFill>
            <a:srgbClr xmlns:mc="http://schemas.openxmlformats.org/markup-compatibility/2006" xmlns:a14="http://schemas.microsoft.com/office/drawing/2010/main" val="808080" mc:Ignorable="a14" a14:legacySpreadsheetColorIndex="23"/>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071" name="Picture 22">
          <a:extLst>
            <a:ext uri="{FF2B5EF4-FFF2-40B4-BE49-F238E27FC236}">
              <a16:creationId xmlns:a16="http://schemas.microsoft.com/office/drawing/2014/main" id="{00000000-0008-0000-0400-00002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4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4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4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4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0.08275</cdr:x>
      <cdr:y>0.0035</cdr:y>
    </cdr:from>
    <cdr:to>
      <cdr:x>0.19125</cdr:x>
      <cdr:y>0.0985</cdr:y>
    </cdr:to>
    <cdr:pic>
      <cdr:nvPicPr>
        <cdr:cNvPr id="18435" name="Picture 3">
          <a:extLst xmlns:a="http://schemas.openxmlformats.org/drawingml/2006/main">
            <a:ext uri="{FF2B5EF4-FFF2-40B4-BE49-F238E27FC236}">
              <a16:creationId xmlns:a16="http://schemas.microsoft.com/office/drawing/2014/main" id="{7F114F61-622F-47E5-8163-E689F7DE95AA}"/>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762183" y="19669"/>
          <a:ext cx="999359" cy="53387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12.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0.0735</cdr:x>
      <cdr:y>0.003</cdr:y>
    </cdr:from>
    <cdr:to>
      <cdr:x>0.182</cdr:x>
      <cdr:y>0.098</cdr:y>
    </cdr:to>
    <cdr:pic>
      <cdr:nvPicPr>
        <cdr:cNvPr id="49157" name="Picture 5">
          <a:extLst xmlns:a="http://schemas.openxmlformats.org/drawingml/2006/main">
            <a:ext uri="{FF2B5EF4-FFF2-40B4-BE49-F238E27FC236}">
              <a16:creationId xmlns:a16="http://schemas.microsoft.com/office/drawing/2014/main" id="{2CA51B40-6FE3-4303-8F82-ABF8BE1130F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76985" y="16859"/>
          <a:ext cx="999358" cy="53387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7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7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104775</xdr:rowOff>
        </xdr:to>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700-000003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104775</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0700-000004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104775</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0700-000005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9509" name="Picture 27">
          <a:extLst>
            <a:ext uri="{FF2B5EF4-FFF2-40B4-BE49-F238E27FC236}">
              <a16:creationId xmlns:a16="http://schemas.microsoft.com/office/drawing/2014/main" id="{00000000-0008-0000-0900-0000354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9484" name="Button 28" hidden="1">
              <a:extLst>
                <a:ext uri="{63B3BB69-23CF-44E3-9099-C40C66FF867C}">
                  <a14:compatExt spid="_x0000_s19484"/>
                </a:ext>
                <a:ext uri="{FF2B5EF4-FFF2-40B4-BE49-F238E27FC236}">
                  <a16:creationId xmlns:a16="http://schemas.microsoft.com/office/drawing/2014/main" id="{00000000-0008-0000-0900-00001C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9485" name="Button 29" hidden="1">
              <a:extLst>
                <a:ext uri="{63B3BB69-23CF-44E3-9099-C40C66FF867C}">
                  <a14:compatExt spid="_x0000_s19485"/>
                </a:ext>
                <a:ext uri="{FF2B5EF4-FFF2-40B4-BE49-F238E27FC236}">
                  <a16:creationId xmlns:a16="http://schemas.microsoft.com/office/drawing/2014/main" id="{00000000-0008-0000-0900-00001D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9486" name="Button 30" hidden="1">
              <a:extLst>
                <a:ext uri="{63B3BB69-23CF-44E3-9099-C40C66FF867C}">
                  <a14:compatExt spid="_x0000_s19486"/>
                </a:ext>
                <a:ext uri="{FF2B5EF4-FFF2-40B4-BE49-F238E27FC236}">
                  <a16:creationId xmlns:a16="http://schemas.microsoft.com/office/drawing/2014/main" id="{00000000-0008-0000-0900-00001E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9487" name="Button 31" hidden="1">
              <a:extLst>
                <a:ext uri="{63B3BB69-23CF-44E3-9099-C40C66FF867C}">
                  <a14:compatExt spid="_x0000_s19487"/>
                </a:ext>
                <a:ext uri="{FF2B5EF4-FFF2-40B4-BE49-F238E27FC236}">
                  <a16:creationId xmlns:a16="http://schemas.microsoft.com/office/drawing/2014/main" id="{00000000-0008-0000-0900-00001F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9488" name="Button 32" hidden="1">
              <a:extLst>
                <a:ext uri="{63B3BB69-23CF-44E3-9099-C40C66FF867C}">
                  <a14:compatExt spid="_x0000_s19488"/>
                </a:ext>
                <a:ext uri="{FF2B5EF4-FFF2-40B4-BE49-F238E27FC236}">
                  <a16:creationId xmlns:a16="http://schemas.microsoft.com/office/drawing/2014/main" id="{00000000-0008-0000-0900-000020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1327" name="Picture 38">
          <a:extLst>
            <a:ext uri="{FF2B5EF4-FFF2-40B4-BE49-F238E27FC236}">
              <a16:creationId xmlns:a16="http://schemas.microsoft.com/office/drawing/2014/main" id="{00000000-0008-0000-0A00-00003F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1303" name="Button 39" hidden="1">
              <a:extLst>
                <a:ext uri="{63B3BB69-23CF-44E3-9099-C40C66FF867C}">
                  <a14:compatExt spid="_x0000_s11303"/>
                </a:ext>
                <a:ext uri="{FF2B5EF4-FFF2-40B4-BE49-F238E27FC236}">
                  <a16:creationId xmlns:a16="http://schemas.microsoft.com/office/drawing/2014/main" id="{00000000-0008-0000-0A00-00002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1304" name="Button 40" hidden="1">
              <a:extLst>
                <a:ext uri="{63B3BB69-23CF-44E3-9099-C40C66FF867C}">
                  <a14:compatExt spid="_x0000_s11304"/>
                </a:ext>
                <a:ext uri="{FF2B5EF4-FFF2-40B4-BE49-F238E27FC236}">
                  <a16:creationId xmlns:a16="http://schemas.microsoft.com/office/drawing/2014/main" id="{00000000-0008-0000-0A00-00002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1305" name="Button 41" hidden="1">
              <a:extLst>
                <a:ext uri="{63B3BB69-23CF-44E3-9099-C40C66FF867C}">
                  <a14:compatExt spid="_x0000_s11305"/>
                </a:ext>
                <a:ext uri="{FF2B5EF4-FFF2-40B4-BE49-F238E27FC236}">
                  <a16:creationId xmlns:a16="http://schemas.microsoft.com/office/drawing/2014/main" id="{00000000-0008-0000-0A00-00002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1306" name="Button 42" hidden="1">
              <a:extLst>
                <a:ext uri="{63B3BB69-23CF-44E3-9099-C40C66FF867C}">
                  <a14:compatExt spid="_x0000_s11306"/>
                </a:ext>
                <a:ext uri="{FF2B5EF4-FFF2-40B4-BE49-F238E27FC236}">
                  <a16:creationId xmlns:a16="http://schemas.microsoft.com/office/drawing/2014/main" id="{00000000-0008-0000-0A00-00002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A00-00002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2363" name="Picture 49">
          <a:extLst>
            <a:ext uri="{FF2B5EF4-FFF2-40B4-BE49-F238E27FC236}">
              <a16:creationId xmlns:a16="http://schemas.microsoft.com/office/drawing/2014/main" id="{00000000-0008-0000-0B00-00004B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2338" name="Button 50" hidden="1">
              <a:extLst>
                <a:ext uri="{63B3BB69-23CF-44E3-9099-C40C66FF867C}">
                  <a14:compatExt spid="_x0000_s12338"/>
                </a:ext>
                <a:ext uri="{FF2B5EF4-FFF2-40B4-BE49-F238E27FC236}">
                  <a16:creationId xmlns:a16="http://schemas.microsoft.com/office/drawing/2014/main" id="{00000000-0008-0000-0B00-00003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2339" name="Button 51" hidden="1">
              <a:extLst>
                <a:ext uri="{63B3BB69-23CF-44E3-9099-C40C66FF867C}">
                  <a14:compatExt spid="_x0000_s12339"/>
                </a:ext>
                <a:ext uri="{FF2B5EF4-FFF2-40B4-BE49-F238E27FC236}">
                  <a16:creationId xmlns:a16="http://schemas.microsoft.com/office/drawing/2014/main" id="{00000000-0008-0000-0B00-00003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B00-00003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2341" name="Button 53" hidden="1">
              <a:extLst>
                <a:ext uri="{63B3BB69-23CF-44E3-9099-C40C66FF867C}">
                  <a14:compatExt spid="_x0000_s12341"/>
                </a:ext>
                <a:ext uri="{FF2B5EF4-FFF2-40B4-BE49-F238E27FC236}">
                  <a16:creationId xmlns:a16="http://schemas.microsoft.com/office/drawing/2014/main" id="{00000000-0008-0000-0B00-00003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2342" name="Button 54" hidden="1">
              <a:extLst>
                <a:ext uri="{63B3BB69-23CF-44E3-9099-C40C66FF867C}">
                  <a14:compatExt spid="_x0000_s12342"/>
                </a:ext>
                <a:ext uri="{FF2B5EF4-FFF2-40B4-BE49-F238E27FC236}">
                  <a16:creationId xmlns:a16="http://schemas.microsoft.com/office/drawing/2014/main" id="{00000000-0008-0000-0B00-000036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1</xdr:col>
      <xdr:colOff>114300</xdr:colOff>
      <xdr:row>3</xdr:row>
      <xdr:rowOff>104775</xdr:rowOff>
    </xdr:to>
    <xdr:pic>
      <xdr:nvPicPr>
        <xdr:cNvPr id="13387" name="Picture 50">
          <a:extLst>
            <a:ext uri="{FF2B5EF4-FFF2-40B4-BE49-F238E27FC236}">
              <a16:creationId xmlns:a16="http://schemas.microsoft.com/office/drawing/2014/main" id="{00000000-0008-0000-0C00-00004B3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3363" name="Button 51" hidden="1">
              <a:extLst>
                <a:ext uri="{63B3BB69-23CF-44E3-9099-C40C66FF867C}">
                  <a14:compatExt spid="_x0000_s13363"/>
                </a:ext>
                <a:ext uri="{FF2B5EF4-FFF2-40B4-BE49-F238E27FC236}">
                  <a16:creationId xmlns:a16="http://schemas.microsoft.com/office/drawing/2014/main" id="{00000000-0008-0000-0C00-00003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3364" name="Button 52" hidden="1">
              <a:extLst>
                <a:ext uri="{63B3BB69-23CF-44E3-9099-C40C66FF867C}">
                  <a14:compatExt spid="_x0000_s13364"/>
                </a:ext>
                <a:ext uri="{FF2B5EF4-FFF2-40B4-BE49-F238E27FC236}">
                  <a16:creationId xmlns:a16="http://schemas.microsoft.com/office/drawing/2014/main" id="{00000000-0008-0000-0C00-00003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3365" name="Button 53" hidden="1">
              <a:extLst>
                <a:ext uri="{63B3BB69-23CF-44E3-9099-C40C66FF867C}">
                  <a14:compatExt spid="_x0000_s13365"/>
                </a:ext>
                <a:ext uri="{FF2B5EF4-FFF2-40B4-BE49-F238E27FC236}">
                  <a16:creationId xmlns:a16="http://schemas.microsoft.com/office/drawing/2014/main" id="{00000000-0008-0000-0C00-00003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3366" name="Button 54" hidden="1">
              <a:extLst>
                <a:ext uri="{63B3BB69-23CF-44E3-9099-C40C66FF867C}">
                  <a14:compatExt spid="_x0000_s13366"/>
                </a:ext>
                <a:ext uri="{FF2B5EF4-FFF2-40B4-BE49-F238E27FC236}">
                  <a16:creationId xmlns:a16="http://schemas.microsoft.com/office/drawing/2014/main" id="{00000000-0008-0000-0C00-000036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3367" name="Button 55" hidden="1">
              <a:extLst>
                <a:ext uri="{63B3BB69-23CF-44E3-9099-C40C66FF867C}">
                  <a14:compatExt spid="_x0000_s13367"/>
                </a:ext>
                <a:ext uri="{FF2B5EF4-FFF2-40B4-BE49-F238E27FC236}">
                  <a16:creationId xmlns:a16="http://schemas.microsoft.com/office/drawing/2014/main" id="{00000000-0008-0000-0C00-00003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1701967</xdr:colOff>
      <xdr:row>3</xdr:row>
      <xdr:rowOff>104775</xdr:rowOff>
    </xdr:to>
    <xdr:pic>
      <xdr:nvPicPr>
        <xdr:cNvPr id="14452" name="Picture 91">
          <a:extLst>
            <a:ext uri="{FF2B5EF4-FFF2-40B4-BE49-F238E27FC236}">
              <a16:creationId xmlns:a16="http://schemas.microsoft.com/office/drawing/2014/main" id="{00000000-0008-0000-0D00-0000743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4428" name="Button 92" hidden="1">
              <a:extLst>
                <a:ext uri="{63B3BB69-23CF-44E3-9099-C40C66FF867C}">
                  <a14:compatExt spid="_x0000_s14428"/>
                </a:ext>
                <a:ext uri="{FF2B5EF4-FFF2-40B4-BE49-F238E27FC236}">
                  <a16:creationId xmlns:a16="http://schemas.microsoft.com/office/drawing/2014/main" id="{00000000-0008-0000-0D00-00005C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4429" name="Button 93" hidden="1">
              <a:extLst>
                <a:ext uri="{63B3BB69-23CF-44E3-9099-C40C66FF867C}">
                  <a14:compatExt spid="_x0000_s14429"/>
                </a:ext>
                <a:ext uri="{FF2B5EF4-FFF2-40B4-BE49-F238E27FC236}">
                  <a16:creationId xmlns:a16="http://schemas.microsoft.com/office/drawing/2014/main" id="{00000000-0008-0000-0D00-00005D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4430" name="Button 94" hidden="1">
              <a:extLst>
                <a:ext uri="{63B3BB69-23CF-44E3-9099-C40C66FF867C}">
                  <a14:compatExt spid="_x0000_s14430"/>
                </a:ext>
                <a:ext uri="{FF2B5EF4-FFF2-40B4-BE49-F238E27FC236}">
                  <a16:creationId xmlns:a16="http://schemas.microsoft.com/office/drawing/2014/main" id="{00000000-0008-0000-0D00-00005E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4431" name="Button 95" hidden="1">
              <a:extLst>
                <a:ext uri="{63B3BB69-23CF-44E3-9099-C40C66FF867C}">
                  <a14:compatExt spid="_x0000_s14431"/>
                </a:ext>
                <a:ext uri="{FF2B5EF4-FFF2-40B4-BE49-F238E27FC236}">
                  <a16:creationId xmlns:a16="http://schemas.microsoft.com/office/drawing/2014/main" id="{00000000-0008-0000-0D00-00005F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4432" name="Button 96" hidden="1">
              <a:extLst>
                <a:ext uri="{63B3BB69-23CF-44E3-9099-C40C66FF867C}">
                  <a14:compatExt spid="_x0000_s14432"/>
                </a:ext>
                <a:ext uri="{FF2B5EF4-FFF2-40B4-BE49-F238E27FC236}">
                  <a16:creationId xmlns:a16="http://schemas.microsoft.com/office/drawing/2014/main" id="{00000000-0008-0000-0D00-000060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6211" name="Picture 42">
          <a:extLst>
            <a:ext uri="{FF2B5EF4-FFF2-40B4-BE49-F238E27FC236}">
              <a16:creationId xmlns:a16="http://schemas.microsoft.com/office/drawing/2014/main" id="{00000000-0008-0000-0E00-000043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6187" name="Button 43" hidden="1">
              <a:extLst>
                <a:ext uri="{63B3BB69-23CF-44E3-9099-C40C66FF867C}">
                  <a14:compatExt spid="_x0000_s6187"/>
                </a:ext>
                <a:ext uri="{FF2B5EF4-FFF2-40B4-BE49-F238E27FC236}">
                  <a16:creationId xmlns:a16="http://schemas.microsoft.com/office/drawing/2014/main" id="{00000000-0008-0000-0E00-00002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E00-00002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6189" name="Button 45" hidden="1">
              <a:extLst>
                <a:ext uri="{63B3BB69-23CF-44E3-9099-C40C66FF867C}">
                  <a14:compatExt spid="_x0000_s6189"/>
                </a:ext>
                <a:ext uri="{FF2B5EF4-FFF2-40B4-BE49-F238E27FC236}">
                  <a16:creationId xmlns:a16="http://schemas.microsoft.com/office/drawing/2014/main" id="{00000000-0008-0000-0E00-00002D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0E00-00002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6191" name="Button 47" hidden="1">
              <a:extLst>
                <a:ext uri="{63B3BB69-23CF-44E3-9099-C40C66FF867C}">
                  <a14:compatExt spid="_x0000_s6191"/>
                </a:ext>
                <a:ext uri="{FF2B5EF4-FFF2-40B4-BE49-F238E27FC236}">
                  <a16:creationId xmlns:a16="http://schemas.microsoft.com/office/drawing/2014/main" id="{00000000-0008-0000-0E00-00002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5401" name="Picture 16">
          <a:extLst>
            <a:ext uri="{FF2B5EF4-FFF2-40B4-BE49-F238E27FC236}">
              <a16:creationId xmlns:a16="http://schemas.microsoft.com/office/drawing/2014/main" id="{00000000-0008-0000-0F00-0000293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F00-00001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5378" name="Button 18" hidden="1">
              <a:extLst>
                <a:ext uri="{63B3BB69-23CF-44E3-9099-C40C66FF867C}">
                  <a14:compatExt spid="_x0000_s15378"/>
                </a:ext>
                <a:ext uri="{FF2B5EF4-FFF2-40B4-BE49-F238E27FC236}">
                  <a16:creationId xmlns:a16="http://schemas.microsoft.com/office/drawing/2014/main" id="{00000000-0008-0000-0F00-00001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5379" name="Button 19" hidden="1">
              <a:extLst>
                <a:ext uri="{63B3BB69-23CF-44E3-9099-C40C66FF867C}">
                  <a14:compatExt spid="_x0000_s15379"/>
                </a:ext>
                <a:ext uri="{FF2B5EF4-FFF2-40B4-BE49-F238E27FC236}">
                  <a16:creationId xmlns:a16="http://schemas.microsoft.com/office/drawing/2014/main" id="{00000000-0008-0000-0F00-00001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5380" name="Button 20" hidden="1">
              <a:extLst>
                <a:ext uri="{63B3BB69-23CF-44E3-9099-C40C66FF867C}">
                  <a14:compatExt spid="_x0000_s15380"/>
                </a:ext>
                <a:ext uri="{FF2B5EF4-FFF2-40B4-BE49-F238E27FC236}">
                  <a16:creationId xmlns:a16="http://schemas.microsoft.com/office/drawing/2014/main" id="{00000000-0008-0000-0F00-00001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5381" name="Button 21" hidden="1">
              <a:extLst>
                <a:ext uri="{63B3BB69-23CF-44E3-9099-C40C66FF867C}">
                  <a14:compatExt spid="_x0000_s15381"/>
                </a:ext>
                <a:ext uri="{FF2B5EF4-FFF2-40B4-BE49-F238E27FC236}">
                  <a16:creationId xmlns:a16="http://schemas.microsoft.com/office/drawing/2014/main" id="{00000000-0008-0000-0F00-00001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104775</xdr:rowOff>
    </xdr:to>
    <xdr:pic>
      <xdr:nvPicPr>
        <xdr:cNvPr id="17462" name="Picture 29">
          <a:extLst>
            <a:ext uri="{FF2B5EF4-FFF2-40B4-BE49-F238E27FC236}">
              <a16:creationId xmlns:a16="http://schemas.microsoft.com/office/drawing/2014/main" id="{00000000-0008-0000-1000-0000364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7438" name="Button 30" hidden="1">
              <a:extLst>
                <a:ext uri="{63B3BB69-23CF-44E3-9099-C40C66FF867C}">
                  <a14:compatExt spid="_x0000_s17438"/>
                </a:ext>
                <a:ext uri="{FF2B5EF4-FFF2-40B4-BE49-F238E27FC236}">
                  <a16:creationId xmlns:a16="http://schemas.microsoft.com/office/drawing/2014/main" id="{00000000-0008-0000-1000-00001E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10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152400</xdr:rowOff>
        </xdr:to>
        <xdr:sp macro="" textlink="">
          <xdr:nvSpPr>
            <xdr:cNvPr id="17440" name="Button 32" hidden="1">
              <a:extLst>
                <a:ext uri="{63B3BB69-23CF-44E3-9099-C40C66FF867C}">
                  <a14:compatExt spid="_x0000_s17440"/>
                </a:ext>
                <a:ext uri="{FF2B5EF4-FFF2-40B4-BE49-F238E27FC236}">
                  <a16:creationId xmlns:a16="http://schemas.microsoft.com/office/drawing/2014/main" id="{00000000-0008-0000-1000-000020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152400</xdr:rowOff>
        </xdr:to>
        <xdr:sp macro="" textlink="">
          <xdr:nvSpPr>
            <xdr:cNvPr id="17441" name="Button 33" hidden="1">
              <a:extLst>
                <a:ext uri="{63B3BB69-23CF-44E3-9099-C40C66FF867C}">
                  <a14:compatExt spid="_x0000_s17441"/>
                </a:ext>
                <a:ext uri="{FF2B5EF4-FFF2-40B4-BE49-F238E27FC236}">
                  <a16:creationId xmlns:a16="http://schemas.microsoft.com/office/drawing/2014/main" id="{00000000-0008-0000-1000-00002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152400</xdr:rowOff>
        </xdr:to>
        <xdr:sp macro="" textlink="">
          <xdr:nvSpPr>
            <xdr:cNvPr id="17442" name="Button 34" hidden="1">
              <a:extLst>
                <a:ext uri="{63B3BB69-23CF-44E3-9099-C40C66FF867C}">
                  <a14:compatExt spid="_x0000_s17442"/>
                </a:ext>
                <a:ext uri="{FF2B5EF4-FFF2-40B4-BE49-F238E27FC236}">
                  <a16:creationId xmlns:a16="http://schemas.microsoft.com/office/drawing/2014/main" id="{00000000-0008-0000-1000-00002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1554" name="Chart 3">
          <a:extLst>
            <a:ext uri="{FF2B5EF4-FFF2-40B4-BE49-F238E27FC236}">
              <a16:creationId xmlns:a16="http://schemas.microsoft.com/office/drawing/2014/main" id="{00000000-0008-0000-1100-000032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1555" name="Picture 6">
          <a:extLst>
            <a:ext uri="{FF2B5EF4-FFF2-40B4-BE49-F238E27FC236}">
              <a16:creationId xmlns:a16="http://schemas.microsoft.com/office/drawing/2014/main" id="{00000000-0008-0000-1100-0000335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1100-000007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1512" name="Button 8" hidden="1">
              <a:extLst>
                <a:ext uri="{63B3BB69-23CF-44E3-9099-C40C66FF867C}">
                  <a14:compatExt spid="_x0000_s21512"/>
                </a:ext>
                <a:ext uri="{FF2B5EF4-FFF2-40B4-BE49-F238E27FC236}">
                  <a16:creationId xmlns:a16="http://schemas.microsoft.com/office/drawing/2014/main" id="{00000000-0008-0000-1100-000008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1100-000009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1100-00000A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1100-00000B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3602" name="Chart 3">
          <a:extLst>
            <a:ext uri="{FF2B5EF4-FFF2-40B4-BE49-F238E27FC236}">
              <a16:creationId xmlns:a16="http://schemas.microsoft.com/office/drawing/2014/main" id="{00000000-0008-0000-1200-000032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3603" name="Picture 6">
          <a:extLst>
            <a:ext uri="{FF2B5EF4-FFF2-40B4-BE49-F238E27FC236}">
              <a16:creationId xmlns:a16="http://schemas.microsoft.com/office/drawing/2014/main" id="{00000000-0008-0000-1200-0000335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1200-00000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12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1200-000009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12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1200-00000B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5650" name="Chart 3">
          <a:extLst>
            <a:ext uri="{FF2B5EF4-FFF2-40B4-BE49-F238E27FC236}">
              <a16:creationId xmlns:a16="http://schemas.microsoft.com/office/drawing/2014/main" id="{00000000-0008-0000-1300-0000326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5651" name="Picture 6">
          <a:extLst>
            <a:ext uri="{FF2B5EF4-FFF2-40B4-BE49-F238E27FC236}">
              <a16:creationId xmlns:a16="http://schemas.microsoft.com/office/drawing/2014/main" id="{00000000-0008-0000-1300-0000336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13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1300-000008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13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13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1300-00000B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27698" name="Chart 3">
          <a:extLst>
            <a:ext uri="{FF2B5EF4-FFF2-40B4-BE49-F238E27FC236}">
              <a16:creationId xmlns:a16="http://schemas.microsoft.com/office/drawing/2014/main" id="{00000000-0008-0000-1400-0000326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7699" name="Picture 6">
          <a:extLst>
            <a:ext uri="{FF2B5EF4-FFF2-40B4-BE49-F238E27FC236}">
              <a16:creationId xmlns:a16="http://schemas.microsoft.com/office/drawing/2014/main" id="{00000000-0008-0000-1400-0000336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14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14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14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7658" name="Button 10" hidden="1">
              <a:extLst>
                <a:ext uri="{63B3BB69-23CF-44E3-9099-C40C66FF867C}">
                  <a14:compatExt spid="_x0000_s27658"/>
                </a:ext>
                <a:ext uri="{FF2B5EF4-FFF2-40B4-BE49-F238E27FC236}">
                  <a16:creationId xmlns:a16="http://schemas.microsoft.com/office/drawing/2014/main" id="{00000000-0008-0000-1400-00000A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7659" name="Button 11" hidden="1">
              <a:extLst>
                <a:ext uri="{63B3BB69-23CF-44E3-9099-C40C66FF867C}">
                  <a14:compatExt spid="_x0000_s27659"/>
                </a:ext>
                <a:ext uri="{FF2B5EF4-FFF2-40B4-BE49-F238E27FC236}">
                  <a16:creationId xmlns:a16="http://schemas.microsoft.com/office/drawing/2014/main" id="{00000000-0008-0000-1400-00000B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1</xdr:col>
      <xdr:colOff>85725</xdr:colOff>
      <xdr:row>66</xdr:row>
      <xdr:rowOff>142875</xdr:rowOff>
    </xdr:from>
    <xdr:to>
      <xdr:col>12</xdr:col>
      <xdr:colOff>342900</xdr:colOff>
      <xdr:row>91</xdr:row>
      <xdr:rowOff>57150</xdr:rowOff>
    </xdr:to>
    <xdr:graphicFrame macro="">
      <xdr:nvGraphicFramePr>
        <xdr:cNvPr id="10307" name="Chart 12">
          <a:extLst>
            <a:ext uri="{FF2B5EF4-FFF2-40B4-BE49-F238E27FC236}">
              <a16:creationId xmlns:a16="http://schemas.microsoft.com/office/drawing/2014/main" id="{00000000-0008-0000-1500-000043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10308" name="Picture 23">
          <a:extLst>
            <a:ext uri="{FF2B5EF4-FFF2-40B4-BE49-F238E27FC236}">
              <a16:creationId xmlns:a16="http://schemas.microsoft.com/office/drawing/2014/main" id="{00000000-0008-0000-1500-000044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1500-00001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1500-000019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1500-00001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1500-00001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10268" name="Button 28" hidden="1">
              <a:extLst>
                <a:ext uri="{63B3BB69-23CF-44E3-9099-C40C66FF867C}">
                  <a14:compatExt spid="_x0000_s10268"/>
                </a:ext>
                <a:ext uri="{FF2B5EF4-FFF2-40B4-BE49-F238E27FC236}">
                  <a16:creationId xmlns:a16="http://schemas.microsoft.com/office/drawing/2014/main" id="{00000000-0008-0000-1500-00001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704850</xdr:colOff>
      <xdr:row>0</xdr:row>
      <xdr:rowOff>57150</xdr:rowOff>
    </xdr:from>
    <xdr:to>
      <xdr:col>0</xdr:col>
      <xdr:colOff>1704975</xdr:colOff>
      <xdr:row>3</xdr:row>
      <xdr:rowOff>76200</xdr:rowOff>
    </xdr:to>
    <xdr:pic>
      <xdr:nvPicPr>
        <xdr:cNvPr id="47133" name="Picture 4">
          <a:extLst>
            <a:ext uri="{FF2B5EF4-FFF2-40B4-BE49-F238E27FC236}">
              <a16:creationId xmlns:a16="http://schemas.microsoft.com/office/drawing/2014/main" id="{00000000-0008-0000-1600-00001DB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1600-000005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1600-000006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1600-000007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1600-000008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16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1</xdr:col>
      <xdr:colOff>85725</xdr:colOff>
      <xdr:row>41</xdr:row>
      <xdr:rowOff>142875</xdr:rowOff>
    </xdr:from>
    <xdr:to>
      <xdr:col>12</xdr:col>
      <xdr:colOff>342900</xdr:colOff>
      <xdr:row>66</xdr:row>
      <xdr:rowOff>57150</xdr:rowOff>
    </xdr:to>
    <xdr:graphicFrame macro="">
      <xdr:nvGraphicFramePr>
        <xdr:cNvPr id="29746" name="Chart 3">
          <a:extLst>
            <a:ext uri="{FF2B5EF4-FFF2-40B4-BE49-F238E27FC236}">
              <a16:creationId xmlns:a16="http://schemas.microsoft.com/office/drawing/2014/main" id="{00000000-0008-0000-1700-000032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0</xdr:row>
      <xdr:rowOff>57150</xdr:rowOff>
    </xdr:from>
    <xdr:to>
      <xdr:col>0</xdr:col>
      <xdr:colOff>1704975</xdr:colOff>
      <xdr:row>3</xdr:row>
      <xdr:rowOff>76200</xdr:rowOff>
    </xdr:to>
    <xdr:pic>
      <xdr:nvPicPr>
        <xdr:cNvPr id="29747" name="Picture 6">
          <a:extLst>
            <a:ext uri="{FF2B5EF4-FFF2-40B4-BE49-F238E27FC236}">
              <a16:creationId xmlns:a16="http://schemas.microsoft.com/office/drawing/2014/main" id="{00000000-0008-0000-1700-000033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57150"/>
          <a:ext cx="1000125" cy="533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absolute">
        <xdr:from>
          <xdr:col>0</xdr:col>
          <xdr:colOff>28575</xdr:colOff>
          <xdr:row>0</xdr:row>
          <xdr:rowOff>38100</xdr:rowOff>
        </xdr:from>
        <xdr:to>
          <xdr:col>0</xdr:col>
          <xdr:colOff>657225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17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Return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95250</xdr:rowOff>
        </xdr:from>
        <xdr:to>
          <xdr:col>0</xdr:col>
          <xdr:colOff>657225</xdr:colOff>
          <xdr:row>2</xdr:row>
          <xdr:rowOff>123825</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17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Menu</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228600</xdr:colOff>
          <xdr:row>3</xdr:row>
          <xdr:rowOff>123825</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17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&lt;&lt;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457200</xdr:colOff>
          <xdr:row>2</xdr:row>
          <xdr:rowOff>152400</xdr:rowOff>
        </xdr:from>
        <xdr:to>
          <xdr:col>0</xdr:col>
          <xdr:colOff>657225</xdr:colOff>
          <xdr:row>3</xdr:row>
          <xdr:rowOff>123825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17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247650</xdr:colOff>
          <xdr:row>2</xdr:row>
          <xdr:rowOff>152400</xdr:rowOff>
        </xdr:from>
        <xdr:to>
          <xdr:col>0</xdr:col>
          <xdr:colOff>438150</xdr:colOff>
          <xdr:row>3</xdr:row>
          <xdr:rowOff>123825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17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X</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think-my.sharepoint.com/007.291%20Network%20Rail%20-%20WLCC%20Phase%202/Other/01%20S&amp;T%20WLCC%20model%20development/WLCC%20Model%20Phase%202%20v0.032%20-%20Signalling%20v0.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Selections"/>
      <sheetName val="Main"/>
      <sheetName val="Financial"/>
      <sheetName val="Scenarios"/>
      <sheetName val="Asset Hierarchy"/>
      <sheetName val="Asset Behaviours"/>
      <sheetName val="Interventions"/>
      <sheetName val="Uncertainty"/>
      <sheetName val="Uncertainty Distribution"/>
      <sheetName val="Condition Curves"/>
      <sheetName val="Failure Curves"/>
      <sheetName val="Obsolescence Curves"/>
      <sheetName val="Service Risk Curves"/>
      <sheetName val="Safety Risk Curves"/>
      <sheetName val="Uncertainty Curves"/>
      <sheetName val="Relationship Curves (chart)"/>
      <sheetName val="Static Outputs (Chart)"/>
      <sheetName val="Business Case (Chart)"/>
      <sheetName val="Uncertainty Sensitivity (Chart)"/>
      <sheetName val="Uncertainty Histograms (Chart)"/>
      <sheetName val="Business Case"/>
      <sheetName val="Asset Age"/>
      <sheetName val="Condition"/>
      <sheetName val="Avail. - Maintainer (Output)"/>
      <sheetName val="Avail. - Customer (Output)"/>
      <sheetName val="Total"/>
      <sheetName val="Benefit"/>
      <sheetName val="Capex"/>
      <sheetName val="Opex - Preventative"/>
      <sheetName val="Opex - Reactive (Interv.)"/>
      <sheetName val="Opex - Reactive (Behav.)"/>
      <sheetName val="Service Risk"/>
      <sheetName val="Safety Risk"/>
      <sheetName val="Total (Disc)"/>
      <sheetName val="Benefit (Disc)"/>
      <sheetName val="Capex (Disc)"/>
      <sheetName val="Opex - Preventative (Disc)"/>
      <sheetName val="Opex - Reactive (Interv) (Disc)"/>
      <sheetName val="Opex - Reactive (Behav) (Disc)"/>
      <sheetName val="Service Risk (Disc)"/>
      <sheetName val="Safety Risk (Disc)"/>
      <sheetName val="Uncertainty Bus. Case"/>
      <sheetName val="Uncertainty Sensitivity"/>
      <sheetName val="Uncertainty Histograms"/>
      <sheetName val="Uncertainty Percentiles"/>
      <sheetName val="Uncertainty Iterations"/>
      <sheetName val="Uncertainty Bus. Case-Deltas"/>
      <sheetName val="Uncertainty Sensitivity-Delta"/>
      <sheetName val="Uncertainty Histograms-Deltas"/>
      <sheetName val="Uncertainty Percentiles-Delta"/>
      <sheetName val="Uncertainty Iterations-Deltas"/>
      <sheetName val="Uncertainty Iterations-Factors"/>
      <sheetName val="Uncertainty Iterations-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8" dist="17961" dir="135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8" dist="17961" dir="135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5.emf"/><Relationship Id="rId18" Type="http://schemas.openxmlformats.org/officeDocument/2006/relationships/control" Target="../activeX/activeX13.xml"/><Relationship Id="rId3" Type="http://schemas.openxmlformats.org/officeDocument/2006/relationships/vmlDrawing" Target="../drawings/vmlDrawing4.vml"/><Relationship Id="rId21" Type="http://schemas.openxmlformats.org/officeDocument/2006/relationships/ctrlProp" Target="../ctrlProps/ctrlProp14.xml"/><Relationship Id="rId7" Type="http://schemas.openxmlformats.org/officeDocument/2006/relationships/control" Target="../activeX/activeX3.xml"/><Relationship Id="rId12" Type="http://schemas.openxmlformats.org/officeDocument/2006/relationships/control" Target="../activeX/activeX8.xml"/><Relationship Id="rId17" Type="http://schemas.openxmlformats.org/officeDocument/2006/relationships/control" Target="../activeX/activeX12.xml"/><Relationship Id="rId2" Type="http://schemas.openxmlformats.org/officeDocument/2006/relationships/drawing" Target="../drawings/drawing8.xml"/><Relationship Id="rId16" Type="http://schemas.openxmlformats.org/officeDocument/2006/relationships/control" Target="../activeX/activeX11.xml"/><Relationship Id="rId20"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7.xml"/><Relationship Id="rId24" Type="http://schemas.openxmlformats.org/officeDocument/2006/relationships/ctrlProp" Target="../ctrlProps/ctrlProp17.xml"/><Relationship Id="rId5" Type="http://schemas.openxmlformats.org/officeDocument/2006/relationships/image" Target="../media/image4.emf"/><Relationship Id="rId15" Type="http://schemas.openxmlformats.org/officeDocument/2006/relationships/control" Target="../activeX/activeX10.xml"/><Relationship Id="rId23" Type="http://schemas.openxmlformats.org/officeDocument/2006/relationships/ctrlProp" Target="../ctrlProps/ctrlProp16.xml"/><Relationship Id="rId10" Type="http://schemas.openxmlformats.org/officeDocument/2006/relationships/control" Target="../activeX/activeX6.xml"/><Relationship Id="rId19" Type="http://schemas.openxmlformats.org/officeDocument/2006/relationships/control" Target="../activeX/activeX14.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8.vml"/><Relationship Id="rId7" Type="http://schemas.openxmlformats.org/officeDocument/2006/relationships/ctrlProp" Target="../ctrlProps/ctrlProp26.x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9.vml"/><Relationship Id="rId7" Type="http://schemas.openxmlformats.org/officeDocument/2006/relationships/ctrlProp" Target="../ctrlProps/ctrlProp31.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12.vml"/><Relationship Id="rId7" Type="http://schemas.openxmlformats.org/officeDocument/2006/relationships/ctrlProp" Target="../ctrlProps/ctrlProp46.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vmlDrawing" Target="../drawings/vmlDrawing13.vml"/><Relationship Id="rId7" Type="http://schemas.openxmlformats.org/officeDocument/2006/relationships/ctrlProp" Target="../ctrlProps/ctrlProp51.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14.vml"/><Relationship Id="rId7" Type="http://schemas.openxmlformats.org/officeDocument/2006/relationships/ctrlProp" Target="../ctrlProps/ctrlProp56.xml"/><Relationship Id="rId2" Type="http://schemas.openxmlformats.org/officeDocument/2006/relationships/drawing" Target="../drawings/drawing20.xml"/><Relationship Id="rId1" Type="http://schemas.openxmlformats.org/officeDocument/2006/relationships/printerSettings" Target="../printerSettings/printerSettings15.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vmlDrawing" Target="../drawings/vmlDrawing15.vml"/><Relationship Id="rId7" Type="http://schemas.openxmlformats.org/officeDocument/2006/relationships/ctrlProp" Target="../ctrlProps/ctrlProp61.xml"/><Relationship Id="rId2" Type="http://schemas.openxmlformats.org/officeDocument/2006/relationships/drawing" Target="../drawings/drawing21.xml"/><Relationship Id="rId1" Type="http://schemas.openxmlformats.org/officeDocument/2006/relationships/printerSettings" Target="../printerSettings/printerSettings16.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16.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17.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vmlDrawing" Target="../drawings/vmlDrawing17.vml"/><Relationship Id="rId7" Type="http://schemas.openxmlformats.org/officeDocument/2006/relationships/ctrlProp" Target="../ctrlProps/ctrlProp71.xml"/><Relationship Id="rId2" Type="http://schemas.openxmlformats.org/officeDocument/2006/relationships/drawing" Target="../drawings/drawing23.xml"/><Relationship Id="rId1" Type="http://schemas.openxmlformats.org/officeDocument/2006/relationships/printerSettings" Target="../printerSettings/printerSettings18.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8.vml"/><Relationship Id="rId7" Type="http://schemas.openxmlformats.org/officeDocument/2006/relationships/ctrlProp" Target="../ctrlProps/ctrlProp76.xml"/><Relationship Id="rId2" Type="http://schemas.openxmlformats.org/officeDocument/2006/relationships/drawing" Target="../drawings/drawing24.xml"/><Relationship Id="rId1" Type="http://schemas.openxmlformats.org/officeDocument/2006/relationships/printerSettings" Target="../printerSettings/printerSettings19.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19.vml"/><Relationship Id="rId7" Type="http://schemas.openxmlformats.org/officeDocument/2006/relationships/ctrlProp" Target="../ctrlProps/ctrlProp81.xml"/><Relationship Id="rId2" Type="http://schemas.openxmlformats.org/officeDocument/2006/relationships/drawing" Target="../drawings/drawing25.xml"/><Relationship Id="rId1" Type="http://schemas.openxmlformats.org/officeDocument/2006/relationships/printerSettings" Target="../printerSettings/printerSettings20.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vmlDrawing" Target="../drawings/vmlDrawing20.vml"/><Relationship Id="rId7" Type="http://schemas.openxmlformats.org/officeDocument/2006/relationships/ctrlProp" Target="../ctrlProps/ctrlProp86.xml"/><Relationship Id="rId2" Type="http://schemas.openxmlformats.org/officeDocument/2006/relationships/drawing" Target="../drawings/drawing26.xml"/><Relationship Id="rId1" Type="http://schemas.openxmlformats.org/officeDocument/2006/relationships/printerSettings" Target="../printerSettings/printerSettings21.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21.vml"/><Relationship Id="rId7" Type="http://schemas.openxmlformats.org/officeDocument/2006/relationships/ctrlProp" Target="../ctrlProps/ctrlProp91.xml"/><Relationship Id="rId2" Type="http://schemas.openxmlformats.org/officeDocument/2006/relationships/drawing" Target="../drawings/drawing27.xml"/><Relationship Id="rId1" Type="http://schemas.openxmlformats.org/officeDocument/2006/relationships/printerSettings" Target="../printerSettings/printerSettings22.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22.vml"/><Relationship Id="rId7" Type="http://schemas.openxmlformats.org/officeDocument/2006/relationships/ctrlProp" Target="../ctrlProps/ctrlProp96.xml"/><Relationship Id="rId2" Type="http://schemas.openxmlformats.org/officeDocument/2006/relationships/drawing" Target="../drawings/drawing28.xml"/><Relationship Id="rId1" Type="http://schemas.openxmlformats.org/officeDocument/2006/relationships/printerSettings" Target="../printerSettings/printerSettings23.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vmlDrawing" Target="../drawings/vmlDrawing23.vml"/><Relationship Id="rId7" Type="http://schemas.openxmlformats.org/officeDocument/2006/relationships/ctrlProp" Target="../ctrlProps/ctrlProp101.xml"/><Relationship Id="rId2" Type="http://schemas.openxmlformats.org/officeDocument/2006/relationships/drawing" Target="../drawings/drawing29.xml"/><Relationship Id="rId1" Type="http://schemas.openxmlformats.org/officeDocument/2006/relationships/printerSettings" Target="../printerSettings/printerSettings24.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VersionControl">
    <tabColor indexed="41"/>
  </sheetPr>
  <dimension ref="A1:M45"/>
  <sheetViews>
    <sheetView workbookViewId="0"/>
  </sheetViews>
  <sheetFormatPr defaultColWidth="0" defaultRowHeight="12.75" zeroHeight="1"/>
  <cols>
    <col min="1" max="1" width="3.42578125" style="1" customWidth="1"/>
    <col min="2" max="2" width="9.140625" style="1" customWidth="1"/>
    <col min="3" max="3" width="12.5703125" style="1" bestFit="1" customWidth="1"/>
    <col min="4" max="16" width="9.140625" style="1" customWidth="1"/>
    <col min="17" max="17" width="2.7109375" style="1" customWidth="1"/>
    <col min="18" max="16384" width="0" style="1" hidden="1"/>
  </cols>
  <sheetData>
    <row r="1" spans="1:13">
      <c r="A1" s="19"/>
      <c r="B1" s="19"/>
      <c r="C1" s="19"/>
      <c r="D1" s="19"/>
      <c r="E1" s="19"/>
      <c r="F1" s="19"/>
      <c r="G1" s="19"/>
      <c r="H1" s="19"/>
      <c r="I1" s="19"/>
      <c r="J1" s="19"/>
      <c r="K1" s="19"/>
      <c r="L1" s="19"/>
    </row>
    <row r="2" spans="1:13">
      <c r="A2" s="19"/>
      <c r="B2" s="19"/>
      <c r="C2" s="19"/>
      <c r="D2" s="19"/>
      <c r="E2" s="19"/>
      <c r="F2" s="19"/>
      <c r="G2" s="19"/>
      <c r="H2" s="19"/>
      <c r="I2" s="19"/>
      <c r="J2" s="19"/>
      <c r="K2" s="19"/>
      <c r="L2" s="19"/>
    </row>
    <row r="3" spans="1:13">
      <c r="A3" s="19"/>
      <c r="B3" s="19"/>
      <c r="C3" s="19"/>
      <c r="D3" s="19"/>
      <c r="E3" s="19"/>
      <c r="F3" s="19"/>
      <c r="G3" s="19"/>
      <c r="H3" s="19"/>
      <c r="K3" s="19"/>
      <c r="L3" s="19"/>
      <c r="M3" s="19"/>
    </row>
    <row r="4" spans="1:13">
      <c r="A4" s="19"/>
      <c r="B4" s="19"/>
      <c r="C4" s="19"/>
      <c r="D4" s="19"/>
      <c r="E4" s="19"/>
      <c r="F4" s="19"/>
      <c r="G4" s="19"/>
      <c r="H4" s="19"/>
      <c r="K4" s="19"/>
      <c r="L4" s="19"/>
      <c r="M4" s="19"/>
    </row>
    <row r="5" spans="1:13">
      <c r="A5" s="19"/>
      <c r="B5" s="19"/>
      <c r="C5" s="19"/>
      <c r="D5" s="19"/>
      <c r="E5" s="19"/>
      <c r="F5" s="19"/>
      <c r="G5" s="19"/>
      <c r="H5" s="19"/>
      <c r="K5" s="19"/>
      <c r="L5" s="19"/>
      <c r="M5" s="19"/>
    </row>
    <row r="6" spans="1:13" ht="20.25">
      <c r="A6" s="19"/>
      <c r="B6" s="156"/>
      <c r="C6" s="19"/>
      <c r="D6" s="19"/>
      <c r="E6" s="19"/>
      <c r="F6" s="19"/>
      <c r="G6" s="19"/>
      <c r="H6" s="19"/>
      <c r="K6" s="19"/>
      <c r="L6" s="19"/>
      <c r="M6" s="19"/>
    </row>
    <row r="7" spans="1:13">
      <c r="A7" s="19"/>
      <c r="B7" s="158"/>
      <c r="C7" s="19"/>
      <c r="D7" s="19"/>
      <c r="E7" s="19"/>
      <c r="F7" s="19"/>
      <c r="G7" s="19"/>
      <c r="H7" s="19"/>
      <c r="K7" s="19"/>
      <c r="L7" s="19"/>
      <c r="M7" s="19"/>
    </row>
    <row r="8" spans="1:13" ht="21">
      <c r="A8" s="19"/>
      <c r="B8" s="68" t="s">
        <v>289</v>
      </c>
      <c r="C8" s="19"/>
      <c r="D8" s="19"/>
      <c r="E8" s="19"/>
      <c r="F8" s="19"/>
      <c r="G8" s="19"/>
      <c r="H8" s="19"/>
      <c r="K8" s="19"/>
      <c r="L8" s="19"/>
      <c r="M8" s="19"/>
    </row>
    <row r="9" spans="1:13" ht="18.75">
      <c r="A9" s="19"/>
      <c r="B9" s="69"/>
      <c r="C9" s="19"/>
      <c r="D9" s="19"/>
      <c r="E9" s="19"/>
      <c r="F9" s="19"/>
      <c r="G9" s="19"/>
      <c r="H9" s="19"/>
      <c r="K9" s="19"/>
      <c r="L9" s="19"/>
      <c r="M9" s="19"/>
    </row>
    <row r="10" spans="1:13" ht="21">
      <c r="A10" s="19"/>
      <c r="B10" s="157"/>
      <c r="C10" s="19"/>
      <c r="D10" s="19"/>
      <c r="E10" s="19"/>
      <c r="F10" s="19"/>
      <c r="G10" s="19"/>
      <c r="H10" s="19"/>
      <c r="K10" s="19"/>
      <c r="L10" s="19"/>
      <c r="M10" s="19"/>
    </row>
    <row r="11" spans="1:13" ht="21">
      <c r="A11" s="19"/>
      <c r="B11" s="68" t="s">
        <v>147</v>
      </c>
      <c r="C11" s="19"/>
      <c r="D11" s="19"/>
      <c r="E11" s="19"/>
      <c r="F11" s="19"/>
      <c r="G11" s="19"/>
      <c r="H11" s="19"/>
      <c r="K11" s="19"/>
      <c r="L11" s="19"/>
      <c r="M11" s="19"/>
    </row>
    <row r="12" spans="1:13" ht="21">
      <c r="A12" s="19"/>
      <c r="B12" s="157"/>
      <c r="C12" s="19"/>
      <c r="D12" s="19"/>
      <c r="E12" s="19"/>
      <c r="F12" s="19"/>
      <c r="G12" s="19"/>
      <c r="H12" s="19"/>
      <c r="K12" s="19"/>
      <c r="L12" s="19"/>
      <c r="M12" s="19"/>
    </row>
    <row r="13" spans="1:13">
      <c r="A13" s="19"/>
      <c r="B13" s="120" t="s">
        <v>148</v>
      </c>
      <c r="C13" s="162">
        <v>3</v>
      </c>
      <c r="D13" s="19"/>
      <c r="E13" s="19"/>
      <c r="F13" s="19"/>
      <c r="G13" s="19"/>
      <c r="H13" s="19"/>
      <c r="K13" s="19"/>
      <c r="L13" s="19"/>
      <c r="M13" s="19"/>
    </row>
    <row r="14" spans="1:13">
      <c r="A14" s="19"/>
      <c r="B14" s="120" t="s">
        <v>149</v>
      </c>
      <c r="C14" s="135">
        <v>41863</v>
      </c>
      <c r="D14" s="19"/>
      <c r="E14" s="19"/>
      <c r="F14" s="19"/>
      <c r="G14" s="19"/>
      <c r="H14" s="19"/>
      <c r="K14" s="19"/>
      <c r="L14" s="19"/>
      <c r="M14" s="19"/>
    </row>
    <row r="15" spans="1:13">
      <c r="A15" s="19"/>
      <c r="B15" s="75"/>
      <c r="C15" s="75"/>
      <c r="D15" s="19"/>
      <c r="E15" s="19"/>
      <c r="F15" s="19"/>
      <c r="G15" s="19"/>
      <c r="H15" s="19"/>
      <c r="K15" s="19"/>
      <c r="L15" s="19"/>
      <c r="M15" s="19"/>
    </row>
    <row r="16" spans="1:13">
      <c r="A16" s="19"/>
      <c r="B16" s="120" t="s">
        <v>2</v>
      </c>
      <c r="C16" s="75" t="str">
        <f>IF('Asset Info'!B7="","",'Asset Info'!B7)</f>
        <v>Plain Line Track</v>
      </c>
      <c r="D16" s="19"/>
      <c r="E16" s="19"/>
      <c r="F16" s="19"/>
      <c r="G16" s="19"/>
      <c r="H16" s="19"/>
      <c r="K16" s="19"/>
      <c r="L16" s="19"/>
    </row>
    <row r="17" spans="1:12">
      <c r="A17" s="19"/>
      <c r="B17" s="120" t="s">
        <v>154</v>
      </c>
      <c r="C17" s="75" t="str">
        <f>IF('RCM Future - Costs'!B8="","",'RCM Future - Costs'!B8)</f>
        <v>Option 1 - Daily track data</v>
      </c>
      <c r="D17" s="19"/>
      <c r="E17" s="19"/>
      <c r="F17" s="19"/>
      <c r="G17" s="19"/>
      <c r="H17" s="19"/>
      <c r="K17" s="19"/>
      <c r="L17" s="19"/>
    </row>
    <row r="18" spans="1:12">
      <c r="A18" s="19"/>
      <c r="C18" s="19"/>
      <c r="D18" s="19"/>
      <c r="E18" s="19"/>
      <c r="F18" s="19"/>
      <c r="G18" s="19"/>
      <c r="H18" s="19"/>
      <c r="I18" s="19"/>
      <c r="J18" s="19"/>
      <c r="K18" s="19"/>
      <c r="L18" s="19"/>
    </row>
    <row r="19" spans="1:12">
      <c r="B19" s="123" t="s">
        <v>285</v>
      </c>
      <c r="I19" s="199" t="s">
        <v>302</v>
      </c>
      <c r="J19" s="199" t="s">
        <v>303</v>
      </c>
    </row>
    <row r="20" spans="1:12"/>
    <row r="21" spans="1:12"/>
    <row r="22" spans="1:12"/>
    <row r="23" spans="1:12"/>
    <row r="24" spans="1:12"/>
    <row r="25" spans="1:12"/>
    <row r="26" spans="1:12"/>
    <row r="27" spans="1:12"/>
    <row r="28" spans="1:12"/>
    <row r="29" spans="1:12"/>
    <row r="30" spans="1:12"/>
    <row r="31" spans="1:12"/>
    <row r="32" spans="1:12"/>
    <row r="33"/>
    <row r="34"/>
    <row r="35"/>
    <row r="36"/>
    <row r="37"/>
    <row r="38"/>
    <row r="39"/>
    <row r="40"/>
    <row r="41"/>
    <row r="42"/>
    <row r="43" ht="6" customHeight="1"/>
    <row r="44" ht="9" hidden="1" customHeight="1"/>
    <row r="45" hidden="1"/>
  </sheetData>
  <sheetProtection selectLockedCells="1" selectUnlockedCells="1"/>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locked="0" defaultSize="0" print="0" autoFill="0" autoPict="0" macro="[0]!ShowMenu">
                <anchor>
                  <from>
                    <xdr:col>0</xdr:col>
                    <xdr:colOff>123825</xdr:colOff>
                    <xdr:row>0</xdr:row>
                    <xdr:rowOff>123825</xdr:rowOff>
                  </from>
                  <to>
                    <xdr:col>1</xdr:col>
                    <xdr:colOff>523875</xdr:colOff>
                    <xdr:row>2</xdr:row>
                    <xdr:rowOff>28575</xdr:rowOff>
                  </to>
                </anchor>
              </controlPr>
            </control>
          </mc:Choice>
        </mc:AlternateContent>
        <mc:AlternateContent xmlns:mc="http://schemas.openxmlformats.org/markup-compatibility/2006">
          <mc:Choice Requires="x14">
            <control shapeId="9220" r:id="rId5" name="Button 4">
              <controlPr locked="0" defaultSize="0" print="0" autoFill="0" autoPict="0" macro="[0]!NextSheet">
                <anchor>
                  <from>
                    <xdr:col>1</xdr:col>
                    <xdr:colOff>552450</xdr:colOff>
                    <xdr:row>0</xdr:row>
                    <xdr:rowOff>123825</xdr:rowOff>
                  </from>
                  <to>
                    <xdr:col>2</xdr:col>
                    <xdr:colOff>180975</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Report">
    <tabColor indexed="41"/>
  </sheetPr>
  <dimension ref="B2:T105"/>
  <sheetViews>
    <sheetView topLeftCell="A31" zoomScale="70" zoomScaleNormal="70" workbookViewId="0">
      <selection activeCell="P62" sqref="P62"/>
    </sheetView>
  </sheetViews>
  <sheetFormatPr defaultColWidth="9.140625" defaultRowHeight="12.75"/>
  <cols>
    <col min="1" max="1" width="11.42578125" style="191" customWidth="1"/>
    <col min="2" max="2" width="10.140625" style="191" customWidth="1"/>
    <col min="3" max="3" width="8.85546875" style="191" bestFit="1" customWidth="1"/>
    <col min="4" max="4" width="9.42578125" style="191" bestFit="1" customWidth="1"/>
    <col min="5" max="5" width="14.28515625" style="191" bestFit="1" customWidth="1"/>
    <col min="6" max="6" width="15.7109375" style="191" bestFit="1" customWidth="1"/>
    <col min="7" max="7" width="12" style="191" bestFit="1" customWidth="1"/>
    <col min="8" max="8" width="12.140625" style="191" bestFit="1" customWidth="1"/>
    <col min="9" max="9" width="21.7109375" style="191" bestFit="1" customWidth="1"/>
    <col min="10" max="13" width="16" style="191" customWidth="1"/>
    <col min="14" max="14" width="16.28515625" style="191" bestFit="1" customWidth="1"/>
    <col min="15" max="15" width="22.42578125" style="191" bestFit="1" customWidth="1"/>
    <col min="16" max="16" width="19.5703125" style="191" bestFit="1" customWidth="1"/>
    <col min="17" max="17" width="18.42578125" style="191" bestFit="1" customWidth="1"/>
    <col min="18" max="18" width="15.7109375" style="191" bestFit="1" customWidth="1"/>
    <col min="19" max="19" width="12" style="191" bestFit="1" customWidth="1"/>
    <col min="20" max="20" width="11.5703125" style="191" bestFit="1" customWidth="1"/>
    <col min="21" max="21" width="14.28515625" style="191" bestFit="1" customWidth="1"/>
    <col min="22" max="22" width="15.7109375" style="191" bestFit="1" customWidth="1"/>
    <col min="23" max="23" width="12" style="191" bestFit="1" customWidth="1"/>
    <col min="24" max="24" width="11.5703125" style="191" bestFit="1" customWidth="1"/>
    <col min="25" max="16384" width="9.140625" style="191"/>
  </cols>
  <sheetData>
    <row r="2" spans="2:20">
      <c r="B2" s="192"/>
      <c r="C2"/>
    </row>
    <row r="6" spans="2:20" ht="25.5">
      <c r="F6" s="310" t="s">
        <v>276</v>
      </c>
      <c r="G6" s="310"/>
      <c r="H6" s="310"/>
      <c r="I6" s="310"/>
      <c r="J6" s="310"/>
      <c r="K6" s="310"/>
      <c r="L6" s="310"/>
      <c r="M6" s="310"/>
      <c r="N6" s="310"/>
      <c r="O6" s="310"/>
      <c r="P6" s="310"/>
      <c r="Q6" s="310"/>
      <c r="R6" s="310"/>
      <c r="S6" s="310"/>
      <c r="T6" s="310"/>
    </row>
    <row r="8" spans="2:20">
      <c r="C8" s="226"/>
    </row>
    <row r="12" spans="2:20" ht="20.25">
      <c r="D12" s="258" t="s">
        <v>306</v>
      </c>
    </row>
    <row r="55" spans="8:14" ht="23.25">
      <c r="I55" s="306" t="s">
        <v>298</v>
      </c>
      <c r="J55" s="306"/>
      <c r="K55" s="306"/>
      <c r="L55" s="306"/>
      <c r="M55" s="306"/>
      <c r="N55" s="306"/>
    </row>
    <row r="57" spans="8:14" s="260" customFormat="1" ht="15.75">
      <c r="H57" s="264"/>
      <c r="I57" s="282"/>
      <c r="J57" s="263" t="str">
        <f>'Asset Info'!$C$10</f>
        <v>Crossrail</v>
      </c>
      <c r="K57" s="263" t="str">
        <f>'Asset Info'!$D$10</f>
        <v>NR Western</v>
      </c>
      <c r="L57" s="263" t="str">
        <f>'Asset Info'!$E$10</f>
        <v>Balfour Beatty</v>
      </c>
      <c r="M57" s="263" t="str">
        <f>'Asset Info'!$F$10</f>
        <v>RSSB</v>
      </c>
      <c r="N57" s="262" t="str">
        <f>'Asset Info'!$G$10</f>
        <v>TOTAL</v>
      </c>
    </row>
    <row r="58" spans="8:14" s="257" customFormat="1" ht="15.75">
      <c r="H58" s="259" t="s">
        <v>270</v>
      </c>
      <c r="I58" s="283" t="s">
        <v>287</v>
      </c>
      <c r="J58" s="266">
        <f>ROUND('Annual WLC by Maturity Level '!$C$35,-4)</f>
        <v>70000</v>
      </c>
      <c r="K58" s="266">
        <f>ROUND('Annual WLC by Maturity Level '!$C$36,-4)</f>
        <v>9880000</v>
      </c>
      <c r="L58" s="266">
        <f>ROUND('Annual WLC by Maturity Level '!$C$37,-4)</f>
        <v>0</v>
      </c>
      <c r="M58" s="266">
        <f>ROUND('Annual WLC by Maturity Level '!$C$38,-4)</f>
        <v>0</v>
      </c>
      <c r="N58" s="267">
        <f>ROUND('Annual WLC by Maturity Level '!$C$34,-4)</f>
        <v>9950000</v>
      </c>
    </row>
    <row r="59" spans="8:14" s="257" customFormat="1" ht="15.75">
      <c r="H59" s="308" t="s">
        <v>271</v>
      </c>
      <c r="I59" s="284" t="s">
        <v>267</v>
      </c>
      <c r="J59" s="268">
        <f>ROUND('Annual WLC by Maturity Level '!$E$41,-4)</f>
        <v>0</v>
      </c>
      <c r="K59" s="268">
        <f>ROUND('Annual WLC by Maturity Level '!$E$42,-4)</f>
        <v>50000</v>
      </c>
      <c r="L59" s="268">
        <f>ROUND('Annual WLC by Maturity Level '!$E$43,-4)</f>
        <v>0</v>
      </c>
      <c r="M59" s="268">
        <f>ROUND('Annual WLC by Maturity Level '!$E$44,-4)</f>
        <v>20000</v>
      </c>
      <c r="N59" s="269">
        <f>ROUND('Annual WLC by Maturity Level '!$E$40,-4)</f>
        <v>70000</v>
      </c>
    </row>
    <row r="60" spans="8:14" s="257" customFormat="1" ht="15.75">
      <c r="H60" s="307"/>
      <c r="I60" s="285" t="s">
        <v>288</v>
      </c>
      <c r="J60" s="270">
        <f>ROUND('Annual WLC by Maturity Level '!$E$78,-4)</f>
        <v>0</v>
      </c>
      <c r="K60" s="270">
        <f>ROUND('Annual WLC by Maturity Level '!$E$79,-4)</f>
        <v>10000</v>
      </c>
      <c r="L60" s="270">
        <f>ROUND('Annual WLC by Maturity Level '!$E$80,-4)</f>
        <v>0</v>
      </c>
      <c r="M60" s="270">
        <f>ROUND('Annual WLC by Maturity Level '!$E$81,-4)</f>
        <v>-10000</v>
      </c>
      <c r="N60" s="271">
        <f>ROUND('Annual WLC by Maturity Level '!$E$77,-4)</f>
        <v>0</v>
      </c>
    </row>
    <row r="61" spans="8:14" s="257" customFormat="1" ht="15.75">
      <c r="H61" s="307"/>
      <c r="I61" s="285" t="s">
        <v>278</v>
      </c>
      <c r="J61" s="272" t="str">
        <f ca="1">IF(ISERROR(IRR(OFFSET('SD-CF'!$B$55,0,0,0,'Financial Data'!$C$10))),"NA",IRR(OFFSET('SD-CF'!$B$55,0,0,0,'Financial Data'!$C$10)))</f>
        <v>NA</v>
      </c>
      <c r="K61" s="272" t="str">
        <f ca="1">IF(ISERROR(IRR(OFFSET('SD-CF'!$B$56,0,0,0,'Financial Data'!$C$10))),"NA",IRR(OFFSET('SD-CF'!$B$56,0,0,0,'Financial Data'!$C$10)))</f>
        <v>NA</v>
      </c>
      <c r="L61" s="272" t="str">
        <f ca="1">IF(ISERROR(IRR(OFFSET('SD-CF'!$B$57,0,0,0,'Financial Data'!$C$10))),"NA",IRR(OFFSET('SD-CF'!$B$57,0,0,0,'Financial Data'!$C$10)))</f>
        <v>NA</v>
      </c>
      <c r="M61" s="272" t="str">
        <f ca="1">IF(ISERROR(IRR(OFFSET('SD-CF'!$B$58,0,0,0,'Financial Data'!$C$10))),"NA",IRR(OFFSET('SD-CF'!$B$58,0,0,0,'Financial Data'!$C$10)))</f>
        <v>NA</v>
      </c>
      <c r="N61" s="273" t="str">
        <f ca="1">IF(ISERROR(IRR(OFFSET('SD-CF'!$B$54,0,0,0,'Financial Data'!$C$10))),"NA",IRR(OFFSET('SD-CF'!$B$54,0,0,0,'Financial Data'!$C$10)))</f>
        <v>NA</v>
      </c>
    </row>
    <row r="62" spans="8:14" s="257" customFormat="1" ht="15.75">
      <c r="H62" s="309"/>
      <c r="I62" s="283" t="s">
        <v>277</v>
      </c>
      <c r="J62" s="274" t="str">
        <f>IF(OR($J$59=0,$J$60&lt;=0),"NA",$J$59/$J$60)</f>
        <v>NA</v>
      </c>
      <c r="K62" s="274">
        <f>IF(OR($K$59=0,$K$60&lt;=0),"NA",$K$59/$K$60)</f>
        <v>5</v>
      </c>
      <c r="L62" s="274" t="str">
        <f>IF(OR($L$59=0,$L$60&lt;=0),"NA",$L$59/$L$60)</f>
        <v>NA</v>
      </c>
      <c r="M62" s="274" t="str">
        <f>IF(OR($M$59=0,$M$60&lt;=0),"NA",$M$59/$M$60)</f>
        <v>NA</v>
      </c>
      <c r="N62" s="275" t="str">
        <f>IF(OR($N$59=0,$N$60&lt;=0),"NA",$N$59/$N$60)</f>
        <v>NA</v>
      </c>
    </row>
    <row r="63" spans="8:14" s="257" customFormat="1" ht="15.75">
      <c r="H63" s="308" t="s">
        <v>272</v>
      </c>
      <c r="I63" s="284" t="s">
        <v>267</v>
      </c>
      <c r="J63" s="268">
        <f>ROUND(SUM('Annual WLC by Maturity Level '!$E$41:$F$41),-4)</f>
        <v>0</v>
      </c>
      <c r="K63" s="268">
        <f>ROUND(SUM('Annual WLC by Maturity Level '!$E$42:$F$42),-4)</f>
        <v>80000</v>
      </c>
      <c r="L63" s="268">
        <f>ROUND(SUM('Annual WLC by Maturity Level '!$E$43:$F$43),-4)</f>
        <v>0</v>
      </c>
      <c r="M63" s="268">
        <f>ROUND(SUM('Annual WLC by Maturity Level '!$E$44:$F$44),-4)</f>
        <v>40000</v>
      </c>
      <c r="N63" s="269">
        <f>ROUND(SUM('Annual WLC by Maturity Level '!$E$40:$F$40),-4)</f>
        <v>120000</v>
      </c>
    </row>
    <row r="64" spans="8:14" s="257" customFormat="1" ht="15.75">
      <c r="H64" s="307"/>
      <c r="I64" s="285" t="s">
        <v>288</v>
      </c>
      <c r="J64" s="270">
        <f>ROUND('Annual WLC by Maturity Level '!$F$78,-4)</f>
        <v>10000</v>
      </c>
      <c r="K64" s="270">
        <f>ROUND('Annual WLC by Maturity Level '!$F$79,-4)</f>
        <v>210000</v>
      </c>
      <c r="L64" s="270">
        <f>ROUND('Annual WLC by Maturity Level '!$F$80,-4)</f>
        <v>0</v>
      </c>
      <c r="M64" s="270">
        <f>ROUND('Annual WLC by Maturity Level '!$F$81,-4)</f>
        <v>-20000</v>
      </c>
      <c r="N64" s="271">
        <f>ROUND('Annual WLC by Maturity Level '!$F$77,-4)</f>
        <v>190000</v>
      </c>
    </row>
    <row r="65" spans="8:14" s="257" customFormat="1" ht="15.75">
      <c r="H65" s="307"/>
      <c r="I65" s="285" t="s">
        <v>278</v>
      </c>
      <c r="J65" s="272" t="str">
        <f ca="1">IF(ISERROR(IRR(OFFSET('HA1-CF'!$B$55,0,0,0,'Financial Data'!$C$10))),"NA",IRR(OFFSET('HA1-CF'!$B$55,0,0,0,'Financial Data'!$C$10)))</f>
        <v>NA</v>
      </c>
      <c r="K65" s="272" t="str">
        <f ca="1">IF(ISERROR(IRR(OFFSET('HA1-CF'!$B$56,0,0,0,'Financial Data'!$C$10))),"NA",IRR(OFFSET('HA1-CF'!$B$56,0,0,0,'Financial Data'!$C$10)))</f>
        <v>NA</v>
      </c>
      <c r="L65" s="272" t="str">
        <f ca="1">IF(ISERROR(IRR(OFFSET('HA1-CF'!$B$57,0,0,0,'Financial Data'!$C$10))),"NA",IRR(OFFSET('HA1-CF'!$B$57,0,0,0,'Financial Data'!$C$10)))</f>
        <v>NA</v>
      </c>
      <c r="M65" s="272" t="str">
        <f ca="1">IF(ISERROR(IRR(OFFSET('HA1-CF'!$B$58,0,0,0,'Financial Data'!$C$10))),"NA",IRR(OFFSET('HA1-CF'!$B$58,0,0,0,'Financial Data'!$C$10)))</f>
        <v>NA</v>
      </c>
      <c r="N65" s="273" t="str">
        <f ca="1">IF(ISERROR(IRR(OFFSET('HA1-CF'!$B$54,0,0,0,'Financial Data'!$C$10))),"NA",IRR(OFFSET('HA1-CF'!$B$54,0,0,0,'Financial Data'!$C$10)))</f>
        <v>NA</v>
      </c>
    </row>
    <row r="66" spans="8:14" s="257" customFormat="1" ht="15.75">
      <c r="H66" s="309"/>
      <c r="I66" s="283" t="s">
        <v>277</v>
      </c>
      <c r="J66" s="274" t="str">
        <f>IF(OR($J$63=0,$J$64&lt;=0),"NA",$J$63/$J$64)</f>
        <v>NA</v>
      </c>
      <c r="K66" s="274">
        <f>IF(OR($K$63=0,$K$64&lt;=0),"NA",$K$63/$K$64)</f>
        <v>0.38095238095238093</v>
      </c>
      <c r="L66" s="274" t="str">
        <f>IF(OR($L$63=0,$L$64&lt;=0),"NA",$L$63/$L$64)</f>
        <v>NA</v>
      </c>
      <c r="M66" s="274" t="str">
        <f>IF(OR($M$63=0,$M$64&lt;=0),"NA",$M$63/$M$64)</f>
        <v>NA</v>
      </c>
      <c r="N66" s="275">
        <f>IF(OR($N$63=0,$N$64&lt;=0),"NA",$N$63/$N$64)</f>
        <v>0.63157894736842102</v>
      </c>
    </row>
    <row r="67" spans="8:14" s="257" customFormat="1" ht="15.75">
      <c r="H67" s="308" t="s">
        <v>273</v>
      </c>
      <c r="I67" s="284" t="s">
        <v>267</v>
      </c>
      <c r="J67" s="268">
        <f>ROUND(SUM('Annual WLC by Maturity Level '!$E$41:$G$41),-4)</f>
        <v>0</v>
      </c>
      <c r="K67" s="268">
        <f>ROUND(SUM('Annual WLC by Maturity Level '!$E$42:$G$42),-4)</f>
        <v>90000</v>
      </c>
      <c r="L67" s="268">
        <f>ROUND(SUM('Annual WLC by Maturity Level '!$E$43:$G$43),-4)</f>
        <v>0</v>
      </c>
      <c r="M67" s="268">
        <f>ROUND(SUM('Annual WLC by Maturity Level '!$E$44:$G$44),-4)</f>
        <v>40000</v>
      </c>
      <c r="N67" s="269">
        <f>ROUND(SUM('Annual WLC by Maturity Level '!$E$40:$G$40),-4)</f>
        <v>140000</v>
      </c>
    </row>
    <row r="68" spans="8:14" s="257" customFormat="1" ht="15.75">
      <c r="H68" s="307"/>
      <c r="I68" s="285" t="s">
        <v>288</v>
      </c>
      <c r="J68" s="270">
        <f>ROUND('Annual WLC by Maturity Level '!$G$78,-4)</f>
        <v>10000</v>
      </c>
      <c r="K68" s="270">
        <f>ROUND('Annual WLC by Maturity Level '!$G$79,-4)</f>
        <v>310000</v>
      </c>
      <c r="L68" s="270">
        <f>ROUND('Annual WLC by Maturity Level '!$G$80,-4)</f>
        <v>0</v>
      </c>
      <c r="M68" s="270">
        <f>ROUND('Annual WLC by Maturity Level '!$G$81,-4)</f>
        <v>-20000</v>
      </c>
      <c r="N68" s="271">
        <f>ROUND('Annual WLC by Maturity Level '!$G$77,-4)</f>
        <v>300000</v>
      </c>
    </row>
    <row r="69" spans="8:14" s="257" customFormat="1" ht="15.75">
      <c r="H69" s="307"/>
      <c r="I69" s="285" t="s">
        <v>278</v>
      </c>
      <c r="J69" s="276" t="str">
        <f ca="1">IF(ISERROR(IRR(OFFSET('HA2-CF'!$B$55,0,0,0,'Financial Data'!$C$10))),"NA",IRR(OFFSET('HA2-CF'!$B$55,0,0,0,'Financial Data'!$C$10)))</f>
        <v>NA</v>
      </c>
      <c r="K69" s="276" t="str">
        <f ca="1">IF(ISERROR(IRR(OFFSET('HA2-CF'!$B$56,0,0,0,'Financial Data'!$C$10))),"NA",IRR(OFFSET('HA2-CF'!$B$56,0,0,0,'Financial Data'!$C$10)))</f>
        <v>NA</v>
      </c>
      <c r="L69" s="276" t="str">
        <f ca="1">IF(ISERROR(IRR(OFFSET('HA2-CF'!$B$57,0,0,0,'Financial Data'!$C$10))),"NA",IRR(OFFSET('HA2-CF'!$B$57,0,0,0,'Financial Data'!$C$10)))</f>
        <v>NA</v>
      </c>
      <c r="M69" s="276" t="str">
        <f ca="1">IF(ISERROR(IRR(OFFSET('HA2-CF'!$B$58,0,0,0,'Financial Data'!$C$10))),"NA",IRR(OFFSET('HA2-CF'!$B$58,0,0,0,'Financial Data'!$C$10)))</f>
        <v>NA</v>
      </c>
      <c r="N69" s="277" t="str">
        <f ca="1">IF(ISERROR(IRR(OFFSET('HA2-CF'!$B$54,0,0,0,'Financial Data'!$C$10))),"NA",IRR(OFFSET('HA2-CF'!$B$54,0,0,0,'Financial Data'!$C$10)))</f>
        <v>NA</v>
      </c>
    </row>
    <row r="70" spans="8:14" s="257" customFormat="1" ht="15.75">
      <c r="H70" s="309"/>
      <c r="I70" s="283" t="s">
        <v>277</v>
      </c>
      <c r="J70" s="274" t="str">
        <f>IF(OR($J$67=0,$J$68&lt;=0),"NA",$J$67/$J$68)</f>
        <v>NA</v>
      </c>
      <c r="K70" s="274">
        <f>IF(OR($K$67=0,$K$68&lt;=0),"NA",$K$67/$K$68)</f>
        <v>0.29032258064516131</v>
      </c>
      <c r="L70" s="274" t="str">
        <f>IF(OR($L$67=0,$L$68&lt;=0),"NA",$L$67/$L$68)</f>
        <v>NA</v>
      </c>
      <c r="M70" s="274" t="str">
        <f>IF(OR($M$67=0,$M$68&lt;=0),"NA",$M$67/$M$68)</f>
        <v>NA</v>
      </c>
      <c r="N70" s="275">
        <f>IF(OR($N$67=0,$N$68&lt;=0),"NA",$N$67/$N$68)</f>
        <v>0.46666666666666667</v>
      </c>
    </row>
    <row r="71" spans="8:14" s="257" customFormat="1" ht="15.75">
      <c r="H71" s="308" t="s">
        <v>274</v>
      </c>
      <c r="I71" s="284" t="s">
        <v>267</v>
      </c>
      <c r="J71" s="268">
        <f>ROUND(SUM('Annual WLC by Maturity Level '!$E$41:$H$41),-4)</f>
        <v>0</v>
      </c>
      <c r="K71" s="268">
        <f>ROUND(SUM('Annual WLC by Maturity Level '!$E$42:$H$42),-4)</f>
        <v>130000</v>
      </c>
      <c r="L71" s="268">
        <f>ROUND(SUM('Annual WLC by Maturity Level '!$E$43:$H$43),-4)</f>
        <v>0</v>
      </c>
      <c r="M71" s="268">
        <f>ROUND(SUM('Annual WLC by Maturity Level '!$E$44:$H$44),-4)</f>
        <v>50000</v>
      </c>
      <c r="N71" s="269">
        <f>ROUND(SUM('Annual WLC by Maturity Level '!$E$40:$H$40),-4)</f>
        <v>180000</v>
      </c>
    </row>
    <row r="72" spans="8:14" s="257" customFormat="1" ht="15.75">
      <c r="H72" s="307"/>
      <c r="I72" s="285" t="s">
        <v>288</v>
      </c>
      <c r="J72" s="270">
        <f>ROUND('Annual WLC by Maturity Level '!$H$78,-4)</f>
        <v>10000</v>
      </c>
      <c r="K72" s="270">
        <f>ROUND('Annual WLC by Maturity Level '!$H$79,-4)</f>
        <v>530000</v>
      </c>
      <c r="L72" s="270">
        <f>ROUND('Annual WLC by Maturity Level '!$H$80,-4)</f>
        <v>0</v>
      </c>
      <c r="M72" s="270">
        <f>ROUND('Annual WLC by Maturity Level '!$H$81,-4)</f>
        <v>-20000</v>
      </c>
      <c r="N72" s="271">
        <f>ROUND('Annual WLC by Maturity Level '!$H$77,-4)</f>
        <v>530000</v>
      </c>
    </row>
    <row r="73" spans="8:14" s="257" customFormat="1" ht="15.75">
      <c r="H73" s="307"/>
      <c r="I73" s="285" t="s">
        <v>278</v>
      </c>
      <c r="J73" s="276" t="str">
        <f ca="1">IF(ISERROR(IRR(OFFSET('PA-CF'!$B$55,0,0,0,'Financial Data'!$C$10))),"NA",IRR(OFFSET('PA-CF'!$B$55,0,0,0,'Financial Data'!$C$10)))</f>
        <v>NA</v>
      </c>
      <c r="K73" s="276" t="str">
        <f ca="1">IF(ISERROR(IRR(OFFSET('PA-CF'!$B$56,0,0,0,'Financial Data'!$C$10))),"NA",IRR(OFFSET('PA-CF'!$B$56,0,0,0,'Financial Data'!$C$10)))</f>
        <v>NA</v>
      </c>
      <c r="L73" s="276" t="str">
        <f ca="1">IF(ISERROR(IRR(OFFSET('PA-CF'!$B$57,0,0,0,'Financial Data'!$C$10))),"NA",IRR(OFFSET('PA-CF'!$B$57,0,0,0,'Financial Data'!$C$10)))</f>
        <v>NA</v>
      </c>
      <c r="M73" s="276" t="str">
        <f ca="1">IF(ISERROR(IRR(OFFSET('PA-CF'!$B$58,0,0,0,'Financial Data'!$C$10))),"NA",IRR(OFFSET('PA-CF'!$B$58,0,0,0,'Financial Data'!$C$10)))</f>
        <v>NA</v>
      </c>
      <c r="N73" s="277" t="str">
        <f ca="1">IF(ISERROR(IRR(OFFSET('PA-CF'!$B$54,0,0,0,'Financial Data'!$C$10))),"NA",IRR(OFFSET('PA-CF'!$B$54,0,0,0,'Financial Data'!$C$10)))</f>
        <v>NA</v>
      </c>
    </row>
    <row r="74" spans="8:14" s="257" customFormat="1" ht="15.75">
      <c r="H74" s="309"/>
      <c r="I74" s="283" t="s">
        <v>277</v>
      </c>
      <c r="J74" s="274" t="str">
        <f>IF(OR($J$71=0,$J$72&lt;=0),"NA",$J$71/$J$72)</f>
        <v>NA</v>
      </c>
      <c r="K74" s="274">
        <f>IF(OR($K$71=0,$K$72&lt;=0),"NA",$K$71/$K$72)</f>
        <v>0.24528301886792453</v>
      </c>
      <c r="L74" s="274" t="str">
        <f>IF(OR($L$71=0,$L$72&lt;=0),"NA",$L$71/$L$72)</f>
        <v>NA</v>
      </c>
      <c r="M74" s="274" t="str">
        <f>IF(OR($M$71=0,$M$72&lt;=0),"NA",$M$71/$M$72)</f>
        <v>NA</v>
      </c>
      <c r="N74" s="275">
        <f>IF(OR($N$71=0,$N$72&lt;=0),"NA",$N$71/$N$72)</f>
        <v>0.33962264150943394</v>
      </c>
    </row>
    <row r="75" spans="8:14" s="257" customFormat="1" ht="15.75">
      <c r="H75" s="308" t="s">
        <v>275</v>
      </c>
      <c r="I75" s="285" t="s">
        <v>267</v>
      </c>
      <c r="J75" s="270">
        <f>ROUND(SUM('Annual WLC by Maturity Level '!$E$41:$I$41),-4)</f>
        <v>0</v>
      </c>
      <c r="K75" s="270">
        <f>ROUND(SUM('Annual WLC by Maturity Level '!$E$42:$I$42),-4)</f>
        <v>150000</v>
      </c>
      <c r="L75" s="270">
        <f>ROUND(SUM('Annual WLC by Maturity Level '!$E$43:$I$43),-4)</f>
        <v>0</v>
      </c>
      <c r="M75" s="270">
        <f>ROUND(SUM('Annual WLC by Maturity Level '!$E$44:$I$44),-4)</f>
        <v>70000</v>
      </c>
      <c r="N75" s="271">
        <f>ROUND(SUM('Annual WLC by Maturity Level '!$E$40:$I$40),-4)</f>
        <v>220000</v>
      </c>
    </row>
    <row r="76" spans="8:14" s="257" customFormat="1" ht="15.75">
      <c r="H76" s="307"/>
      <c r="I76" s="285" t="s">
        <v>288</v>
      </c>
      <c r="J76" s="270">
        <f>ROUND('Annual WLC by Maturity Level '!$I$78,-4)</f>
        <v>10000</v>
      </c>
      <c r="K76" s="270">
        <f>ROUND('Annual WLC by Maturity Level '!$I$79,-4)</f>
        <v>990000</v>
      </c>
      <c r="L76" s="270">
        <f>ROUND('Annual WLC by Maturity Level '!$I$80,-4)</f>
        <v>0</v>
      </c>
      <c r="M76" s="270">
        <f>ROUND('Annual WLC by Maturity Level '!$I$81,-4)</f>
        <v>-30000</v>
      </c>
      <c r="N76" s="271">
        <f>ROUND('Annual WLC by Maturity Level '!$I$77,-4)</f>
        <v>980000</v>
      </c>
    </row>
    <row r="77" spans="8:14" s="257" customFormat="1" ht="15.75">
      <c r="H77" s="307"/>
      <c r="I77" s="285" t="s">
        <v>278</v>
      </c>
      <c r="J77" s="276" t="str">
        <f ca="1">IF(ISERROR(IRR(OFFSET('AG-CF'!$B$55,0,0,0,'Financial Data'!$C$10))),"NA",IRR(OFFSET('AG-CF'!$B$55,0,0,0,'Financial Data'!$C$10)))</f>
        <v>NA</v>
      </c>
      <c r="K77" s="276" t="str">
        <f ca="1">IF(ISERROR(IRR(OFFSET('AG-CF'!$B$56,0,0,0,'Financial Data'!$C$10))),"NA",IRR(OFFSET('AG-CF'!$B$56,0,0,0,'Financial Data'!$C$10)))</f>
        <v>NA</v>
      </c>
      <c r="L77" s="276" t="str">
        <f ca="1">IF(ISERROR(IRR(OFFSET('AG-CF'!$B$57,0,0,0,'Financial Data'!$C$10))),"NA",IRR(OFFSET('AG-CF'!$B$57,0,0,0,'Financial Data'!$C$10)))</f>
        <v>NA</v>
      </c>
      <c r="M77" s="276" t="str">
        <f ca="1">IF(ISERROR(IRR(OFFSET('AG-CF'!$B$58,0,0,0,'Financial Data'!$C$10))),"NA",IRR(OFFSET('AG-CF'!$B$58,0,0,0,'Financial Data'!$C$10)))</f>
        <v>NA</v>
      </c>
      <c r="N77" s="277" t="str">
        <f ca="1">IF(ISERROR(IRR(OFFSET('AG-CF'!$B$54,0,0,0,'Financial Data'!$C$10))),"NA",IRR(OFFSET('AG-CF'!$B$54,0,0,0,'Financial Data'!$C$10)))</f>
        <v>NA</v>
      </c>
    </row>
    <row r="78" spans="8:14" s="257" customFormat="1" ht="15.75">
      <c r="H78" s="307"/>
      <c r="I78" s="285" t="s">
        <v>277</v>
      </c>
      <c r="J78" s="278" t="str">
        <f>IF(OR($J$75=0,$J$76&lt;=0),"NA",$J$75/$J$76)</f>
        <v>NA</v>
      </c>
      <c r="K78" s="278">
        <f>IF(OR($K$75=0,$K$76&lt;=0),"NA",$K$75/$K$76)</f>
        <v>0.15151515151515152</v>
      </c>
      <c r="L78" s="278" t="str">
        <f>IF(OR($L$75=0,$L$76&lt;=0),"NA",$L$75/$L$76)</f>
        <v>NA</v>
      </c>
      <c r="M78" s="278" t="str">
        <f>IF(OR($M$75=0,$M$76&lt;=0),"NA",$M$75/$M$76)</f>
        <v>NA</v>
      </c>
      <c r="N78" s="279">
        <f>IF(OR($N$75=0,$N$76&lt;=0),"NA",$N$75/$N$76)</f>
        <v>0.22448979591836735</v>
      </c>
    </row>
    <row r="82" spans="8:14" ht="23.25">
      <c r="I82" s="306" t="str">
        <f>IF('Financial Data'!C10&lt;&gt;"",'Financial Data'!C10&amp;" Years Cash Flow","Evaluation Period Undefined.")</f>
        <v>10 Years Cash Flow</v>
      </c>
      <c r="J82" s="306"/>
      <c r="K82" s="306"/>
      <c r="L82" s="306"/>
      <c r="M82" s="306"/>
      <c r="N82" s="306"/>
    </row>
    <row r="83" spans="8:14" s="248" customFormat="1">
      <c r="H83" s="286"/>
      <c r="I83" s="286"/>
      <c r="J83" s="286"/>
      <c r="K83" s="286"/>
      <c r="L83" s="286"/>
      <c r="M83" s="286"/>
      <c r="N83" s="286"/>
    </row>
    <row r="84" spans="8:14" s="261" customFormat="1" ht="15.75">
      <c r="H84" s="264"/>
      <c r="I84" s="298"/>
      <c r="J84" s="263" t="str">
        <f>'Asset Info'!$C$10</f>
        <v>Crossrail</v>
      </c>
      <c r="K84" s="263" t="str">
        <f>'Asset Info'!$D$10</f>
        <v>NR Western</v>
      </c>
      <c r="L84" s="263" t="str">
        <f>'Asset Info'!$E$10</f>
        <v>Balfour Beatty</v>
      </c>
      <c r="M84" s="265" t="str">
        <f>'Asset Info'!$F$10</f>
        <v>RSSB</v>
      </c>
      <c r="N84" s="263" t="str">
        <f>'Asset Info'!$G$10</f>
        <v>TOTAL</v>
      </c>
    </row>
    <row r="85" spans="8:14" s="248" customFormat="1" ht="15.75">
      <c r="H85" s="308" t="s">
        <v>271</v>
      </c>
      <c r="I85" s="288" t="s">
        <v>280</v>
      </c>
      <c r="J85" s="289">
        <f t="array" aca="1" ref="J85:M87" ca="1">ROUND('SD-CF'!$C$63:$F$65,-4)</f>
        <v>0</v>
      </c>
      <c r="K85" s="289">
        <f ca="1"/>
        <v>-50000</v>
      </c>
      <c r="L85" s="289">
        <f ca="1"/>
        <v>0</v>
      </c>
      <c r="M85" s="290">
        <f ca="1"/>
        <v>-20000</v>
      </c>
      <c r="N85" s="289">
        <f t="array" aca="1" ref="N85:N87" ca="1">ROUND('SD-CF'!$B$63:$B$65,-4)</f>
        <v>-70000</v>
      </c>
    </row>
    <row r="86" spans="8:14" s="248" customFormat="1" ht="15.75">
      <c r="H86" s="307"/>
      <c r="I86" s="291" t="s">
        <v>281</v>
      </c>
      <c r="J86" s="292">
        <f ca="1"/>
        <v>30000</v>
      </c>
      <c r="K86" s="292">
        <f ca="1"/>
        <v>120000</v>
      </c>
      <c r="L86" s="292">
        <f ca="1"/>
        <v>0</v>
      </c>
      <c r="M86" s="293">
        <f ca="1"/>
        <v>-110000</v>
      </c>
      <c r="N86" s="292">
        <f ca="1"/>
        <v>40000</v>
      </c>
    </row>
    <row r="87" spans="8:14" s="248" customFormat="1" ht="15.75">
      <c r="H87" s="307"/>
      <c r="I87" s="291" t="s">
        <v>187</v>
      </c>
      <c r="J87" s="292">
        <f ca="1"/>
        <v>30000</v>
      </c>
      <c r="K87" s="292">
        <f ca="1"/>
        <v>70000</v>
      </c>
      <c r="L87" s="292">
        <f ca="1"/>
        <v>0</v>
      </c>
      <c r="M87" s="293">
        <f ca="1"/>
        <v>-130000</v>
      </c>
      <c r="N87" s="292">
        <f ca="1"/>
        <v>-30000</v>
      </c>
    </row>
    <row r="88" spans="8:14" s="248" customFormat="1" ht="15.75">
      <c r="H88" s="309"/>
      <c r="I88" s="287" t="s">
        <v>282</v>
      </c>
      <c r="J88" s="294" t="str">
        <f t="array" ref="J88:M88" ca="1">IF(ISNUMBER('SD-CF'!$C$66:$F$66),'SD-CF'!$C$66:$F$66+1,"NA")</f>
        <v>NA</v>
      </c>
      <c r="K88" s="294">
        <f ca="1"/>
        <v>2.4191888428661406</v>
      </c>
      <c r="L88" s="294" t="str">
        <f ca="1"/>
        <v>NA</v>
      </c>
      <c r="M88" s="295">
        <f ca="1"/>
        <v>-5.3382394459273357</v>
      </c>
      <c r="N88" s="280">
        <f ca="1">IF(ISNUMBER('SD-CF'!$B$66),'SD-CF'!$B$66+1,"NA")</f>
        <v>0.54037246968599417</v>
      </c>
    </row>
    <row r="89" spans="8:14" s="248" customFormat="1" ht="15.75">
      <c r="H89" s="308" t="s">
        <v>272</v>
      </c>
      <c r="I89" s="288" t="s">
        <v>280</v>
      </c>
      <c r="J89" s="289">
        <f t="array" aca="1" ref="J89:M91" ca="1">ROUND('HA1-CF'!$C$63:$F$65,-4)</f>
        <v>0</v>
      </c>
      <c r="K89" s="289">
        <f ca="1"/>
        <v>-80000</v>
      </c>
      <c r="L89" s="289">
        <f ca="1"/>
        <v>0</v>
      </c>
      <c r="M89" s="290">
        <f ca="1"/>
        <v>-30000</v>
      </c>
      <c r="N89" s="289">
        <f t="array" aca="1" ref="N89:N91" ca="1">ROUND('HA1-CF'!$B$63:$B$65,-4)</f>
        <v>-110000</v>
      </c>
    </row>
    <row r="90" spans="8:14" s="248" customFormat="1" ht="15.75">
      <c r="H90" s="307"/>
      <c r="I90" s="291" t="s">
        <v>281</v>
      </c>
      <c r="J90" s="292">
        <f ca="1"/>
        <v>50000</v>
      </c>
      <c r="K90" s="292">
        <f ca="1"/>
        <v>1440000</v>
      </c>
      <c r="L90" s="292">
        <f ca="1"/>
        <v>0</v>
      </c>
      <c r="M90" s="293">
        <f ca="1"/>
        <v>-140000</v>
      </c>
      <c r="N90" s="292">
        <f ca="1"/>
        <v>1340000</v>
      </c>
    </row>
    <row r="91" spans="8:14" s="248" customFormat="1" ht="15.75">
      <c r="H91" s="307"/>
      <c r="I91" s="291" t="s">
        <v>187</v>
      </c>
      <c r="J91" s="292">
        <f ca="1"/>
        <v>50000</v>
      </c>
      <c r="K91" s="292">
        <f ca="1"/>
        <v>1360000</v>
      </c>
      <c r="L91" s="292">
        <f ca="1"/>
        <v>0</v>
      </c>
      <c r="M91" s="293">
        <f ca="1"/>
        <v>-170000</v>
      </c>
      <c r="N91" s="292">
        <f ca="1"/>
        <v>1230000</v>
      </c>
    </row>
    <row r="92" spans="8:14" s="248" customFormat="1" ht="15.75">
      <c r="H92" s="309"/>
      <c r="I92" s="287" t="s">
        <v>282</v>
      </c>
      <c r="J92" s="280" t="str">
        <f t="array" ref="J92:M92" ca="1">IF(ISNUMBER('HA1-CF'!$C$66:$F$66),'HA1-CF'!$C$66:$F$66+1,"NA")</f>
        <v>NA</v>
      </c>
      <c r="K92" s="280">
        <f ca="1"/>
        <v>18.068761069788966</v>
      </c>
      <c r="L92" s="280" t="str">
        <f ca="1"/>
        <v>NA</v>
      </c>
      <c r="M92" s="296">
        <f ca="1"/>
        <v>-4.1178390202639612</v>
      </c>
      <c r="N92" s="280">
        <f ca="1">IF(ISNUMBER('HA1-CF'!$B$66),'HA1-CF'!$B$66+1,"NA")</f>
        <v>11.811021625410698</v>
      </c>
    </row>
    <row r="93" spans="8:14" s="248" customFormat="1" ht="15.75">
      <c r="H93" s="308" t="s">
        <v>273</v>
      </c>
      <c r="I93" s="288" t="s">
        <v>280</v>
      </c>
      <c r="J93" s="289">
        <f t="array" aca="1" ref="J93:M95" ca="1">ROUND('HA2-CF'!$C$63:$F$65,-4)</f>
        <v>0</v>
      </c>
      <c r="K93" s="289">
        <f ca="1"/>
        <v>-90000</v>
      </c>
      <c r="L93" s="289">
        <f ca="1"/>
        <v>0</v>
      </c>
      <c r="M93" s="290">
        <f ca="1"/>
        <v>-40000</v>
      </c>
      <c r="N93" s="289">
        <f t="array" aca="1" ref="N93:N95" ca="1">ROUND('HA2-CF'!$B$63:$B$65,-4)</f>
        <v>-130000</v>
      </c>
    </row>
    <row r="94" spans="8:14" s="248" customFormat="1" ht="15.75">
      <c r="H94" s="307"/>
      <c r="I94" s="291" t="s">
        <v>281</v>
      </c>
      <c r="J94" s="292">
        <f ca="1"/>
        <v>60000</v>
      </c>
      <c r="K94" s="292">
        <f ca="1"/>
        <v>1980000</v>
      </c>
      <c r="L94" s="292">
        <f ca="1"/>
        <v>0</v>
      </c>
      <c r="M94" s="293">
        <f ca="1"/>
        <v>-150000</v>
      </c>
      <c r="N94" s="292">
        <f ca="1"/>
        <v>1880000</v>
      </c>
    </row>
    <row r="95" spans="8:14" s="248" customFormat="1" ht="15.75">
      <c r="H95" s="307"/>
      <c r="I95" s="291" t="s">
        <v>187</v>
      </c>
      <c r="J95" s="292">
        <f ca="1"/>
        <v>60000</v>
      </c>
      <c r="K95" s="292">
        <f ca="1"/>
        <v>1890000</v>
      </c>
      <c r="L95" s="292">
        <f ca="1"/>
        <v>0</v>
      </c>
      <c r="M95" s="293">
        <f ca="1"/>
        <v>-190000</v>
      </c>
      <c r="N95" s="292">
        <f ca="1"/>
        <v>1760000</v>
      </c>
    </row>
    <row r="96" spans="8:14" s="248" customFormat="1" ht="15.75">
      <c r="H96" s="309"/>
      <c r="I96" s="287" t="s">
        <v>282</v>
      </c>
      <c r="J96" s="280" t="str">
        <f t="array" ref="J96:M96" ca="1">IF(ISNUMBER('HA2-CF'!$C$66:$F$66),'HA2-CF'!$C$66:$F$66+1,"NA")</f>
        <v>NA</v>
      </c>
      <c r="K96" s="280">
        <f ca="1"/>
        <v>22.134522782702092</v>
      </c>
      <c r="L96" s="280" t="str">
        <f ca="1"/>
        <v>NA</v>
      </c>
      <c r="M96" s="296">
        <f ca="1"/>
        <v>-3.8663403085987822</v>
      </c>
      <c r="N96" s="280">
        <f ca="1">IF(ISNUMBER('HA2-CF'!$B$66),'HA2-CF'!$B$66+1,"NA")</f>
        <v>14.77335086162495</v>
      </c>
    </row>
    <row r="97" spans="8:14" s="248" customFormat="1" ht="15.75">
      <c r="H97" s="308" t="s">
        <v>274</v>
      </c>
      <c r="I97" s="288" t="s">
        <v>280</v>
      </c>
      <c r="J97" s="289">
        <f t="array" aca="1" ref="J97:M99" ca="1">ROUND('PA-CF'!$C$63:$F$65,-4)</f>
        <v>0</v>
      </c>
      <c r="K97" s="289">
        <f ca="1"/>
        <v>-110000</v>
      </c>
      <c r="L97" s="289">
        <f ca="1"/>
        <v>0</v>
      </c>
      <c r="M97" s="290">
        <f ca="1"/>
        <v>-50000</v>
      </c>
      <c r="N97" s="289">
        <f t="array" aca="1" ref="N97:N99" ca="1">ROUND('PA-CF'!$B$63:$B$65,-4)</f>
        <v>-160000</v>
      </c>
    </row>
    <row r="98" spans="8:14" s="248" customFormat="1" ht="15.75">
      <c r="H98" s="307"/>
      <c r="I98" s="291" t="s">
        <v>281</v>
      </c>
      <c r="J98" s="292">
        <f ca="1"/>
        <v>80000</v>
      </c>
      <c r="K98" s="292">
        <f ca="1"/>
        <v>2730000</v>
      </c>
      <c r="L98" s="292">
        <f ca="1"/>
        <v>0</v>
      </c>
      <c r="M98" s="293">
        <f ca="1"/>
        <v>-160000</v>
      </c>
      <c r="N98" s="292">
        <f ca="1"/>
        <v>2650000</v>
      </c>
    </row>
    <row r="99" spans="8:14" s="248" customFormat="1" ht="15.75">
      <c r="H99" s="307"/>
      <c r="I99" s="291" t="s">
        <v>187</v>
      </c>
      <c r="J99" s="292">
        <f ca="1"/>
        <v>80000</v>
      </c>
      <c r="K99" s="292">
        <f ca="1"/>
        <v>2620000</v>
      </c>
      <c r="L99" s="292">
        <f ca="1"/>
        <v>0</v>
      </c>
      <c r="M99" s="293">
        <f ca="1"/>
        <v>-210000</v>
      </c>
      <c r="N99" s="292">
        <f ca="1"/>
        <v>2490000</v>
      </c>
    </row>
    <row r="100" spans="8:14" s="248" customFormat="1" ht="15.75">
      <c r="H100" s="309"/>
      <c r="I100" s="287" t="s">
        <v>282</v>
      </c>
      <c r="J100" s="280" t="str">
        <f t="array" ref="J100:M100" ca="1">IF(ISNUMBER('PA-CF'!$C$66:$F$66),'PA-CF'!$C$66:$F$66+1,"NA")</f>
        <v>NA</v>
      </c>
      <c r="K100" s="280">
        <f ca="1"/>
        <v>23.779637549199805</v>
      </c>
      <c r="L100" s="280" t="str">
        <f ca="1"/>
        <v>NA</v>
      </c>
      <c r="M100" s="296">
        <f ca="1"/>
        <v>-3.2857008372696273</v>
      </c>
      <c r="N100" s="280">
        <f ca="1">IF(ISNUMBER('PA-CF'!$B$66),'PA-CF'!$B$66+1,"NA")</f>
        <v>16.130983082444395</v>
      </c>
    </row>
    <row r="101" spans="8:14" s="248" customFormat="1" ht="15.75">
      <c r="H101" s="307" t="s">
        <v>275</v>
      </c>
      <c r="I101" s="291" t="s">
        <v>280</v>
      </c>
      <c r="J101" s="292">
        <f t="array" aca="1" ref="J101:M103" ca="1">ROUND('AG-CF'!$C$63:$F$65,-4)</f>
        <v>0</v>
      </c>
      <c r="K101" s="292">
        <f ca="1"/>
        <v>-140000</v>
      </c>
      <c r="L101" s="292">
        <f ca="1"/>
        <v>0</v>
      </c>
      <c r="M101" s="293">
        <f ca="1"/>
        <v>-60000</v>
      </c>
      <c r="N101" s="292">
        <f t="array" aca="1" ref="N101:N103" ca="1">ROUND('AG-CF'!$B$63:$B$65,-4)</f>
        <v>-190000</v>
      </c>
    </row>
    <row r="102" spans="8:14" s="248" customFormat="1" ht="15.75">
      <c r="H102" s="307"/>
      <c r="I102" s="291" t="s">
        <v>281</v>
      </c>
      <c r="J102" s="292">
        <f ca="1"/>
        <v>80000</v>
      </c>
      <c r="K102" s="292">
        <f ca="1"/>
        <v>3400000</v>
      </c>
      <c r="L102" s="292">
        <f ca="1"/>
        <v>0</v>
      </c>
      <c r="M102" s="293">
        <f ca="1"/>
        <v>-170000</v>
      </c>
      <c r="N102" s="292">
        <f ca="1"/>
        <v>3310000</v>
      </c>
    </row>
    <row r="103" spans="8:14" s="248" customFormat="1" ht="15.75">
      <c r="H103" s="307"/>
      <c r="I103" s="291" t="s">
        <v>187</v>
      </c>
      <c r="J103" s="292">
        <f ca="1"/>
        <v>80000</v>
      </c>
      <c r="K103" s="292">
        <f ca="1"/>
        <v>3270000</v>
      </c>
      <c r="L103" s="292">
        <f ca="1"/>
        <v>0</v>
      </c>
      <c r="M103" s="293">
        <f ca="1"/>
        <v>-220000</v>
      </c>
      <c r="N103" s="292">
        <f ca="1"/>
        <v>3120000</v>
      </c>
    </row>
    <row r="104" spans="8:14" s="248" customFormat="1" ht="15.75">
      <c r="H104" s="307"/>
      <c r="I104" s="291" t="s">
        <v>282</v>
      </c>
      <c r="J104" s="281" t="str">
        <f t="array" ref="J104:M104" ca="1">IF(ISNUMBER('AG-CF'!$C$66:$F$66),'AG-CF'!$C$66:$F$66+1,"NA")</f>
        <v>NA</v>
      </c>
      <c r="K104" s="281">
        <f ca="1"/>
        <v>25.186980352394222</v>
      </c>
      <c r="L104" s="281" t="str">
        <f ca="1"/>
        <v>NA</v>
      </c>
      <c r="M104" s="297">
        <f ca="1"/>
        <v>-2.8861313486951681</v>
      </c>
      <c r="N104" s="281">
        <f ca="1">IF(ISNUMBER('AG-CF'!$B$66),'AG-CF'!$B$66+1,"NA")</f>
        <v>17.166106984289573</v>
      </c>
    </row>
    <row r="105" spans="8:14">
      <c r="H105" s="192"/>
      <c r="I105" s="192"/>
      <c r="J105" s="192"/>
      <c r="K105" s="192"/>
      <c r="L105" s="192"/>
      <c r="M105" s="192"/>
      <c r="N105" s="192"/>
    </row>
  </sheetData>
  <mergeCells count="13">
    <mergeCell ref="F6:T6"/>
    <mergeCell ref="H59:H62"/>
    <mergeCell ref="H63:H66"/>
    <mergeCell ref="H67:H70"/>
    <mergeCell ref="H71:H74"/>
    <mergeCell ref="I55:N55"/>
    <mergeCell ref="I82:N82"/>
    <mergeCell ref="H101:H104"/>
    <mergeCell ref="H75:H78"/>
    <mergeCell ref="H85:H88"/>
    <mergeCell ref="H89:H92"/>
    <mergeCell ref="H93:H96"/>
    <mergeCell ref="H97:H100"/>
  </mergeCells>
  <pageMargins left="0.7" right="0.7" top="0.75" bottom="0.75" header="0.3" footer="0.3"/>
  <pageSetup paperSize="9" scale="2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locked="0" defaultSize="0" print="0" autoFill="0" autoPict="0" macro="[0]!ReturnMain">
                <anchor>
                  <from>
                    <xdr:col>0</xdr:col>
                    <xdr:colOff>38100</xdr:colOff>
                    <xdr:row>0</xdr:row>
                    <xdr:rowOff>38100</xdr:rowOff>
                  </from>
                  <to>
                    <xdr:col>0</xdr:col>
                    <xdr:colOff>647700</xdr:colOff>
                    <xdr:row>1</xdr:row>
                    <xdr:rowOff>76200</xdr:rowOff>
                  </to>
                </anchor>
              </controlPr>
            </control>
          </mc:Choice>
        </mc:AlternateContent>
        <mc:AlternateContent xmlns:mc="http://schemas.openxmlformats.org/markup-compatibility/2006">
          <mc:Choice Requires="x14">
            <control shapeId="88066" r:id="rId5" name="Button 2">
              <controlPr locked="0" defaultSize="0" print="0" autoFill="0" autoPict="0" macro="[0]!ShowMenu">
                <anchor>
                  <from>
                    <xdr:col>0</xdr:col>
                    <xdr:colOff>38100</xdr:colOff>
                    <xdr:row>1</xdr:row>
                    <xdr:rowOff>114300</xdr:rowOff>
                  </from>
                  <to>
                    <xdr:col>0</xdr:col>
                    <xdr:colOff>647700</xdr:colOff>
                    <xdr:row>2</xdr:row>
                    <xdr:rowOff>114300</xdr:rowOff>
                  </to>
                </anchor>
              </controlPr>
            </control>
          </mc:Choice>
        </mc:AlternateContent>
        <mc:AlternateContent xmlns:mc="http://schemas.openxmlformats.org/markup-compatibility/2006">
          <mc:Choice Requires="x14">
            <control shapeId="88067" r:id="rId6" name="Button 3">
              <controlPr locked="0" defaultSize="0" print="0" autoFill="0" autoPict="0" macro="[0]!PrevSheet">
                <anchor>
                  <from>
                    <xdr:col>0</xdr:col>
                    <xdr:colOff>38100</xdr:colOff>
                    <xdr:row>3</xdr:row>
                    <xdr:rowOff>0</xdr:rowOff>
                  </from>
                  <to>
                    <xdr:col>0</xdr:col>
                    <xdr:colOff>228600</xdr:colOff>
                    <xdr:row>4</xdr:row>
                    <xdr:rowOff>0</xdr:rowOff>
                  </to>
                </anchor>
              </controlPr>
            </control>
          </mc:Choice>
        </mc:AlternateContent>
        <mc:AlternateContent xmlns:mc="http://schemas.openxmlformats.org/markup-compatibility/2006">
          <mc:Choice Requires="x14">
            <control shapeId="88068" r:id="rId7" name="Button 4">
              <controlPr locked="0" defaultSize="0" print="0" autoFill="0" autoPict="0" macro="[0]!HideActiveSheet">
                <anchor>
                  <from>
                    <xdr:col>0</xdr:col>
                    <xdr:colOff>228600</xdr:colOff>
                    <xdr:row>3</xdr:row>
                    <xdr:rowOff>0</xdr:rowOff>
                  </from>
                  <to>
                    <xdr:col>0</xdr:col>
                    <xdr:colOff>419100</xdr:colOff>
                    <xdr:row>4</xdr:row>
                    <xdr:rowOff>0</xdr:rowOff>
                  </to>
                </anchor>
              </controlPr>
            </control>
          </mc:Choice>
        </mc:AlternateContent>
        <mc:AlternateContent xmlns:mc="http://schemas.openxmlformats.org/markup-compatibility/2006">
          <mc:Choice Requires="x14">
            <control shapeId="88069" r:id="rId8" name="Button 5">
              <controlPr locked="0" defaultSize="0" print="0" autoFill="0" autoPict="0" macro="[0]!NextSheet">
                <anchor>
                  <from>
                    <xdr:col>0</xdr:col>
                    <xdr:colOff>457200</xdr:colOff>
                    <xdr:row>3</xdr:row>
                    <xdr:rowOff>0</xdr:rowOff>
                  </from>
                  <to>
                    <xdr:col>0</xdr:col>
                    <xdr:colOff>647700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Report_backup">
    <tabColor indexed="41"/>
  </sheetPr>
  <dimension ref="B2:Y81"/>
  <sheetViews>
    <sheetView workbookViewId="0"/>
  </sheetViews>
  <sheetFormatPr defaultColWidth="9.140625" defaultRowHeight="12.75"/>
  <cols>
    <col min="1" max="1" width="11.42578125" style="191" customWidth="1"/>
    <col min="2" max="2" width="10.140625" style="191" customWidth="1"/>
    <col min="3" max="3" width="8.85546875" style="191" bestFit="1" customWidth="1"/>
    <col min="4" max="4" width="11.140625" style="191" bestFit="1" customWidth="1"/>
    <col min="5" max="5" width="14.28515625" style="191" bestFit="1" customWidth="1"/>
    <col min="6" max="6" width="15.7109375" style="191" bestFit="1" customWidth="1"/>
    <col min="7" max="7" width="12" style="191" bestFit="1" customWidth="1"/>
    <col min="8" max="8" width="11.5703125" style="191" bestFit="1" customWidth="1"/>
    <col min="9" max="9" width="14.28515625" style="191" bestFit="1" customWidth="1"/>
    <col min="10" max="10" width="15.7109375" style="191" bestFit="1" customWidth="1"/>
    <col min="11" max="11" width="12" style="191" bestFit="1" customWidth="1"/>
    <col min="12" max="12" width="11.5703125" style="191" bestFit="1" customWidth="1"/>
    <col min="13" max="13" width="14.28515625" style="191" bestFit="1" customWidth="1"/>
    <col min="14" max="14" width="15.7109375" style="191" bestFit="1" customWidth="1"/>
    <col min="15" max="15" width="12" style="191" bestFit="1" customWidth="1"/>
    <col min="16" max="16" width="11.5703125" style="191" bestFit="1" customWidth="1"/>
    <col min="17" max="17" width="14.28515625" style="191" bestFit="1" customWidth="1"/>
    <col min="18" max="18" width="15.7109375" style="191" bestFit="1" customWidth="1"/>
    <col min="19" max="19" width="12" style="191" bestFit="1" customWidth="1"/>
    <col min="20" max="20" width="11.5703125" style="191" bestFit="1" customWidth="1"/>
    <col min="21" max="21" width="14.28515625" style="191" bestFit="1" customWidth="1"/>
    <col min="22" max="22" width="15.7109375" style="191" bestFit="1" customWidth="1"/>
    <col min="23" max="23" width="12" style="191" bestFit="1" customWidth="1"/>
    <col min="24" max="24" width="11.5703125" style="191" bestFit="1" customWidth="1"/>
    <col min="25" max="16384" width="9.140625" style="191"/>
  </cols>
  <sheetData>
    <row r="2" spans="2:20">
      <c r="B2" s="192"/>
      <c r="C2"/>
    </row>
    <row r="6" spans="2:20" ht="25.5">
      <c r="F6" s="310" t="s">
        <v>276</v>
      </c>
      <c r="G6" s="310"/>
      <c r="H6" s="310"/>
      <c r="I6" s="310"/>
      <c r="J6" s="310"/>
      <c r="K6" s="310"/>
      <c r="L6" s="310"/>
      <c r="M6" s="310"/>
      <c r="N6" s="310"/>
      <c r="O6" s="310"/>
      <c r="P6" s="310"/>
      <c r="Q6" s="310"/>
      <c r="R6" s="310"/>
      <c r="S6" s="310"/>
      <c r="T6" s="310"/>
    </row>
    <row r="8" spans="2:20">
      <c r="C8" s="226"/>
    </row>
    <row r="12" spans="2:20" ht="20.25">
      <c r="D12" s="258" t="s">
        <v>286</v>
      </c>
    </row>
    <row r="65" spans="3:25" s="230" customFormat="1">
      <c r="C65" s="231"/>
      <c r="D65" s="231" t="s">
        <v>270</v>
      </c>
      <c r="E65" s="312" t="s">
        <v>271</v>
      </c>
      <c r="F65" s="315"/>
      <c r="G65" s="315"/>
      <c r="H65" s="314"/>
      <c r="I65" s="312" t="s">
        <v>272</v>
      </c>
      <c r="J65" s="315"/>
      <c r="K65" s="315"/>
      <c r="L65" s="314"/>
      <c r="M65" s="312" t="s">
        <v>273</v>
      </c>
      <c r="N65" s="315"/>
      <c r="O65" s="315"/>
      <c r="P65" s="314"/>
      <c r="Q65" s="312" t="s">
        <v>274</v>
      </c>
      <c r="R65" s="315"/>
      <c r="S65" s="315"/>
      <c r="T65" s="314"/>
      <c r="U65" s="312" t="s">
        <v>275</v>
      </c>
      <c r="V65" s="313"/>
      <c r="W65" s="313"/>
      <c r="X65" s="313"/>
    </row>
    <row r="66" spans="3:25" s="227" customFormat="1">
      <c r="C66" s="241"/>
      <c r="D66" s="241" t="s">
        <v>268</v>
      </c>
      <c r="E66" s="242" t="s">
        <v>267</v>
      </c>
      <c r="F66" s="243" t="s">
        <v>269</v>
      </c>
      <c r="G66" s="243" t="s">
        <v>278</v>
      </c>
      <c r="H66" s="241" t="s">
        <v>277</v>
      </c>
      <c r="I66" s="242" t="s">
        <v>267</v>
      </c>
      <c r="J66" s="243" t="s">
        <v>269</v>
      </c>
      <c r="K66" s="243" t="s">
        <v>278</v>
      </c>
      <c r="L66" s="241" t="s">
        <v>277</v>
      </c>
      <c r="M66" s="242" t="s">
        <v>267</v>
      </c>
      <c r="N66" s="243" t="s">
        <v>269</v>
      </c>
      <c r="O66" s="243" t="s">
        <v>278</v>
      </c>
      <c r="P66" s="241" t="s">
        <v>277</v>
      </c>
      <c r="Q66" s="242" t="s">
        <v>267</v>
      </c>
      <c r="R66" s="243" t="s">
        <v>269</v>
      </c>
      <c r="S66" s="243" t="s">
        <v>278</v>
      </c>
      <c r="T66" s="241" t="s">
        <v>277</v>
      </c>
      <c r="U66" s="243" t="s">
        <v>267</v>
      </c>
      <c r="V66" s="243" t="s">
        <v>269</v>
      </c>
      <c r="W66" s="243" t="s">
        <v>278</v>
      </c>
      <c r="X66" s="243" t="s">
        <v>277</v>
      </c>
      <c r="Y66" s="244"/>
    </row>
    <row r="67" spans="3:25">
      <c r="C67" s="233" t="str">
        <f>'Asset Info'!$C$10</f>
        <v>Crossrail</v>
      </c>
      <c r="D67" s="228">
        <f>ROUND('Annual WLC by Maturity Level '!C35,-5)</f>
        <v>100000</v>
      </c>
      <c r="E67" s="229">
        <f>ROUND('Annual WLC by Maturity Level '!E41,-5)</f>
        <v>0</v>
      </c>
      <c r="F67" s="81">
        <f>ROUND('Annual WLC by Maturity Level '!E78,-5)</f>
        <v>0</v>
      </c>
      <c r="G67" s="83" t="str">
        <f ca="1">IF(ISERROR(IRR('SD-CF'!$B55:$AA55)),"NA",IRR('SD-CF'!$B55:$AA55))</f>
        <v>NA</v>
      </c>
      <c r="H67" s="238" t="str">
        <f>IF(OR(E67=0,F67&lt;=0),"NA",E67/F67)</f>
        <v>NA</v>
      </c>
      <c r="I67" s="229">
        <f>ROUND(SUM('Annual WLC by Maturity Level '!E41:F41),-5)</f>
        <v>0</v>
      </c>
      <c r="J67" s="81">
        <f>ROUND('Annual WLC by Maturity Level '!F78,-5)</f>
        <v>0</v>
      </c>
      <c r="K67" s="83" t="str">
        <f ca="1">IF(ISERROR(IRR('HA1-CF'!$B55:$AA55)),"NA",IRR('HA1-CF'!$B55:$AA55))</f>
        <v>NA</v>
      </c>
      <c r="L67" s="238" t="str">
        <f>IF(OR(I67=0,J67&lt;=0),"NA",I67/J67)</f>
        <v>NA</v>
      </c>
      <c r="M67" s="229">
        <f>ROUND(SUM('Annual WLC by Maturity Level '!E41:G41),-5)</f>
        <v>0</v>
      </c>
      <c r="N67" s="81">
        <f>ROUND('Annual WLC by Maturity Level '!G78,-5)</f>
        <v>0</v>
      </c>
      <c r="O67" s="245" t="str">
        <f ca="1">IF(ISERROR(IRR('HA2-CF'!$B55:$AA55)),"NA",IRR('HA2-CF'!$B55:$AA55))</f>
        <v>NA</v>
      </c>
      <c r="P67" s="238" t="str">
        <f>IF(OR(M67=0,N67&lt;=0),"NA",M67/N67)</f>
        <v>NA</v>
      </c>
      <c r="Q67" s="229">
        <f>ROUND(SUM('Annual WLC by Maturity Level '!E41:H41),-5)</f>
        <v>0</v>
      </c>
      <c r="R67" s="81">
        <f>ROUND('Annual WLC by Maturity Level '!H78,-5)</f>
        <v>0</v>
      </c>
      <c r="S67" s="245" t="str">
        <f ca="1">IF(ISERROR(IRR('PA-CF'!$B55:$AA55)),"NA",IRR('PA-CF'!$B55:$AA55))</f>
        <v>NA</v>
      </c>
      <c r="T67" s="238" t="str">
        <f>IF(OR(Q67=0,R67&lt;=0),"NA",Q67/R67)</f>
        <v>NA</v>
      </c>
      <c r="U67" s="229">
        <f>ROUND(SUM('Annual WLC by Maturity Level '!E41:I41),-5)</f>
        <v>0</v>
      </c>
      <c r="V67" s="81">
        <f>ROUND('Annual WLC by Maturity Level '!I78,-5)</f>
        <v>0</v>
      </c>
      <c r="W67" s="245" t="str">
        <f ca="1">IF(ISERROR(IRR('AG-CF'!$B55:$AA55)),"NA",IRR('AG-CF'!$B55:$AA55))</f>
        <v>NA</v>
      </c>
      <c r="X67" s="238" t="str">
        <f>IF(OR(U67=0,V67&lt;=0),"NA",U67/V67)</f>
        <v>NA</v>
      </c>
    </row>
    <row r="68" spans="3:25">
      <c r="C68" s="233" t="str">
        <f>'Asset Info'!$D$10</f>
        <v>NR Western</v>
      </c>
      <c r="D68" s="228">
        <f>ROUND('Annual WLC by Maturity Level '!C36,-5)</f>
        <v>9900000</v>
      </c>
      <c r="E68" s="229">
        <f>ROUND('Annual WLC by Maturity Level '!E42,-5)</f>
        <v>0</v>
      </c>
      <c r="F68" s="81">
        <f>ROUND('Annual WLC by Maturity Level '!E79,-5)</f>
        <v>0</v>
      </c>
      <c r="G68" s="83">
        <f ca="1">IF(ISERROR(IRR('SD-CF'!$B56:$AA56)),"NA",IRR('SD-CF'!$B56:$AA56))</f>
        <v>0.36922981172067826</v>
      </c>
      <c r="H68" s="238" t="str">
        <f t="shared" ref="H68:H71" si="0">IF(OR(E68=0,F68&lt;=0),"NA",E68/F68)</f>
        <v>NA</v>
      </c>
      <c r="I68" s="229">
        <f>ROUND(SUM('Annual WLC by Maturity Level '!E42:F42),-5)</f>
        <v>100000</v>
      </c>
      <c r="J68" s="81">
        <f>ROUND('Annual WLC by Maturity Level '!F79,-5)</f>
        <v>200000</v>
      </c>
      <c r="K68" s="83">
        <f ca="1">IF(ISERROR(IRR('HA1-CF'!$B56:$AA56)),"NA",IRR('HA1-CF'!$B56:$AA56))</f>
        <v>1.9657445001797411</v>
      </c>
      <c r="L68" s="238">
        <f t="shared" ref="L68:L71" si="1">IF(OR(I68=0,J68&lt;=0),"NA",I68/J68)</f>
        <v>0.5</v>
      </c>
      <c r="M68" s="229">
        <f>ROUND(SUM('Annual WLC by Maturity Level '!E42:G42),-5)</f>
        <v>100000</v>
      </c>
      <c r="N68" s="81">
        <f>ROUND('Annual WLC by Maturity Level '!G79,-5)</f>
        <v>300000</v>
      </c>
      <c r="O68" s="245">
        <f ca="1">IF(ISERROR(IRR('HA2-CF'!$B56:$AA56)),"NA",IRR('HA2-CF'!$B56:$AA56))</f>
        <v>2.0288779021843091</v>
      </c>
      <c r="P68" s="238">
        <f t="shared" ref="P68:P71" si="2">IF(OR(M68=0,N68&lt;=0),"NA",M68/N68)</f>
        <v>0.33333333333333331</v>
      </c>
      <c r="Q68" s="229">
        <f>ROUND(SUM('Annual WLC by Maturity Level '!E42:H42),-5)</f>
        <v>100000</v>
      </c>
      <c r="R68" s="81">
        <f>ROUND('Annual WLC by Maturity Level '!H79,-5)</f>
        <v>500000</v>
      </c>
      <c r="S68" s="245">
        <f ca="1">IF(ISERROR(IRR('PA-CF'!$B56:$AA56)),"NA",IRR('PA-CF'!$B56:$AA56))</f>
        <v>2.0420493115969571</v>
      </c>
      <c r="T68" s="238">
        <f t="shared" ref="T68:T71" si="3">IF(OR(Q68=0,R68&lt;=0),"NA",Q68/R68)</f>
        <v>0.2</v>
      </c>
      <c r="U68" s="229">
        <f>ROUND(SUM('Annual WLC by Maturity Level '!E42:I42),-5)</f>
        <v>200000</v>
      </c>
      <c r="V68" s="81">
        <f>ROUND('Annual WLC by Maturity Level '!I79,-5)</f>
        <v>1000000</v>
      </c>
      <c r="W68" s="245">
        <f ca="1">IF(ISERROR(IRR('AG-CF'!$B56:$AA56)),"NA",IRR('AG-CF'!$B56:$AA56))</f>
        <v>2.0442351030626016</v>
      </c>
      <c r="X68" s="238">
        <f t="shared" ref="X68:X71" si="4">IF(OR(U68=0,V68&lt;=0),"NA",U68/V68)</f>
        <v>0.2</v>
      </c>
    </row>
    <row r="69" spans="3:25">
      <c r="C69" s="233" t="str">
        <f>'Asset Info'!$E$10</f>
        <v>Balfour Beatty</v>
      </c>
      <c r="D69" s="228">
        <f>ROUND('Annual WLC by Maturity Level '!C37,-5)</f>
        <v>0</v>
      </c>
      <c r="E69" s="229">
        <f>ROUND('Annual WLC by Maturity Level '!E43,-5)</f>
        <v>0</v>
      </c>
      <c r="F69" s="81">
        <f>ROUND('Annual WLC by Maturity Level '!E80,-5)</f>
        <v>0</v>
      </c>
      <c r="G69" s="83" t="str">
        <f ca="1">IF(ISERROR(IRR('SD-CF'!$B57:$AA57)),"NA",IRR('SD-CF'!$B57:$AA57))</f>
        <v>NA</v>
      </c>
      <c r="H69" s="238" t="str">
        <f t="shared" si="0"/>
        <v>NA</v>
      </c>
      <c r="I69" s="229">
        <f>ROUND(SUM('Annual WLC by Maturity Level '!E43:F43),-5)</f>
        <v>0</v>
      </c>
      <c r="J69" s="81">
        <f>ROUND('Annual WLC by Maturity Level '!F80,-5)</f>
        <v>0</v>
      </c>
      <c r="K69" s="83" t="str">
        <f ca="1">IF(ISERROR(IRR('HA1-CF'!$B57:$AA57)),"NA",IRR('HA1-CF'!$B57:$AA57))</f>
        <v>NA</v>
      </c>
      <c r="L69" s="238" t="str">
        <f t="shared" si="1"/>
        <v>NA</v>
      </c>
      <c r="M69" s="229">
        <f>ROUND(SUM('Annual WLC by Maturity Level '!E43:G43),-5)</f>
        <v>0</v>
      </c>
      <c r="N69" s="81">
        <f>ROUND('Annual WLC by Maturity Level '!G80,-5)</f>
        <v>0</v>
      </c>
      <c r="O69" s="245" t="str">
        <f ca="1">IF(ISERROR(IRR('HA2-CF'!$B57:$AA57)),"NA",IRR('HA2-CF'!$B57:$AA57))</f>
        <v>NA</v>
      </c>
      <c r="P69" s="238" t="str">
        <f t="shared" si="2"/>
        <v>NA</v>
      </c>
      <c r="Q69" s="229">
        <f>ROUND(SUM('Annual WLC by Maturity Level '!E43:H43),-5)</f>
        <v>0</v>
      </c>
      <c r="R69" s="81">
        <f>ROUND('Annual WLC by Maturity Level '!H80,-5)</f>
        <v>0</v>
      </c>
      <c r="S69" s="245" t="str">
        <f ca="1">IF(ISERROR(IRR('PA-CF'!$B57:$AA57)),"NA",IRR('PA-CF'!$B57:$AA57))</f>
        <v>NA</v>
      </c>
      <c r="T69" s="238" t="str">
        <f t="shared" si="3"/>
        <v>NA</v>
      </c>
      <c r="U69" s="229">
        <f>ROUND(SUM('Annual WLC by Maturity Level '!E43:I43),-5)</f>
        <v>0</v>
      </c>
      <c r="V69" s="81">
        <f>ROUND('Annual WLC by Maturity Level '!I80,-5)</f>
        <v>0</v>
      </c>
      <c r="W69" s="245" t="str">
        <f ca="1">IF(ISERROR(IRR('AG-CF'!$B57:$AA57)),"NA",IRR('AG-CF'!$B57:$AA57))</f>
        <v>NA</v>
      </c>
      <c r="X69" s="238" t="str">
        <f t="shared" si="4"/>
        <v>NA</v>
      </c>
    </row>
    <row r="70" spans="3:25">
      <c r="C70" s="233" t="str">
        <f>'Asset Info'!$F$10</f>
        <v>RSSB</v>
      </c>
      <c r="D70" s="228">
        <f>ROUND('Annual WLC by Maturity Level '!C38,-5)</f>
        <v>0</v>
      </c>
      <c r="E70" s="229">
        <f>ROUND('Annual WLC by Maturity Level '!E44,-5)</f>
        <v>0</v>
      </c>
      <c r="F70" s="81">
        <f>ROUND('Annual WLC by Maturity Level '!E81,-5)</f>
        <v>0</v>
      </c>
      <c r="G70" s="83" t="str">
        <f ca="1">IF(ISERROR(IRR('SD-CF'!$B58:$AA58)),"NA",IRR('SD-CF'!$B58:$AA58))</f>
        <v>NA</v>
      </c>
      <c r="H70" s="238" t="str">
        <f t="shared" si="0"/>
        <v>NA</v>
      </c>
      <c r="I70" s="229">
        <f>ROUND(SUM('Annual WLC by Maturity Level '!E44:F44),-5)</f>
        <v>0</v>
      </c>
      <c r="J70" s="81">
        <f>ROUND('Annual WLC by Maturity Level '!F81,-5)</f>
        <v>0</v>
      </c>
      <c r="K70" s="83" t="str">
        <f ca="1">IF(ISERROR(IRR('HA1-CF'!$B58:$AA58)),"NA",IRR('HA1-CF'!$B58:$AA58))</f>
        <v>NA</v>
      </c>
      <c r="L70" s="238" t="str">
        <f t="shared" si="1"/>
        <v>NA</v>
      </c>
      <c r="M70" s="229">
        <f>ROUND(SUM('Annual WLC by Maturity Level '!E44:G44),-5)</f>
        <v>0</v>
      </c>
      <c r="N70" s="81">
        <f>ROUND('Annual WLC by Maturity Level '!G81,-5)</f>
        <v>0</v>
      </c>
      <c r="O70" s="245" t="str">
        <f ca="1">IF(ISERROR(IRR('HA2-CF'!$B58:$AA58)),"NA",IRR('HA2-CF'!$B58:$AA58))</f>
        <v>NA</v>
      </c>
      <c r="P70" s="238" t="str">
        <f t="shared" si="2"/>
        <v>NA</v>
      </c>
      <c r="Q70" s="229">
        <f>ROUND(SUM('Annual WLC by Maturity Level '!E44:H44),-5)</f>
        <v>100000</v>
      </c>
      <c r="R70" s="81">
        <f>ROUND('Annual WLC by Maturity Level '!H81,-5)</f>
        <v>0</v>
      </c>
      <c r="S70" s="245" t="str">
        <f ca="1">IF(ISERROR(IRR('PA-CF'!$B58:$AA58)),"NA",IRR('PA-CF'!$B58:$AA58))</f>
        <v>NA</v>
      </c>
      <c r="T70" s="238" t="str">
        <f t="shared" si="3"/>
        <v>NA</v>
      </c>
      <c r="U70" s="229">
        <f>ROUND(SUM('Annual WLC by Maturity Level '!E44:I44),-5)</f>
        <v>100000</v>
      </c>
      <c r="V70" s="81">
        <f>ROUND('Annual WLC by Maturity Level '!I81,-5)</f>
        <v>0</v>
      </c>
      <c r="W70" s="245" t="str">
        <f ca="1">IF(ISERROR(IRR('AG-CF'!$B58:$AA58)),"NA",IRR('AG-CF'!$B58:$AA58))</f>
        <v>NA</v>
      </c>
      <c r="X70" s="238" t="str">
        <f t="shared" si="4"/>
        <v>NA</v>
      </c>
    </row>
    <row r="71" spans="3:25">
      <c r="C71" s="234" t="str">
        <f>'Asset Info'!$G$10</f>
        <v>TOTAL</v>
      </c>
      <c r="D71" s="235">
        <f>ROUND('Annual WLC by Maturity Level '!C34,-5)</f>
        <v>9900000</v>
      </c>
      <c r="E71" s="232">
        <f>ROUND('Annual WLC by Maturity Level '!E40,-5)</f>
        <v>100000</v>
      </c>
      <c r="F71" s="236">
        <f>ROUND('Annual WLC by Maturity Level '!E77,-5)</f>
        <v>0</v>
      </c>
      <c r="G71" s="237">
        <f ca="1">IF(ISERROR(IRR('SD-CF'!$B54:$AA54)),"NA",IRR('SD-CF'!$B54:$AA54))</f>
        <v>3.9022451451006024E-2</v>
      </c>
      <c r="H71" s="239" t="str">
        <f t="shared" si="0"/>
        <v>NA</v>
      </c>
      <c r="I71" s="236">
        <f>ROUND(SUM('Annual WLC by Maturity Level '!$E$40:F40),-5)</f>
        <v>100000</v>
      </c>
      <c r="J71" s="236">
        <f>ROUND('Annual WLC by Maturity Level '!F77,-5)</f>
        <v>200000</v>
      </c>
      <c r="K71" s="237">
        <f ca="1">IF(ISERROR(IRR('HA1-CF'!$B54:$AA54)),"NA",IRR('HA1-CF'!$B54:$AA54))</f>
        <v>1.1944047999781016</v>
      </c>
      <c r="L71" s="239">
        <f t="shared" si="1"/>
        <v>0.5</v>
      </c>
      <c r="M71" s="236">
        <f>ROUND(SUM('Annual WLC by Maturity Level '!$E$40:G40),-5)</f>
        <v>100000</v>
      </c>
      <c r="N71" s="236">
        <f>ROUND('Annual WLC by Maturity Level '!G77,-5)</f>
        <v>300000</v>
      </c>
      <c r="O71" s="246">
        <f ca="1">IF(ISERROR(IRR('HA2-CF'!$B54:$AA54)),"NA",IRR('HA2-CF'!$B54:$AA54))</f>
        <v>1.2747954613392065</v>
      </c>
      <c r="P71" s="239">
        <f t="shared" si="2"/>
        <v>0.33333333333333331</v>
      </c>
      <c r="Q71" s="236">
        <f>ROUND(SUM('Annual WLC by Maturity Level '!$E$40:H40),-5)</f>
        <v>200000</v>
      </c>
      <c r="R71" s="236">
        <f>ROUND('Annual WLC by Maturity Level '!H77,-5)</f>
        <v>500000</v>
      </c>
      <c r="S71" s="246">
        <f ca="1">IF(ISERROR(IRR('PA-CF'!$B54:$AA54)),"NA",IRR('PA-CF'!$B54:$AA54))</f>
        <v>1.302427598267565</v>
      </c>
      <c r="T71" s="239">
        <f t="shared" si="3"/>
        <v>0.4</v>
      </c>
      <c r="U71" s="236">
        <f>ROUND(SUM('Annual WLC by Maturity Level '!$E$40:I40),-5)</f>
        <v>200000</v>
      </c>
      <c r="V71" s="236">
        <f>ROUND('Annual WLC by Maturity Level '!I77,-5)</f>
        <v>1000000</v>
      </c>
      <c r="W71" s="246">
        <f ca="1">IF(ISERROR(IRR('AG-CF'!$B54:$AA54)),"NA",IRR('AG-CF'!$B54:$AA54))</f>
        <v>1.3103426277176364</v>
      </c>
      <c r="X71" s="240">
        <f t="shared" si="4"/>
        <v>0.2</v>
      </c>
    </row>
    <row r="72" spans="3:25">
      <c r="C72" s="226"/>
      <c r="D72" s="81"/>
      <c r="E72" s="81"/>
    </row>
    <row r="73" spans="3:25">
      <c r="C73" s="226"/>
      <c r="D73" s="81"/>
      <c r="E73" s="81"/>
    </row>
    <row r="74" spans="3:25" ht="18.75" thickBot="1">
      <c r="D74" s="247"/>
      <c r="E74" s="311" t="s">
        <v>283</v>
      </c>
      <c r="F74" s="311"/>
      <c r="G74" s="311"/>
      <c r="H74" s="311"/>
      <c r="I74" s="311"/>
      <c r="J74" s="311"/>
      <c r="K74" s="311"/>
      <c r="L74" s="311"/>
      <c r="M74" s="311"/>
      <c r="N74" s="311"/>
      <c r="O74" s="311"/>
      <c r="P74" s="311"/>
      <c r="Q74" s="311"/>
      <c r="R74" s="311"/>
      <c r="S74" s="311"/>
      <c r="T74" s="311"/>
      <c r="U74" s="311"/>
      <c r="V74" s="311"/>
      <c r="W74" s="311"/>
      <c r="X74" s="311"/>
    </row>
    <row r="75" spans="3:25" ht="13.5" thickTop="1">
      <c r="D75" s="231"/>
      <c r="E75" s="312" t="s">
        <v>279</v>
      </c>
      <c r="F75" s="313"/>
      <c r="G75" s="313"/>
      <c r="H75" s="314"/>
      <c r="I75" s="312" t="s">
        <v>272</v>
      </c>
      <c r="J75" s="315"/>
      <c r="K75" s="315"/>
      <c r="L75" s="314"/>
      <c r="M75" s="312" t="s">
        <v>273</v>
      </c>
      <c r="N75" s="315"/>
      <c r="O75" s="315"/>
      <c r="P75" s="314"/>
      <c r="Q75" s="312" t="s">
        <v>274</v>
      </c>
      <c r="R75" s="315"/>
      <c r="S75" s="315"/>
      <c r="T75" s="314"/>
      <c r="U75" s="313" t="s">
        <v>275</v>
      </c>
      <c r="V75" s="313"/>
      <c r="W75" s="313"/>
      <c r="X75" s="313"/>
    </row>
    <row r="76" spans="3:25" s="227" customFormat="1">
      <c r="D76" s="241"/>
      <c r="E76" s="242" t="s">
        <v>280</v>
      </c>
      <c r="F76" s="243" t="s">
        <v>281</v>
      </c>
      <c r="G76" s="243" t="s">
        <v>187</v>
      </c>
      <c r="H76" s="241" t="s">
        <v>282</v>
      </c>
      <c r="I76" s="243" t="s">
        <v>280</v>
      </c>
      <c r="J76" s="243" t="s">
        <v>281</v>
      </c>
      <c r="K76" s="243" t="s">
        <v>187</v>
      </c>
      <c r="L76" s="241" t="s">
        <v>282</v>
      </c>
      <c r="M76" s="243" t="s">
        <v>280</v>
      </c>
      <c r="N76" s="243" t="s">
        <v>281</v>
      </c>
      <c r="O76" s="243" t="s">
        <v>187</v>
      </c>
      <c r="P76" s="241" t="s">
        <v>282</v>
      </c>
      <c r="Q76" s="243" t="s">
        <v>280</v>
      </c>
      <c r="R76" s="243" t="s">
        <v>281</v>
      </c>
      <c r="S76" s="243" t="s">
        <v>187</v>
      </c>
      <c r="T76" s="241" t="s">
        <v>282</v>
      </c>
      <c r="U76" s="243" t="s">
        <v>280</v>
      </c>
      <c r="V76" s="243" t="s">
        <v>281</v>
      </c>
      <c r="W76" s="243" t="s">
        <v>187</v>
      </c>
      <c r="X76" s="243" t="s">
        <v>282</v>
      </c>
    </row>
    <row r="77" spans="3:25">
      <c r="D77" s="233" t="str">
        <f>'Asset Info'!$C$10</f>
        <v>Crossrail</v>
      </c>
      <c r="E77" s="81">
        <f t="array" aca="1" ref="E77:G80" ca="1">ROUND(TRANSPOSE('SD-CF'!$C$63:$F$65),-5)</f>
        <v>0</v>
      </c>
      <c r="F77" s="81">
        <f ca="1"/>
        <v>0</v>
      </c>
      <c r="G77" s="81">
        <f ca="1"/>
        <v>0</v>
      </c>
      <c r="H77" s="249" t="str">
        <f t="array" ref="H77:H80" ca="1">IF(ISNUMBER(TRANSPOSE('SD-CF'!$C$66:$F$66)),TRANSPOSE('SD-CF'!$C$66:$F$66)+1,"NA")</f>
        <v>NA</v>
      </c>
      <c r="I77" s="81">
        <f t="array" aca="1" ref="I77:K80" ca="1">ROUND(TRANSPOSE('HA1-CF'!$C$63:$F$65),-5)</f>
        <v>0</v>
      </c>
      <c r="J77" s="81">
        <f ca="1"/>
        <v>0</v>
      </c>
      <c r="K77" s="81">
        <f ca="1"/>
        <v>0</v>
      </c>
      <c r="L77" s="249" t="str">
        <f t="array" ref="L77:L80" ca="1">IF(ISNUMBER(TRANSPOSE('HA1-CF'!$C$66:$F$66)),TRANSPOSE('HA1-CF'!$C$66:$F$66)+1,"NA")</f>
        <v>NA</v>
      </c>
      <c r="M77" s="81">
        <f t="array" aca="1" ref="M77:O80" ca="1">ROUND(TRANSPOSE('HA2-CF'!$C$63:$F$65),-5)</f>
        <v>0</v>
      </c>
      <c r="N77" s="81">
        <f ca="1"/>
        <v>100000</v>
      </c>
      <c r="O77" s="81">
        <f ca="1"/>
        <v>100000</v>
      </c>
      <c r="P77" s="249" t="str">
        <f t="array" ref="P77:P80" ca="1">IF(ISNUMBER(TRANSPOSE('HA2-CF'!$C$66:$F$66)),TRANSPOSE('HA2-CF'!$C$66:$F$66)+1,"NA")</f>
        <v>NA</v>
      </c>
      <c r="Q77" s="81">
        <f t="array" aca="1" ref="Q77:S80" ca="1">ROUND(TRANSPOSE('PA-CF'!$C$63:$F$65),-5)</f>
        <v>0</v>
      </c>
      <c r="R77" s="81">
        <f ca="1"/>
        <v>100000</v>
      </c>
      <c r="S77" s="81">
        <f ca="1"/>
        <v>100000</v>
      </c>
      <c r="T77" s="249" t="str">
        <f t="array" ref="T77:T80" ca="1">IF(ISNUMBER(TRANSPOSE('PA-CF'!$C$66:$F$66)),TRANSPOSE('PA-CF'!$C$66:$F$66)+1,"NA")</f>
        <v>NA</v>
      </c>
      <c r="U77" s="81">
        <f t="array" aca="1" ref="U77:W80" ca="1">ROUND(TRANSPOSE('AG-CF'!$C$63:$F$65),-5)</f>
        <v>0</v>
      </c>
      <c r="V77" s="81">
        <f ca="1"/>
        <v>100000</v>
      </c>
      <c r="W77" s="81">
        <f ca="1"/>
        <v>100000</v>
      </c>
      <c r="X77" s="251" t="str">
        <f t="array" ref="X77:X80" ca="1">IF(ISNUMBER(TRANSPOSE('AG-CF'!$C$66:$F$66)),TRANSPOSE('AG-CF'!$C$66:$F$66)+1,"NA")</f>
        <v>NA</v>
      </c>
      <c r="Y77" s="248"/>
    </row>
    <row r="78" spans="3:25">
      <c r="D78" s="233" t="str">
        <f>'Asset Info'!$D$10</f>
        <v>NR Western</v>
      </c>
      <c r="E78" s="81">
        <f ca="1"/>
        <v>0</v>
      </c>
      <c r="F78" s="81">
        <f ca="1"/>
        <v>100000</v>
      </c>
      <c r="G78" s="81">
        <f ca="1"/>
        <v>100000</v>
      </c>
      <c r="H78" s="249">
        <f ca="1"/>
        <v>2.4191888428661406</v>
      </c>
      <c r="I78" s="81">
        <f ca="1"/>
        <v>-100000</v>
      </c>
      <c r="J78" s="81">
        <f ca="1"/>
        <v>1400000</v>
      </c>
      <c r="K78" s="81">
        <f ca="1"/>
        <v>1400000</v>
      </c>
      <c r="L78" s="249">
        <f ca="1"/>
        <v>18.068761069788966</v>
      </c>
      <c r="M78" s="81">
        <f ca="1"/>
        <v>-100000</v>
      </c>
      <c r="N78" s="81">
        <f ca="1"/>
        <v>2000000</v>
      </c>
      <c r="O78" s="81">
        <f ca="1"/>
        <v>1900000</v>
      </c>
      <c r="P78" s="249">
        <f ca="1"/>
        <v>22.134522782702092</v>
      </c>
      <c r="Q78" s="81">
        <f ca="1"/>
        <v>-100000</v>
      </c>
      <c r="R78" s="81">
        <f ca="1"/>
        <v>2700000</v>
      </c>
      <c r="S78" s="81">
        <f ca="1"/>
        <v>2600000</v>
      </c>
      <c r="T78" s="249">
        <f ca="1"/>
        <v>23.779637549199805</v>
      </c>
      <c r="U78" s="81">
        <f ca="1"/>
        <v>-100000</v>
      </c>
      <c r="V78" s="81">
        <f ca="1"/>
        <v>3400000</v>
      </c>
      <c r="W78" s="81">
        <f ca="1"/>
        <v>3300000</v>
      </c>
      <c r="X78" s="251">
        <f ca="1"/>
        <v>25.186980352394222</v>
      </c>
      <c r="Y78" s="248"/>
    </row>
    <row r="79" spans="3:25">
      <c r="D79" s="233" t="str">
        <f>'Asset Info'!$E$10</f>
        <v>Balfour Beatty</v>
      </c>
      <c r="E79" s="81">
        <f ca="1"/>
        <v>0</v>
      </c>
      <c r="F79" s="81">
        <f ca="1"/>
        <v>0</v>
      </c>
      <c r="G79" s="81">
        <f ca="1"/>
        <v>0</v>
      </c>
      <c r="H79" s="249" t="str">
        <f ca="1"/>
        <v>NA</v>
      </c>
      <c r="I79" s="81">
        <f ca="1"/>
        <v>0</v>
      </c>
      <c r="J79" s="81">
        <f ca="1"/>
        <v>0</v>
      </c>
      <c r="K79" s="81">
        <f ca="1"/>
        <v>0</v>
      </c>
      <c r="L79" s="249" t="str">
        <f ca="1"/>
        <v>NA</v>
      </c>
      <c r="M79" s="81">
        <f ca="1"/>
        <v>0</v>
      </c>
      <c r="N79" s="81">
        <f ca="1"/>
        <v>0</v>
      </c>
      <c r="O79" s="81">
        <f ca="1"/>
        <v>0</v>
      </c>
      <c r="P79" s="249" t="str">
        <f ca="1"/>
        <v>NA</v>
      </c>
      <c r="Q79" s="81">
        <f ca="1"/>
        <v>0</v>
      </c>
      <c r="R79" s="81">
        <f ca="1"/>
        <v>0</v>
      </c>
      <c r="S79" s="81">
        <f ca="1"/>
        <v>0</v>
      </c>
      <c r="T79" s="249" t="str">
        <f ca="1"/>
        <v>NA</v>
      </c>
      <c r="U79" s="81">
        <f ca="1"/>
        <v>0</v>
      </c>
      <c r="V79" s="81">
        <f ca="1"/>
        <v>0</v>
      </c>
      <c r="W79" s="81">
        <f ca="1"/>
        <v>0</v>
      </c>
      <c r="X79" s="251" t="str">
        <f ca="1"/>
        <v>NA</v>
      </c>
      <c r="Y79" s="248"/>
    </row>
    <row r="80" spans="3:25">
      <c r="D80" s="233" t="str">
        <f>'Asset Info'!$F$10</f>
        <v>RSSB</v>
      </c>
      <c r="E80" s="81">
        <f ca="1"/>
        <v>0</v>
      </c>
      <c r="F80" s="81">
        <f ca="1"/>
        <v>-100000</v>
      </c>
      <c r="G80" s="81">
        <f ca="1"/>
        <v>-100000</v>
      </c>
      <c r="H80" s="249">
        <f ca="1"/>
        <v>-5.3382394459273357</v>
      </c>
      <c r="I80" s="81">
        <f ca="1"/>
        <v>0</v>
      </c>
      <c r="J80" s="81">
        <f ca="1"/>
        <v>-100000</v>
      </c>
      <c r="K80" s="81">
        <f ca="1"/>
        <v>-200000</v>
      </c>
      <c r="L80" s="249">
        <f ca="1"/>
        <v>-4.1178390202639612</v>
      </c>
      <c r="M80" s="81">
        <f ca="1"/>
        <v>0</v>
      </c>
      <c r="N80" s="81">
        <f ca="1"/>
        <v>-100000</v>
      </c>
      <c r="O80" s="81">
        <f ca="1"/>
        <v>-200000</v>
      </c>
      <c r="P80" s="249">
        <f ca="1"/>
        <v>-3.8663403085987822</v>
      </c>
      <c r="Q80" s="81">
        <f ca="1"/>
        <v>0</v>
      </c>
      <c r="R80" s="81">
        <f ca="1"/>
        <v>-200000</v>
      </c>
      <c r="S80" s="81">
        <f ca="1"/>
        <v>-200000</v>
      </c>
      <c r="T80" s="249">
        <f ca="1"/>
        <v>-3.2857008372696273</v>
      </c>
      <c r="U80" s="81">
        <f ca="1"/>
        <v>-100000</v>
      </c>
      <c r="V80" s="81">
        <f ca="1"/>
        <v>-200000</v>
      </c>
      <c r="W80" s="81">
        <f ca="1"/>
        <v>-200000</v>
      </c>
      <c r="X80" s="251">
        <f ca="1"/>
        <v>-2.8861313486951681</v>
      </c>
      <c r="Y80" s="248"/>
    </row>
    <row r="81" spans="4:25">
      <c r="D81" s="234" t="str">
        <f>'Asset Info'!$G$10</f>
        <v>TOTAL</v>
      </c>
      <c r="E81" s="236">
        <f t="array" aca="1" ref="E81:G81" ca="1">ROUND(TRANSPOSE('SD-CF'!$B$63:$B$65),-5)</f>
        <v>-100000</v>
      </c>
      <c r="F81" s="236">
        <f ca="1"/>
        <v>0</v>
      </c>
      <c r="G81" s="236">
        <f ca="1"/>
        <v>0</v>
      </c>
      <c r="H81" s="250">
        <f ca="1">IF(ISNUMBER('SD-CF'!$B$66),'SD-CF'!$B$66+1,"NA")</f>
        <v>0.54037246968599417</v>
      </c>
      <c r="I81" s="236">
        <f t="array" aca="1" ref="I81:K81" ca="1">ROUND(TRANSPOSE('HA1-CF'!$B$63:$B$65),-5)</f>
        <v>-100000</v>
      </c>
      <c r="J81" s="236">
        <f ca="1"/>
        <v>1300000</v>
      </c>
      <c r="K81" s="236">
        <f ca="1"/>
        <v>1200000</v>
      </c>
      <c r="L81" s="250">
        <f ca="1">IF(ISNUMBER('HA1-CF'!$B$66),'HA1-CF'!$B$66+1,"NA")</f>
        <v>11.811021625410698</v>
      </c>
      <c r="M81" s="236">
        <f t="array" aca="1" ref="M81:O81" ca="1">ROUND(TRANSPOSE('HA2-CF'!$B$63:$B$65),-5)</f>
        <v>-100000</v>
      </c>
      <c r="N81" s="236">
        <f ca="1"/>
        <v>1900000</v>
      </c>
      <c r="O81" s="236">
        <f ca="1"/>
        <v>1800000</v>
      </c>
      <c r="P81" s="250">
        <f ca="1">IF(ISNUMBER('HA2-CF'!$B$66),'HA2-CF'!$B$66+1,"NA")</f>
        <v>14.77335086162495</v>
      </c>
      <c r="Q81" s="236">
        <f t="array" aca="1" ref="Q81:S81" ca="1">ROUND(TRANSPOSE('PA-CF'!$B$63:$B$65),-5)</f>
        <v>-200000</v>
      </c>
      <c r="R81" s="236">
        <f ca="1"/>
        <v>2700000</v>
      </c>
      <c r="S81" s="236">
        <f ca="1"/>
        <v>2500000</v>
      </c>
      <c r="T81" s="250">
        <f ca="1">IF(ISNUMBER('PA-CF'!$B$66),'PA-CF'!$B$66+1,"NA")</f>
        <v>16.130983082444395</v>
      </c>
      <c r="U81" s="236">
        <f t="array" aca="1" ref="U81:W81" ca="1">ROUND(TRANSPOSE('AG-CF'!$B$63:$B$65),-5)</f>
        <v>-200000</v>
      </c>
      <c r="V81" s="236">
        <f ca="1"/>
        <v>3300000</v>
      </c>
      <c r="W81" s="236">
        <f ca="1"/>
        <v>3100000</v>
      </c>
      <c r="X81" s="252">
        <f ca="1">IF(ISNUMBER('AG-CF'!$B$66),'AG-CF'!$B$66+1,"NA")</f>
        <v>17.166106984289573</v>
      </c>
      <c r="Y81" s="248"/>
    </row>
  </sheetData>
  <mergeCells count="12">
    <mergeCell ref="U65:X65"/>
    <mergeCell ref="F6:T6"/>
    <mergeCell ref="E65:H65"/>
    <mergeCell ref="I65:L65"/>
    <mergeCell ref="M65:P65"/>
    <mergeCell ref="Q65:T65"/>
    <mergeCell ref="E74:X74"/>
    <mergeCell ref="E75:H75"/>
    <mergeCell ref="I75:L75"/>
    <mergeCell ref="M75:P75"/>
    <mergeCell ref="Q75:T75"/>
    <mergeCell ref="U75:X75"/>
  </mergeCells>
  <phoneticPr fontId="48" type="noConversion"/>
  <pageMargins left="0.7" right="0.7" top="0.75" bottom="0.75" header="0.3" footer="0.3"/>
  <pageSetup paperSize="9" scale="4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51205" r:id="rId5" name="Button 5">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51206" r:id="rId6" name="Button 6">
              <controlPr locked="0" defaultSize="0" print="0" autoFill="0" autoPict="0" macro="[0]!PrevSheet">
                <anchor>
                  <from>
                    <xdr:col>0</xdr:col>
                    <xdr:colOff>19050</xdr:colOff>
                    <xdr:row>2</xdr:row>
                    <xdr:rowOff>133350</xdr:rowOff>
                  </from>
                  <to>
                    <xdr:col>0</xdr:col>
                    <xdr:colOff>219075</xdr:colOff>
                    <xdr:row>3</xdr:row>
                    <xdr:rowOff>133350</xdr:rowOff>
                  </to>
                </anchor>
              </controlPr>
            </control>
          </mc:Choice>
        </mc:AlternateContent>
        <mc:AlternateContent xmlns:mc="http://schemas.openxmlformats.org/markup-compatibility/2006">
          <mc:Choice Requires="x14">
            <control shapeId="51207" r:id="rId7" name="Button 7">
              <controlPr locked="0" defaultSize="0" print="0" autoFill="0" autoPict="0" macro="[0]!HideActiveSheet">
                <anchor>
                  <from>
                    <xdr:col>0</xdr:col>
                    <xdr:colOff>238125</xdr:colOff>
                    <xdr:row>2</xdr:row>
                    <xdr:rowOff>133350</xdr:rowOff>
                  </from>
                  <to>
                    <xdr:col>0</xdr:col>
                    <xdr:colOff>428625</xdr:colOff>
                    <xdr:row>3</xdr:row>
                    <xdr:rowOff>133350</xdr:rowOff>
                  </to>
                </anchor>
              </controlPr>
            </control>
          </mc:Choice>
        </mc:AlternateContent>
        <mc:AlternateContent xmlns:mc="http://schemas.openxmlformats.org/markup-compatibility/2006">
          <mc:Choice Requires="x14">
            <control shapeId="51208" r:id="rId8" name="Button 8">
              <controlPr locked="0" defaultSize="0" print="0" autoFill="0" autoPict="0" macro="[0]!NextSheet">
                <anchor>
                  <from>
                    <xdr:col>0</xdr:col>
                    <xdr:colOff>457200</xdr:colOff>
                    <xdr:row>2</xdr:row>
                    <xdr:rowOff>133350</xdr:rowOff>
                  </from>
                  <to>
                    <xdr:col>0</xdr:col>
                    <xdr:colOff>657225</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BCase">
    <tabColor indexed="41"/>
    <pageSetUpPr fitToPage="1"/>
  </sheetPr>
  <dimension ref="A1:AU67"/>
  <sheetViews>
    <sheetView tabSelected="1" zoomScale="90" zoomScaleNormal="90" workbookViewId="0"/>
  </sheetViews>
  <sheetFormatPr defaultColWidth="9.140625" defaultRowHeight="12.75"/>
  <cols>
    <col min="1" max="1" width="10.140625" style="3" customWidth="1"/>
    <col min="2" max="2" width="4.140625" style="3" customWidth="1"/>
    <col min="3" max="3" width="11.42578125" style="3" customWidth="1"/>
    <col min="4" max="4" width="4.140625" style="3" customWidth="1"/>
    <col min="5" max="5" width="3.28515625" style="3" customWidth="1"/>
    <col min="6" max="6" width="2.7109375" style="3" customWidth="1"/>
    <col min="7" max="7" width="9.85546875" style="3" customWidth="1"/>
    <col min="8" max="8" width="11" style="3" customWidth="1"/>
    <col min="9" max="9" width="4" style="3" bestFit="1" customWidth="1"/>
    <col min="10" max="10" width="2.7109375" style="3" customWidth="1"/>
    <col min="11" max="11" width="3.28515625" style="3" customWidth="1"/>
    <col min="12" max="12" width="12.5703125" style="3" customWidth="1"/>
    <col min="13" max="13" width="4.85546875" style="3" customWidth="1"/>
    <col min="14" max="14" width="16.7109375" style="3" customWidth="1"/>
    <col min="15" max="15" width="14.7109375" style="3" bestFit="1" customWidth="1"/>
    <col min="16" max="16" width="2.42578125" style="3" customWidth="1"/>
    <col min="17" max="17" width="11.42578125" style="3" customWidth="1"/>
    <col min="18" max="18" width="2.42578125" style="3" customWidth="1"/>
    <col min="19" max="19" width="11.42578125" style="3" customWidth="1"/>
    <col min="20" max="20" width="2.42578125" style="3" customWidth="1"/>
    <col min="21" max="21" width="14.5703125" style="3" customWidth="1"/>
    <col min="22" max="22" width="16.42578125" style="3" customWidth="1"/>
    <col min="23" max="23" width="2.85546875" style="3" customWidth="1"/>
    <col min="24" max="24" width="11.5703125" style="3" customWidth="1"/>
    <col min="25" max="25" width="3.140625" style="3" customWidth="1"/>
    <col min="26" max="26" width="13.5703125" style="3" customWidth="1"/>
    <col min="27" max="27" width="3.28515625" style="3" customWidth="1"/>
    <col min="28" max="28" width="14.42578125" style="3" customWidth="1"/>
    <col min="29" max="29" width="14" style="3" customWidth="1"/>
    <col min="30" max="30" width="3.85546875" style="3" customWidth="1"/>
    <col min="31" max="31" width="12.5703125" style="3" customWidth="1"/>
    <col min="32" max="32" width="2.7109375" style="3" customWidth="1"/>
    <col min="33" max="33" width="15.42578125" style="3" customWidth="1"/>
    <col min="34" max="34" width="3" style="3" customWidth="1"/>
    <col min="35" max="35" width="14.140625" style="3" customWidth="1"/>
    <col min="36" max="36" width="16.140625" style="3" customWidth="1"/>
    <col min="37" max="37" width="3.85546875" style="3" customWidth="1"/>
    <col min="38" max="38" width="12" style="3" customWidth="1"/>
    <col min="39" max="39" width="4.140625" style="3" customWidth="1"/>
    <col min="40" max="40" width="12.5703125" style="3" customWidth="1"/>
    <col min="41" max="41" width="4.28515625" style="3" customWidth="1"/>
    <col min="42" max="42" width="14.85546875" style="3" customWidth="1"/>
    <col min="43" max="43" width="13.7109375" style="3" customWidth="1"/>
    <col min="44" max="44" width="4.28515625" style="3" customWidth="1"/>
    <col min="45" max="45" width="12.140625" style="3" customWidth="1"/>
    <col min="46" max="46" width="4.28515625" style="3" customWidth="1"/>
    <col min="47" max="47" width="12.140625" style="3" customWidth="1"/>
    <col min="48" max="48" width="4.28515625" style="3" customWidth="1"/>
    <col min="49" max="49" width="12.140625" style="3" customWidth="1"/>
    <col min="50" max="50" width="4.28515625" style="3" customWidth="1"/>
    <col min="51" max="51" width="12.140625" style="3" customWidth="1"/>
    <col min="52" max="16384" width="9.140625" style="3"/>
  </cols>
  <sheetData>
    <row r="1" spans="1:47">
      <c r="A1" s="19"/>
      <c r="B1" s="19"/>
      <c r="C1" s="19"/>
      <c r="D1" s="19"/>
      <c r="E1" s="19"/>
      <c r="F1" s="19"/>
      <c r="G1" s="19"/>
      <c r="H1" s="19"/>
      <c r="I1" s="19"/>
      <c r="J1" s="19"/>
      <c r="K1" s="19"/>
      <c r="L1" s="19"/>
      <c r="M1" s="19"/>
      <c r="N1" s="19"/>
      <c r="O1" s="19"/>
      <c r="P1" s="19"/>
      <c r="Q1" s="19"/>
      <c r="R1" s="19"/>
      <c r="S1" s="19"/>
      <c r="T1" s="19"/>
      <c r="U1" s="19"/>
    </row>
    <row r="2" spans="1:47" ht="25.5" customHeight="1">
      <c r="A2" s="19"/>
      <c r="B2" s="19"/>
      <c r="C2" s="19"/>
      <c r="D2" s="68" t="str">
        <f>'Version Control'!$B$11</f>
        <v>RCM Toolkit</v>
      </c>
      <c r="E2" s="19"/>
      <c r="F2" s="19"/>
      <c r="G2" s="19"/>
      <c r="H2" s="19"/>
      <c r="I2" s="19"/>
      <c r="J2" s="19"/>
      <c r="K2" s="19"/>
      <c r="L2" s="19"/>
      <c r="M2" s="19"/>
      <c r="N2" s="221" t="str">
        <f>'Asset Info'!$G$10</f>
        <v>TOTAL</v>
      </c>
      <c r="O2" s="19"/>
      <c r="P2" s="19"/>
      <c r="Q2" s="19"/>
      <c r="R2" s="19"/>
      <c r="S2" s="19"/>
      <c r="T2" s="19"/>
      <c r="U2" s="221" t="str">
        <f>'Asset Info'!$C$10</f>
        <v>Crossrail</v>
      </c>
      <c r="AB2" s="221" t="str">
        <f>'Asset Info'!$D$10</f>
        <v>NR Western</v>
      </c>
      <c r="AI2" s="221" t="str">
        <f>'Asset Info'!$E$10</f>
        <v>Balfour Beatty</v>
      </c>
      <c r="AP2" s="221" t="str">
        <f>'Asset Info'!$F$10</f>
        <v>RSSB</v>
      </c>
    </row>
    <row r="3" spans="1:47" ht="12.2" customHeight="1">
      <c r="A3" s="19"/>
      <c r="B3" s="19"/>
      <c r="C3" s="19"/>
      <c r="D3" s="19"/>
      <c r="E3" s="19"/>
      <c r="F3" s="19"/>
      <c r="G3" s="19"/>
      <c r="H3" s="19"/>
      <c r="I3" s="19"/>
      <c r="J3" s="19"/>
      <c r="K3" s="19"/>
      <c r="L3" s="19"/>
      <c r="M3" s="19"/>
      <c r="N3" s="76" t="s">
        <v>146</v>
      </c>
      <c r="O3" s="77"/>
      <c r="P3" s="77"/>
      <c r="Q3" s="72" t="s">
        <v>144</v>
      </c>
      <c r="R3" s="77"/>
      <c r="S3" s="72" t="s">
        <v>145</v>
      </c>
      <c r="T3" s="19"/>
      <c r="U3" s="76" t="s">
        <v>146</v>
      </c>
      <c r="V3" s="77"/>
      <c r="W3" s="77"/>
      <c r="X3" s="72" t="s">
        <v>144</v>
      </c>
      <c r="Y3" s="77"/>
      <c r="Z3" s="72" t="s">
        <v>145</v>
      </c>
      <c r="AB3" s="76" t="s">
        <v>146</v>
      </c>
      <c r="AC3" s="77"/>
      <c r="AD3" s="77"/>
      <c r="AE3" s="72" t="s">
        <v>144</v>
      </c>
      <c r="AF3" s="77"/>
      <c r="AG3" s="72" t="s">
        <v>145</v>
      </c>
      <c r="AI3" s="76" t="s">
        <v>146</v>
      </c>
      <c r="AJ3" s="77"/>
      <c r="AK3" s="77"/>
      <c r="AL3" s="72" t="s">
        <v>144</v>
      </c>
      <c r="AM3" s="77"/>
      <c r="AN3" s="72" t="s">
        <v>145</v>
      </c>
      <c r="AP3" s="76" t="s">
        <v>146</v>
      </c>
      <c r="AQ3" s="77"/>
      <c r="AR3" s="77"/>
      <c r="AS3" s="72" t="s">
        <v>144</v>
      </c>
      <c r="AT3" s="77"/>
      <c r="AU3" s="72" t="s">
        <v>145</v>
      </c>
    </row>
    <row r="4" spans="1:47" ht="12.75" customHeight="1">
      <c r="A4" s="19"/>
      <c r="B4" s="19"/>
      <c r="C4" s="19"/>
      <c r="D4" s="19"/>
      <c r="E4" s="19"/>
      <c r="F4" s="19"/>
      <c r="G4" s="19"/>
      <c r="H4" s="19"/>
      <c r="I4" s="19"/>
      <c r="J4" s="19"/>
      <c r="K4" s="19"/>
      <c r="L4" s="19"/>
      <c r="M4" s="19"/>
      <c r="N4" s="20"/>
      <c r="O4" s="19"/>
      <c r="P4" s="19"/>
      <c r="Q4" s="20"/>
      <c r="R4" s="19"/>
      <c r="S4" s="20"/>
      <c r="T4" s="19"/>
      <c r="U4" s="19"/>
    </row>
    <row r="5" spans="1:47" ht="12.75" customHeight="1">
      <c r="A5" s="19"/>
      <c r="B5" s="19"/>
      <c r="D5" s="21"/>
      <c r="E5" s="19"/>
      <c r="F5" s="78"/>
      <c r="G5" s="78" t="s">
        <v>73</v>
      </c>
      <c r="H5" s="74"/>
      <c r="I5" s="19"/>
      <c r="J5" s="78"/>
      <c r="L5" s="300" t="s">
        <v>162</v>
      </c>
      <c r="M5" s="70"/>
      <c r="N5" s="19"/>
      <c r="O5" s="20"/>
      <c r="P5" s="19"/>
      <c r="Q5" s="20"/>
      <c r="R5" s="19"/>
      <c r="S5" s="20"/>
      <c r="T5" s="19"/>
      <c r="U5" s="19"/>
    </row>
    <row r="6" spans="1:47" ht="12.75" customHeight="1">
      <c r="A6" s="19"/>
      <c r="B6" s="19"/>
      <c r="C6" s="22" t="s">
        <v>200</v>
      </c>
      <c r="D6" s="21"/>
      <c r="E6" s="19"/>
      <c r="F6" s="78"/>
      <c r="G6" s="84" t="s">
        <v>210</v>
      </c>
      <c r="H6" s="74"/>
      <c r="I6" s="19"/>
      <c r="J6" s="78"/>
      <c r="L6" s="299" t="s">
        <v>210</v>
      </c>
      <c r="M6" s="70"/>
      <c r="N6" s="19"/>
      <c r="O6" s="20"/>
      <c r="P6" s="19"/>
      <c r="Q6" s="20"/>
      <c r="R6" s="19"/>
      <c r="S6" s="20"/>
      <c r="T6" s="19"/>
      <c r="U6" s="19"/>
    </row>
    <row r="7" spans="1:47" ht="12.75" customHeight="1">
      <c r="A7" s="19"/>
      <c r="B7" s="19"/>
      <c r="C7" s="75" t="s">
        <v>202</v>
      </c>
      <c r="D7" s="73">
        <f>(Sens_Current_Risk-50)/50</f>
        <v>0</v>
      </c>
      <c r="E7" s="73"/>
      <c r="F7" s="159">
        <v>50</v>
      </c>
      <c r="G7" s="19"/>
      <c r="I7" s="73">
        <f>(Sens_MLevel_Risk-50)/50</f>
        <v>0</v>
      </c>
      <c r="J7" s="21"/>
      <c r="K7" s="159">
        <v>50</v>
      </c>
      <c r="L7" s="19"/>
      <c r="M7" s="19"/>
      <c r="N7" s="19"/>
      <c r="O7" s="20"/>
      <c r="P7" s="19"/>
      <c r="Q7" s="20"/>
      <c r="R7" s="19"/>
      <c r="S7" s="20"/>
      <c r="T7" s="19"/>
      <c r="U7" s="19"/>
    </row>
    <row r="8" spans="1:47" ht="12.75" customHeight="1">
      <c r="A8" s="19"/>
      <c r="B8" s="19"/>
      <c r="C8" s="75" t="s">
        <v>292</v>
      </c>
      <c r="D8" s="73">
        <f>(Sens_Current_WLC-50)/50</f>
        <v>0</v>
      </c>
      <c r="E8" s="73"/>
      <c r="F8" s="159">
        <v>50</v>
      </c>
      <c r="G8" s="19"/>
      <c r="I8" s="73">
        <f>(Sens_MLevel_WLC-50)/50</f>
        <v>0</v>
      </c>
      <c r="J8" s="21"/>
      <c r="K8" s="159">
        <v>50</v>
      </c>
      <c r="L8" s="19"/>
      <c r="M8" s="19"/>
      <c r="N8" s="19"/>
      <c r="O8" s="20"/>
      <c r="P8" s="19"/>
      <c r="Q8" s="20"/>
      <c r="R8" s="19"/>
      <c r="S8" s="20"/>
      <c r="T8" s="19"/>
      <c r="U8" s="19"/>
    </row>
    <row r="9" spans="1:47" ht="12.75" customHeight="1">
      <c r="A9" s="19"/>
      <c r="B9" s="19"/>
      <c r="C9" s="75" t="s">
        <v>154</v>
      </c>
      <c r="D9" s="73">
        <f>(Sens_Current_RCM_WLC-50)/50</f>
        <v>0</v>
      </c>
      <c r="E9" s="73"/>
      <c r="F9" s="159">
        <v>50</v>
      </c>
      <c r="G9" s="19"/>
      <c r="I9" s="73">
        <f>(Sens_MLevel_RCM_WLC-50)/50</f>
        <v>0</v>
      </c>
      <c r="J9" s="21"/>
      <c r="K9" s="159">
        <v>50</v>
      </c>
      <c r="L9" s="19"/>
      <c r="M9" s="19"/>
      <c r="N9" s="19"/>
      <c r="O9" s="20"/>
      <c r="P9" s="19"/>
      <c r="Q9" s="20"/>
      <c r="R9" s="19"/>
      <c r="S9" s="20"/>
      <c r="T9" s="19"/>
      <c r="U9" s="19"/>
    </row>
    <row r="10" spans="1:47" ht="12.75" customHeight="1">
      <c r="A10" s="19"/>
      <c r="B10" s="19"/>
      <c r="C10" s="75" t="s">
        <v>129</v>
      </c>
      <c r="D10" s="71"/>
      <c r="E10" s="71"/>
      <c r="F10" s="73"/>
      <c r="G10" s="19"/>
      <c r="I10" s="73">
        <f>(Sens_MLevel_Investment-50)/50</f>
        <v>0</v>
      </c>
      <c r="J10" s="21"/>
      <c r="K10" s="159">
        <v>50</v>
      </c>
      <c r="L10" s="19"/>
      <c r="M10" s="19"/>
      <c r="N10" s="19"/>
      <c r="O10" s="20"/>
      <c r="P10" s="19"/>
      <c r="Q10" s="20"/>
      <c r="R10" s="19"/>
      <c r="S10" s="20"/>
      <c r="T10" s="19"/>
      <c r="U10" s="19"/>
    </row>
    <row r="11" spans="1:47" ht="12.75" customHeight="1">
      <c r="A11" s="19"/>
      <c r="B11" s="19"/>
      <c r="C11" s="19"/>
      <c r="D11" s="19"/>
      <c r="E11" s="19"/>
      <c r="F11" s="19"/>
      <c r="G11" s="19"/>
      <c r="H11" s="19"/>
      <c r="I11" s="19"/>
      <c r="J11" s="19"/>
      <c r="K11" s="19"/>
      <c r="L11" s="19"/>
      <c r="M11" s="19"/>
      <c r="N11" s="20"/>
      <c r="O11" s="19"/>
      <c r="P11" s="19"/>
      <c r="Q11" s="20"/>
      <c r="R11" s="19"/>
      <c r="S11" s="20"/>
      <c r="T11" s="19"/>
      <c r="U11" s="19"/>
    </row>
    <row r="12" spans="1:47" ht="12.75" customHeight="1">
      <c r="A12" s="19"/>
      <c r="B12" s="19"/>
      <c r="C12" s="19"/>
      <c r="D12" s="19"/>
      <c r="E12" s="19"/>
      <c r="F12" s="19"/>
      <c r="G12" s="19"/>
      <c r="H12" s="19"/>
      <c r="I12" s="19"/>
      <c r="J12" s="19"/>
      <c r="K12" s="19"/>
      <c r="L12" s="19"/>
      <c r="M12" s="19"/>
      <c r="N12" s="20"/>
      <c r="O12" s="19"/>
      <c r="P12" s="19"/>
      <c r="Q12" s="20"/>
      <c r="R12" s="19"/>
      <c r="S12" s="20"/>
      <c r="T12" s="19"/>
      <c r="U12" s="19"/>
    </row>
    <row r="13" spans="1:47" ht="12.75" customHeight="1">
      <c r="A13" s="19"/>
      <c r="B13" s="19"/>
      <c r="C13" s="19"/>
      <c r="D13" s="19"/>
      <c r="E13" s="19"/>
      <c r="F13" s="19"/>
      <c r="G13" s="19"/>
      <c r="H13" s="19"/>
      <c r="I13" s="19"/>
      <c r="J13" s="19"/>
      <c r="K13" s="19"/>
      <c r="L13" s="19"/>
      <c r="M13" s="19"/>
      <c r="N13" s="19"/>
      <c r="O13" s="66"/>
      <c r="P13" s="66"/>
      <c r="Q13" s="66"/>
      <c r="R13" s="66"/>
      <c r="S13" s="66"/>
      <c r="T13" s="66"/>
      <c r="U13" s="66"/>
    </row>
    <row r="14" spans="1:47">
      <c r="A14" s="19"/>
      <c r="B14" s="19"/>
      <c r="C14" s="79"/>
      <c r="D14" s="79"/>
      <c r="E14" s="79"/>
      <c r="F14" s="79"/>
      <c r="G14" s="79"/>
      <c r="H14" s="79"/>
      <c r="I14" s="79"/>
      <c r="J14" s="79"/>
      <c r="K14" s="79"/>
      <c r="L14" s="79"/>
      <c r="M14" s="79"/>
      <c r="N14" s="80" t="s">
        <v>299</v>
      </c>
      <c r="O14" s="80">
        <f>-SUM('Annual WLC by Maturity Level '!C10:C21)</f>
        <v>-584355.6</v>
      </c>
      <c r="P14" s="79"/>
      <c r="Q14" s="79"/>
      <c r="R14" s="79"/>
      <c r="S14" s="79"/>
      <c r="T14" s="79"/>
      <c r="U14" s="80" t="s">
        <v>299</v>
      </c>
      <c r="V14" s="80">
        <f>-SUM('Annual WLC by Maturity Level '!$C$10:$C$12)</f>
        <v>-70000</v>
      </c>
      <c r="AB14" s="80" t="s">
        <v>299</v>
      </c>
      <c r="AC14" s="80">
        <f>-SUM('Annual WLC by Maturity Level '!$C$13:$C$15)</f>
        <v>-514355.6</v>
      </c>
      <c r="AH14" s="80"/>
      <c r="AI14" s="80" t="s">
        <v>299</v>
      </c>
      <c r="AJ14" s="80">
        <f>-SUM('Annual WLC by Maturity Level '!$C$16:$C$18)</f>
        <v>0</v>
      </c>
      <c r="AP14" s="80" t="s">
        <v>299</v>
      </c>
      <c r="AQ14" s="80">
        <f>-SUM('Annual WLC by Maturity Level '!$C$19:$C$21)</f>
        <v>0</v>
      </c>
    </row>
    <row r="15" spans="1:47">
      <c r="A15" s="19"/>
      <c r="B15" s="19"/>
      <c r="C15" s="79"/>
      <c r="D15" s="79"/>
      <c r="E15" s="79"/>
      <c r="F15" s="79"/>
      <c r="G15" s="79"/>
      <c r="H15" s="79"/>
      <c r="I15" s="79"/>
      <c r="J15" s="79"/>
      <c r="K15" s="79"/>
      <c r="L15" s="79"/>
      <c r="M15" s="79"/>
      <c r="N15" s="80" t="s">
        <v>301</v>
      </c>
      <c r="O15" s="80">
        <f>-SUM('Annual WLC by Maturity Level '!C22:C25)</f>
        <v>-9350000</v>
      </c>
      <c r="P15" s="79"/>
      <c r="Q15" s="79"/>
      <c r="R15" s="79"/>
      <c r="S15" s="79"/>
      <c r="T15" s="79"/>
      <c r="U15" s="80" t="s">
        <v>301</v>
      </c>
      <c r="V15" s="80">
        <f>-SUM('Annual WLC by Maturity Level '!$C$22)</f>
        <v>0</v>
      </c>
      <c r="AB15" s="80" t="s">
        <v>301</v>
      </c>
      <c r="AC15" s="80">
        <f>-SUM('Annual WLC by Maturity Level '!$C$23)</f>
        <v>-9350000</v>
      </c>
      <c r="AH15" s="80"/>
      <c r="AI15" s="80" t="s">
        <v>301</v>
      </c>
      <c r="AJ15" s="80">
        <f>-SUM('Annual WLC by Maturity Level '!$C$24)</f>
        <v>0</v>
      </c>
      <c r="AP15" s="80" t="s">
        <v>301</v>
      </c>
      <c r="AQ15" s="80">
        <f>-SUM('Annual WLC by Maturity Level '!$C$25)</f>
        <v>0</v>
      </c>
    </row>
    <row r="16" spans="1:47">
      <c r="A16" s="19"/>
      <c r="B16" s="19"/>
      <c r="C16" s="79"/>
      <c r="D16" s="79"/>
      <c r="E16" s="79"/>
      <c r="F16" s="79"/>
      <c r="G16" s="79"/>
      <c r="H16" s="79"/>
      <c r="I16" s="79"/>
      <c r="J16" s="79"/>
      <c r="K16" s="79"/>
      <c r="L16" s="79"/>
      <c r="M16" s="79"/>
      <c r="N16" s="80" t="s">
        <v>206</v>
      </c>
      <c r="O16" s="80">
        <f>-SUM('Annual WLC by Maturity Level '!C26:C33)</f>
        <v>-15006.75</v>
      </c>
      <c r="P16" s="79"/>
      <c r="Q16" s="79"/>
      <c r="R16" s="79"/>
      <c r="S16" s="79"/>
      <c r="T16" s="79"/>
      <c r="U16" s="80" t="s">
        <v>206</v>
      </c>
      <c r="V16" s="80">
        <f>-SUM('Annual WLC by Maturity Level '!$C$26:$C$27)</f>
        <v>-6.75</v>
      </c>
      <c r="AB16" s="80" t="s">
        <v>206</v>
      </c>
      <c r="AC16" s="80">
        <f>-SUM('Annual WLC by Maturity Level '!$C$28:$C$29)</f>
        <v>-15000</v>
      </c>
      <c r="AH16" s="80"/>
      <c r="AI16" s="80" t="s">
        <v>206</v>
      </c>
      <c r="AJ16" s="80">
        <f>-SUM('Annual WLC by Maturity Level '!$C$30:$C$31)</f>
        <v>0</v>
      </c>
      <c r="AP16" s="80" t="s">
        <v>206</v>
      </c>
      <c r="AQ16" s="80">
        <f>-SUM('Annual WLC by Maturity Level '!$C$32:$C$33)</f>
        <v>0</v>
      </c>
    </row>
    <row r="17" spans="1:47">
      <c r="A17" s="19"/>
      <c r="B17" s="19"/>
      <c r="C17" s="79"/>
      <c r="D17" s="79"/>
      <c r="E17" s="79"/>
      <c r="F17" s="79"/>
      <c r="G17" s="79"/>
      <c r="H17" s="79"/>
      <c r="I17" s="79"/>
      <c r="J17" s="79"/>
      <c r="K17" s="79"/>
      <c r="L17" s="79"/>
      <c r="M17" s="79"/>
      <c r="N17" s="81" t="s">
        <v>207</v>
      </c>
      <c r="O17" s="81">
        <f>SUM(O14:O16)</f>
        <v>-9949362.3499999996</v>
      </c>
      <c r="P17" s="79"/>
      <c r="Q17" s="79"/>
      <c r="R17" s="79"/>
      <c r="S17" s="79"/>
      <c r="T17" s="79"/>
      <c r="U17" s="81" t="s">
        <v>207</v>
      </c>
      <c r="V17" s="81">
        <f>SUM(V14:V16)</f>
        <v>-70006.75</v>
      </c>
      <c r="AB17" s="81" t="s">
        <v>207</v>
      </c>
      <c r="AC17" s="81">
        <f>SUM(AC14:AC16)</f>
        <v>-9879355.5999999996</v>
      </c>
      <c r="AH17" s="81"/>
      <c r="AI17" s="81" t="s">
        <v>207</v>
      </c>
      <c r="AJ17" s="81">
        <f>SUM(AJ14:AJ16)</f>
        <v>0</v>
      </c>
      <c r="AP17" s="81" t="s">
        <v>207</v>
      </c>
      <c r="AQ17" s="81">
        <f>SUM(AQ14:AQ16)</f>
        <v>0</v>
      </c>
    </row>
    <row r="18" spans="1:47">
      <c r="A18" s="19"/>
      <c r="B18" s="19"/>
      <c r="C18" s="79"/>
      <c r="D18" s="79"/>
      <c r="E18" s="79"/>
      <c r="F18" s="79"/>
      <c r="G18" s="79"/>
      <c r="H18" s="79"/>
      <c r="I18" s="79"/>
      <c r="J18" s="79"/>
      <c r="K18" s="79"/>
      <c r="L18" s="79"/>
      <c r="M18" s="79"/>
      <c r="N18" s="79"/>
      <c r="O18" s="81"/>
      <c r="P18" s="79"/>
      <c r="Q18" s="79"/>
      <c r="R18" s="79"/>
      <c r="S18" s="81"/>
      <c r="T18" s="79"/>
      <c r="U18" s="79"/>
    </row>
    <row r="19" spans="1:47">
      <c r="A19" s="19"/>
      <c r="B19" s="19"/>
      <c r="C19" s="79"/>
      <c r="D19" s="79"/>
      <c r="E19" s="79"/>
      <c r="F19" s="79"/>
      <c r="G19" s="81" t="s">
        <v>129</v>
      </c>
      <c r="H19" s="81">
        <f>'Annual WLC by Maturity Level '!E40</f>
        <v>70000</v>
      </c>
      <c r="I19" s="79"/>
      <c r="J19" s="79"/>
      <c r="K19" s="79"/>
      <c r="L19" s="79"/>
      <c r="M19" s="79"/>
      <c r="N19" s="81" t="s">
        <v>223</v>
      </c>
      <c r="O19" s="79"/>
      <c r="P19" s="79"/>
      <c r="Q19" s="81">
        <f ca="1">'SD-CF'!B63</f>
        <v>-68816.425120772939</v>
      </c>
      <c r="R19" s="79"/>
      <c r="S19" s="79"/>
      <c r="T19" s="79"/>
      <c r="U19" s="81" t="s">
        <v>223</v>
      </c>
      <c r="V19" s="79"/>
      <c r="W19" s="79"/>
      <c r="X19" s="81">
        <f ca="1">'SD-CF'!C63</f>
        <v>0</v>
      </c>
      <c r="AB19" s="81" t="s">
        <v>223</v>
      </c>
      <c r="AC19" s="79"/>
      <c r="AD19" s="79"/>
      <c r="AE19" s="81">
        <f ca="1">'SD-CF'!D63</f>
        <v>-48171.497584541066</v>
      </c>
      <c r="AI19" s="81" t="s">
        <v>223</v>
      </c>
      <c r="AJ19" s="79"/>
      <c r="AK19" s="79"/>
      <c r="AL19" s="81">
        <f ca="1">'SD-CF'!E63</f>
        <v>0</v>
      </c>
      <c r="AP19" s="81" t="s">
        <v>223</v>
      </c>
      <c r="AQ19" s="79"/>
      <c r="AR19" s="79"/>
      <c r="AS19" s="81">
        <f ca="1">'SD-CF'!F63</f>
        <v>-20644.927536231884</v>
      </c>
    </row>
    <row r="20" spans="1:47">
      <c r="A20" s="19"/>
      <c r="B20" s="19"/>
      <c r="C20" s="79"/>
      <c r="D20" s="79"/>
      <c r="E20" s="79"/>
      <c r="F20" s="79"/>
      <c r="G20" s="79"/>
      <c r="H20" s="81"/>
      <c r="I20" s="79"/>
      <c r="J20" s="79"/>
      <c r="K20" s="79"/>
      <c r="L20" s="79"/>
      <c r="M20" s="79"/>
      <c r="N20" s="79"/>
      <c r="O20" s="79"/>
      <c r="P20" s="79"/>
      <c r="Q20" s="82"/>
      <c r="R20" s="79"/>
      <c r="S20" s="79"/>
      <c r="T20" s="79"/>
      <c r="U20" s="79"/>
      <c r="V20" s="79"/>
      <c r="W20" s="79"/>
      <c r="X20" s="82"/>
      <c r="AB20" s="79"/>
      <c r="AC20" s="79"/>
      <c r="AD20" s="79"/>
      <c r="AE20" s="82"/>
      <c r="AI20" s="79"/>
      <c r="AJ20" s="79"/>
      <c r="AK20" s="79"/>
      <c r="AL20" s="82"/>
      <c r="AP20" s="79"/>
      <c r="AQ20" s="79"/>
      <c r="AR20" s="79"/>
      <c r="AS20" s="82"/>
    </row>
    <row r="21" spans="1:47">
      <c r="A21" s="19"/>
      <c r="B21" s="19"/>
      <c r="C21" s="79"/>
      <c r="D21" s="79"/>
      <c r="E21" s="79"/>
      <c r="F21" s="79"/>
      <c r="G21" s="79"/>
      <c r="H21" s="81"/>
      <c r="I21" s="79"/>
      <c r="J21" s="79"/>
      <c r="K21" s="79"/>
      <c r="L21" s="79"/>
      <c r="M21" s="79"/>
      <c r="N21" s="80" t="s">
        <v>299</v>
      </c>
      <c r="O21" s="80">
        <f>-SUM('Annual WLC by Maturity Level '!E10:E21)</f>
        <v>-555137.82000000007</v>
      </c>
      <c r="P21" s="79"/>
      <c r="Q21" s="80">
        <f>O21-$O$14</f>
        <v>29217.779999999912</v>
      </c>
      <c r="R21" s="79"/>
      <c r="S21" s="79"/>
      <c r="T21" s="79"/>
      <c r="U21" s="80" t="s">
        <v>299</v>
      </c>
      <c r="V21" s="80">
        <f>-SUM('Annual WLC by Maturity Level '!$E$10:$E$12)</f>
        <v>-66500</v>
      </c>
      <c r="W21" s="79"/>
      <c r="X21" s="80">
        <f>V21-V$14</f>
        <v>3500</v>
      </c>
      <c r="AB21" s="80" t="s">
        <v>299</v>
      </c>
      <c r="AC21" s="80">
        <f>-SUM('Annual WLC by Maturity Level '!$E$13:$E$15)</f>
        <v>-488637.82</v>
      </c>
      <c r="AD21" s="79"/>
      <c r="AE21" s="80">
        <f>AC21-AC$14</f>
        <v>25717.77999999997</v>
      </c>
      <c r="AI21" s="80" t="s">
        <v>299</v>
      </c>
      <c r="AJ21" s="80">
        <f>-SUM('Annual WLC by Maturity Level '!$E$16:$E$18)</f>
        <v>0</v>
      </c>
      <c r="AK21" s="79"/>
      <c r="AL21" s="80">
        <f>AJ21-AJ$14</f>
        <v>0</v>
      </c>
      <c r="AP21" s="80" t="s">
        <v>299</v>
      </c>
      <c r="AQ21" s="80">
        <f>-SUM('Annual WLC by Maturity Level '!$E$19:$E$21)</f>
        <v>0</v>
      </c>
      <c r="AR21" s="79"/>
      <c r="AS21" s="80">
        <f>AQ21-AQ$14</f>
        <v>0</v>
      </c>
    </row>
    <row r="22" spans="1:47">
      <c r="A22" s="19"/>
      <c r="B22" s="19"/>
      <c r="C22" s="79"/>
      <c r="D22" s="79"/>
      <c r="E22" s="79"/>
      <c r="F22" s="79"/>
      <c r="G22" s="79"/>
      <c r="H22" s="81"/>
      <c r="I22" s="79"/>
      <c r="J22" s="79"/>
      <c r="K22" s="79"/>
      <c r="L22" s="79"/>
      <c r="M22" s="79"/>
      <c r="N22" s="80" t="s">
        <v>301</v>
      </c>
      <c r="O22" s="80">
        <f>-SUM('Annual WLC by Maturity Level '!E22:E25)</f>
        <v>-9350000</v>
      </c>
      <c r="P22" s="79"/>
      <c r="Q22" s="80">
        <f>O22-$O$15</f>
        <v>0</v>
      </c>
      <c r="R22" s="79"/>
      <c r="S22" s="79"/>
      <c r="T22" s="79"/>
      <c r="U22" s="80" t="s">
        <v>301</v>
      </c>
      <c r="V22" s="80">
        <f>-SUM('Annual WLC by Maturity Level '!$E$22)</f>
        <v>0</v>
      </c>
      <c r="W22" s="79"/>
      <c r="X22" s="80">
        <f>V22-V$15</f>
        <v>0</v>
      </c>
      <c r="AB22" s="80" t="s">
        <v>301</v>
      </c>
      <c r="AC22" s="80">
        <f>-SUM('Annual WLC by Maturity Level '!$E$23)</f>
        <v>-9350000</v>
      </c>
      <c r="AD22" s="79"/>
      <c r="AE22" s="80">
        <f>AC22-AC$15</f>
        <v>0</v>
      </c>
      <c r="AI22" s="80" t="s">
        <v>301</v>
      </c>
      <c r="AJ22" s="80">
        <f>-SUM('Annual WLC by Maturity Level '!$E$24)</f>
        <v>0</v>
      </c>
      <c r="AK22" s="79"/>
      <c r="AL22" s="80">
        <f>AJ22-AJ$15</f>
        <v>0</v>
      </c>
      <c r="AP22" s="80" t="s">
        <v>301</v>
      </c>
      <c r="AQ22" s="80">
        <f>-SUM('Annual WLC by Maturity Level '!$E$25)</f>
        <v>0</v>
      </c>
      <c r="AR22" s="79"/>
      <c r="AS22" s="80">
        <f>AQ22-AQ$15</f>
        <v>0</v>
      </c>
    </row>
    <row r="23" spans="1:47">
      <c r="A23" s="19"/>
      <c r="B23" s="19"/>
      <c r="C23" s="79"/>
      <c r="D23" s="79"/>
      <c r="E23" s="79"/>
      <c r="F23" s="79"/>
      <c r="G23" s="79"/>
      <c r="H23" s="81"/>
      <c r="I23" s="79"/>
      <c r="J23" s="79"/>
      <c r="K23" s="79"/>
      <c r="L23" s="79"/>
      <c r="M23" s="79"/>
      <c r="N23" s="80" t="s">
        <v>206</v>
      </c>
      <c r="O23" s="80">
        <f>-SUM('Annual WLC by Maturity Level '!E26:E33)</f>
        <v>-40006.75</v>
      </c>
      <c r="P23" s="79"/>
      <c r="Q23" s="80">
        <f>O23-$O$16</f>
        <v>-25000</v>
      </c>
      <c r="R23" s="79"/>
      <c r="S23" s="79"/>
      <c r="T23" s="79"/>
      <c r="U23" s="80" t="s">
        <v>206</v>
      </c>
      <c r="V23" s="80">
        <f>-SUM('Annual WLC by Maturity Level '!$E$26:$E$27)</f>
        <v>-6.75</v>
      </c>
      <c r="W23" s="79"/>
      <c r="X23" s="80">
        <f>V23-V$16</f>
        <v>0</v>
      </c>
      <c r="AB23" s="80" t="s">
        <v>206</v>
      </c>
      <c r="AC23" s="80">
        <f>-SUM('Annual WLC by Maturity Level '!$E$28:$E$29)</f>
        <v>-27500</v>
      </c>
      <c r="AD23" s="79"/>
      <c r="AE23" s="80">
        <f>AC23-AC$16</f>
        <v>-12500</v>
      </c>
      <c r="AI23" s="80" t="s">
        <v>206</v>
      </c>
      <c r="AJ23" s="80">
        <f>-SUM('Annual WLC by Maturity Level '!$E$30:$E$31)</f>
        <v>0</v>
      </c>
      <c r="AK23" s="79"/>
      <c r="AL23" s="80">
        <f>AJ23-AJ$16</f>
        <v>0</v>
      </c>
      <c r="AP23" s="80" t="s">
        <v>206</v>
      </c>
      <c r="AQ23" s="80">
        <f>-SUM('Annual WLC by Maturity Level '!$E$32:$E$33)</f>
        <v>-12500</v>
      </c>
      <c r="AR23" s="79"/>
      <c r="AS23" s="80">
        <f>AQ23-AQ$16</f>
        <v>-12500</v>
      </c>
    </row>
    <row r="24" spans="1:47">
      <c r="A24" s="19"/>
      <c r="B24" s="19"/>
      <c r="C24" s="79"/>
      <c r="D24" s="79"/>
      <c r="E24" s="79"/>
      <c r="F24" s="79"/>
      <c r="G24" s="79"/>
      <c r="H24" s="81"/>
      <c r="I24" s="79"/>
      <c r="J24" s="79"/>
      <c r="K24" s="79"/>
      <c r="L24" s="79"/>
      <c r="M24" s="79"/>
      <c r="N24" s="81" t="s">
        <v>207</v>
      </c>
      <c r="O24" s="81">
        <f>SUM(O21:O23)</f>
        <v>-9945144.5700000003</v>
      </c>
      <c r="P24" s="79"/>
      <c r="Q24" s="81">
        <f>SUM(Q21:Q23)</f>
        <v>4217.7799999999115</v>
      </c>
      <c r="R24" s="79"/>
      <c r="S24" s="79"/>
      <c r="T24" s="79"/>
      <c r="U24" s="81" t="s">
        <v>207</v>
      </c>
      <c r="V24" s="81">
        <f>SUM(V21:V23)</f>
        <v>-66506.75</v>
      </c>
      <c r="W24" s="79"/>
      <c r="X24" s="81">
        <f>SUM(X21:X23)</f>
        <v>3500</v>
      </c>
      <c r="AB24" s="81" t="s">
        <v>207</v>
      </c>
      <c r="AC24" s="81">
        <f>SUM(AC21:AC23)</f>
        <v>-9866137.8200000003</v>
      </c>
      <c r="AD24" s="79"/>
      <c r="AE24" s="81">
        <f>SUM(AE21:AE23)</f>
        <v>13217.77999999997</v>
      </c>
      <c r="AI24" s="81" t="s">
        <v>207</v>
      </c>
      <c r="AJ24" s="81">
        <f>SUM(AJ21:AJ23)</f>
        <v>0</v>
      </c>
      <c r="AK24" s="79"/>
      <c r="AL24" s="81">
        <f>SUM(AL21:AL23)</f>
        <v>0</v>
      </c>
      <c r="AP24" s="81" t="s">
        <v>207</v>
      </c>
      <c r="AQ24" s="81">
        <f>SUM(AQ21:AQ23)</f>
        <v>-12500</v>
      </c>
      <c r="AR24" s="79"/>
      <c r="AS24" s="81">
        <f>SUM(AS21:AS23)</f>
        <v>-12500</v>
      </c>
    </row>
    <row r="25" spans="1:47">
      <c r="A25" s="19"/>
      <c r="B25" s="19"/>
      <c r="C25" s="79"/>
      <c r="D25" s="79"/>
      <c r="E25" s="79"/>
      <c r="F25" s="79"/>
      <c r="G25" s="79"/>
      <c r="H25" s="81"/>
      <c r="I25" s="79"/>
      <c r="J25" s="79"/>
      <c r="K25" s="79"/>
      <c r="L25" s="79"/>
      <c r="M25" s="79"/>
      <c r="N25" s="81" t="s">
        <v>209</v>
      </c>
      <c r="O25" s="79"/>
      <c r="P25" s="79"/>
      <c r="Q25" s="81">
        <f ca="1">'SD-CF'!B65</f>
        <v>-31629.923523299571</v>
      </c>
      <c r="R25" s="79"/>
      <c r="S25" s="79"/>
      <c r="T25" s="79"/>
      <c r="U25" s="81" t="s">
        <v>209</v>
      </c>
      <c r="V25" s="79"/>
      <c r="W25" s="79"/>
      <c r="X25" s="81">
        <f ca="1">'SD-CF'!C65</f>
        <v>30858.118629022858</v>
      </c>
      <c r="AB25" s="81" t="s">
        <v>209</v>
      </c>
      <c r="AC25" s="79"/>
      <c r="AD25" s="79"/>
      <c r="AE25" s="81">
        <f ca="1">'SD-CF'!D65</f>
        <v>68364.451916133927</v>
      </c>
      <c r="AI25" s="81" t="s">
        <v>209</v>
      </c>
      <c r="AJ25" s="79"/>
      <c r="AK25" s="79"/>
      <c r="AL25" s="81">
        <f ca="1">'SD-CF'!E65</f>
        <v>0</v>
      </c>
      <c r="AP25" s="81" t="s">
        <v>209</v>
      </c>
      <c r="AQ25" s="79"/>
      <c r="AR25" s="79"/>
      <c r="AS25" s="81">
        <f ca="1">'SD-CF'!F65</f>
        <v>-130852.49406845638</v>
      </c>
    </row>
    <row r="26" spans="1:47">
      <c r="A26" s="19"/>
      <c r="B26" s="19"/>
      <c r="C26" s="79"/>
      <c r="D26" s="79"/>
      <c r="E26" s="79"/>
      <c r="F26" s="79"/>
      <c r="G26" s="79"/>
      <c r="H26" s="81"/>
      <c r="I26" s="79"/>
      <c r="J26" s="79"/>
      <c r="K26" s="79"/>
      <c r="L26" s="79"/>
      <c r="M26" s="79"/>
      <c r="N26" s="81" t="s">
        <v>220</v>
      </c>
      <c r="O26" s="79"/>
      <c r="P26" s="79"/>
      <c r="Q26" s="67">
        <f ca="1">'SD-CF'!B66</f>
        <v>-0.45962753031400577</v>
      </c>
      <c r="R26" s="79"/>
      <c r="S26" s="83"/>
      <c r="T26" s="79"/>
      <c r="U26" s="81" t="s">
        <v>220</v>
      </c>
      <c r="V26" s="79"/>
      <c r="W26" s="79"/>
      <c r="X26" s="67" t="str">
        <f ca="1">'SD-CF'!C66</f>
        <v>n/a</v>
      </c>
      <c r="AB26" s="81" t="s">
        <v>220</v>
      </c>
      <c r="AC26" s="79"/>
      <c r="AD26" s="79"/>
      <c r="AE26" s="67">
        <f ca="1">'SD-CF'!D66</f>
        <v>1.4191888428661408</v>
      </c>
      <c r="AI26" s="81" t="s">
        <v>220</v>
      </c>
      <c r="AJ26" s="79"/>
      <c r="AK26" s="79"/>
      <c r="AL26" s="67" t="str">
        <f ca="1">'SD-CF'!E66</f>
        <v>n/a</v>
      </c>
      <c r="AP26" s="81" t="s">
        <v>220</v>
      </c>
      <c r="AQ26" s="79"/>
      <c r="AR26" s="79"/>
      <c r="AS26" s="67">
        <f ca="1">'SD-CF'!F66</f>
        <v>-6.3382394459273357</v>
      </c>
    </row>
    <row r="27" spans="1:47">
      <c r="A27" s="19"/>
      <c r="B27" s="19"/>
      <c r="C27" s="79"/>
      <c r="D27" s="79"/>
      <c r="E27" s="79"/>
      <c r="F27" s="79"/>
      <c r="G27" s="79"/>
      <c r="H27" s="81"/>
      <c r="I27" s="79"/>
      <c r="J27" s="79"/>
      <c r="K27" s="79"/>
      <c r="L27" s="79"/>
      <c r="M27" s="79"/>
      <c r="N27" s="81"/>
      <c r="O27" s="79"/>
      <c r="P27" s="79"/>
      <c r="Q27" s="83"/>
      <c r="R27" s="79"/>
      <c r="S27" s="79"/>
      <c r="T27" s="79"/>
      <c r="U27" s="79"/>
    </row>
    <row r="28" spans="1:47">
      <c r="A28" s="19"/>
      <c r="B28" s="19"/>
      <c r="C28" s="79"/>
      <c r="D28" s="79"/>
      <c r="E28" s="79"/>
      <c r="F28" s="79"/>
      <c r="G28" s="81" t="s">
        <v>129</v>
      </c>
      <c r="H28" s="81">
        <f>-'Annual WLC by Maturity Level '!F40</f>
        <v>-49000</v>
      </c>
      <c r="I28" s="79"/>
      <c r="J28" s="79"/>
      <c r="K28" s="79"/>
      <c r="L28" s="79"/>
      <c r="M28" s="79"/>
      <c r="N28" s="81" t="s">
        <v>223</v>
      </c>
      <c r="O28" s="79"/>
      <c r="P28" s="79"/>
      <c r="Q28" s="81">
        <f ca="1">'HA1-CF'!B63</f>
        <v>-113785.03356861636</v>
      </c>
      <c r="R28" s="79"/>
      <c r="S28" s="81">
        <f ca="1">Q28-Q19</f>
        <v>-44968.60844784342</v>
      </c>
      <c r="T28" s="79"/>
      <c r="U28" s="81" t="s">
        <v>223</v>
      </c>
      <c r="V28" s="79"/>
      <c r="W28" s="79"/>
      <c r="X28" s="81">
        <f ca="1">'HA1-CF'!C63</f>
        <v>0</v>
      </c>
      <c r="Y28" s="79"/>
      <c r="Z28" s="81">
        <f ca="1">X28-X19</f>
        <v>0</v>
      </c>
      <c r="AB28" s="81" t="s">
        <v>223</v>
      </c>
      <c r="AC28" s="79"/>
      <c r="AD28" s="79"/>
      <c r="AE28" s="81">
        <f ca="1">'HA1-CF'!D63</f>
        <v>-79649.523498031456</v>
      </c>
      <c r="AF28" s="79"/>
      <c r="AG28" s="81">
        <f ca="1">AE28-AE19</f>
        <v>-31478.02591349039</v>
      </c>
      <c r="AI28" s="81" t="s">
        <v>223</v>
      </c>
      <c r="AJ28" s="79"/>
      <c r="AK28" s="79"/>
      <c r="AL28" s="81">
        <f ca="1">'HA1-CF'!E63</f>
        <v>0</v>
      </c>
      <c r="AM28" s="79"/>
      <c r="AN28" s="81">
        <f ca="1">AL28-AL19</f>
        <v>0</v>
      </c>
      <c r="AP28" s="81" t="s">
        <v>223</v>
      </c>
      <c r="AQ28" s="79"/>
      <c r="AR28" s="79"/>
      <c r="AS28" s="81">
        <f ca="1">'HA1-CF'!F63</f>
        <v>-34135.510070584911</v>
      </c>
      <c r="AT28" s="79"/>
      <c r="AU28" s="81">
        <f ca="1">AS28-AS19</f>
        <v>-13490.582534353027</v>
      </c>
    </row>
    <row r="29" spans="1:47">
      <c r="A29" s="19"/>
      <c r="B29" s="19"/>
      <c r="C29" s="79"/>
      <c r="D29" s="79"/>
      <c r="E29" s="79"/>
      <c r="F29" s="79"/>
      <c r="G29" s="79"/>
      <c r="H29" s="81"/>
      <c r="I29" s="79"/>
      <c r="J29" s="79"/>
      <c r="K29" s="79"/>
      <c r="L29" s="79"/>
      <c r="M29" s="79"/>
      <c r="N29" s="79"/>
      <c r="O29" s="79"/>
      <c r="P29" s="79"/>
      <c r="Q29" s="79"/>
      <c r="R29" s="79"/>
      <c r="S29" s="79"/>
      <c r="T29" s="79"/>
      <c r="U29" s="79"/>
      <c r="V29" s="79"/>
      <c r="W29" s="79"/>
      <c r="X29" s="79"/>
      <c r="Y29" s="79"/>
      <c r="Z29" s="79"/>
      <c r="AB29" s="79"/>
      <c r="AC29" s="79"/>
      <c r="AD29" s="79"/>
      <c r="AE29" s="79"/>
      <c r="AF29" s="79"/>
      <c r="AG29" s="79"/>
      <c r="AI29" s="79"/>
      <c r="AJ29" s="79"/>
      <c r="AK29" s="79"/>
      <c r="AL29" s="79"/>
      <c r="AM29" s="79"/>
      <c r="AN29" s="79"/>
      <c r="AP29" s="79"/>
      <c r="AQ29" s="79"/>
      <c r="AR29" s="79"/>
      <c r="AS29" s="79"/>
      <c r="AT29" s="79"/>
      <c r="AU29" s="79"/>
    </row>
    <row r="30" spans="1:47">
      <c r="A30" s="19"/>
      <c r="B30" s="19"/>
      <c r="C30" s="79"/>
      <c r="D30" s="79"/>
      <c r="E30" s="79"/>
      <c r="F30" s="79"/>
      <c r="G30" s="79"/>
      <c r="H30" s="81"/>
      <c r="I30" s="79"/>
      <c r="J30" s="79"/>
      <c r="K30" s="79"/>
      <c r="L30" s="79"/>
      <c r="M30" s="79"/>
      <c r="N30" s="80" t="s">
        <v>299</v>
      </c>
      <c r="O30" s="80">
        <f>-SUM('Annual WLC by Maturity Level '!F10:F21)</f>
        <v>-537607.152</v>
      </c>
      <c r="P30" s="79"/>
      <c r="Q30" s="80">
        <f>O30-O$14</f>
        <v>46748.447999999975</v>
      </c>
      <c r="R30" s="79"/>
      <c r="S30" s="80">
        <f>O30-O21</f>
        <v>17530.668000000063</v>
      </c>
      <c r="T30" s="79"/>
      <c r="U30" s="80" t="s">
        <v>299</v>
      </c>
      <c r="V30" s="80">
        <f>-SUM('Annual WLC by Maturity Level '!$F$10:$F$12)</f>
        <v>-64400</v>
      </c>
      <c r="W30" s="79"/>
      <c r="X30" s="80">
        <f>V30-V$14</f>
        <v>5600</v>
      </c>
      <c r="Y30" s="79"/>
      <c r="Z30" s="80">
        <f>V30-V21</f>
        <v>2100</v>
      </c>
      <c r="AB30" s="80" t="s">
        <v>299</v>
      </c>
      <c r="AC30" s="80">
        <f>-SUM('Annual WLC by Maturity Level '!$F$13:$F$15)</f>
        <v>-473207.152</v>
      </c>
      <c r="AD30" s="79"/>
      <c r="AE30" s="80">
        <f>AC30-AC$14</f>
        <v>41148.447999999975</v>
      </c>
      <c r="AF30" s="79"/>
      <c r="AG30" s="80">
        <f>AC30-AC21</f>
        <v>15430.668000000005</v>
      </c>
      <c r="AI30" s="80" t="s">
        <v>299</v>
      </c>
      <c r="AJ30" s="80">
        <f>-SUM('Annual WLC by Maturity Level '!$F$16:$F$18)</f>
        <v>0</v>
      </c>
      <c r="AK30" s="79"/>
      <c r="AL30" s="80">
        <f>AJ30-AJ$14</f>
        <v>0</v>
      </c>
      <c r="AM30" s="79"/>
      <c r="AN30" s="80">
        <f>AJ30-AJ21</f>
        <v>0</v>
      </c>
      <c r="AP30" s="80" t="s">
        <v>299</v>
      </c>
      <c r="AQ30" s="80">
        <f>-SUM('Annual WLC by Maturity Level '!$F$19:$F$21)</f>
        <v>0</v>
      </c>
      <c r="AR30" s="79"/>
      <c r="AS30" s="80">
        <f>AQ30-AQ$14</f>
        <v>0</v>
      </c>
      <c r="AT30" s="79"/>
      <c r="AU30" s="80">
        <f>AQ30-AQ21</f>
        <v>0</v>
      </c>
    </row>
    <row r="31" spans="1:47">
      <c r="A31" s="19"/>
      <c r="B31" s="19"/>
      <c r="C31" s="79"/>
      <c r="D31" s="79"/>
      <c r="E31" s="79"/>
      <c r="F31" s="79"/>
      <c r="G31" s="79"/>
      <c r="H31" s="81"/>
      <c r="I31" s="79"/>
      <c r="J31" s="79"/>
      <c r="K31" s="79"/>
      <c r="L31" s="79"/>
      <c r="M31" s="79"/>
      <c r="N31" s="80" t="s">
        <v>301</v>
      </c>
      <c r="O31" s="80">
        <f>-SUM('Annual WLC by Maturity Level '!F22:F25)</f>
        <v>-9163000</v>
      </c>
      <c r="P31" s="79"/>
      <c r="Q31" s="80">
        <f>O31-O$15</f>
        <v>187000</v>
      </c>
      <c r="R31" s="79"/>
      <c r="S31" s="80">
        <f>O31-O22</f>
        <v>187000</v>
      </c>
      <c r="T31" s="79"/>
      <c r="U31" s="80" t="s">
        <v>301</v>
      </c>
      <c r="V31" s="80">
        <f>-SUM('Annual WLC by Maturity Level '!$F$22)</f>
        <v>0</v>
      </c>
      <c r="W31" s="79"/>
      <c r="X31" s="80">
        <f>V31-V$15</f>
        <v>0</v>
      </c>
      <c r="Y31" s="79"/>
      <c r="Z31" s="80">
        <f>V31-V22</f>
        <v>0</v>
      </c>
      <c r="AB31" s="80" t="s">
        <v>301</v>
      </c>
      <c r="AC31" s="80">
        <f>-SUM('Annual WLC by Maturity Level '!$F$23)</f>
        <v>-9163000</v>
      </c>
      <c r="AD31" s="79"/>
      <c r="AE31" s="80">
        <f>AC31-AC$15</f>
        <v>187000</v>
      </c>
      <c r="AF31" s="79"/>
      <c r="AG31" s="80">
        <f>AC31-AC22</f>
        <v>187000</v>
      </c>
      <c r="AI31" s="80" t="s">
        <v>301</v>
      </c>
      <c r="AJ31" s="80">
        <f>-SUM('Annual WLC by Maturity Level '!$F$24)</f>
        <v>0</v>
      </c>
      <c r="AK31" s="79"/>
      <c r="AL31" s="80">
        <f>AJ31-AJ$15</f>
        <v>0</v>
      </c>
      <c r="AM31" s="79"/>
      <c r="AN31" s="80">
        <f>AJ31-AJ22</f>
        <v>0</v>
      </c>
      <c r="AP31" s="80" t="s">
        <v>301</v>
      </c>
      <c r="AQ31" s="80">
        <f>-SUM('Annual WLC by Maturity Level '!$F$25)</f>
        <v>0</v>
      </c>
      <c r="AR31" s="79"/>
      <c r="AS31" s="80">
        <f>AQ31-AQ$15</f>
        <v>0</v>
      </c>
      <c r="AT31" s="79"/>
      <c r="AU31" s="80">
        <f>AQ31-AQ22</f>
        <v>0</v>
      </c>
    </row>
    <row r="32" spans="1:47">
      <c r="A32" s="19"/>
      <c r="B32" s="19"/>
      <c r="C32" s="79"/>
      <c r="D32" s="79"/>
      <c r="E32" s="79"/>
      <c r="F32" s="79"/>
      <c r="G32" s="79"/>
      <c r="H32" s="81"/>
      <c r="I32" s="79"/>
      <c r="J32" s="79"/>
      <c r="K32" s="79"/>
      <c r="L32" s="79"/>
      <c r="M32" s="79"/>
      <c r="N32" s="80" t="s">
        <v>206</v>
      </c>
      <c r="O32" s="80">
        <f>-SUM('Annual WLC by Maturity Level '!F26:F33)</f>
        <v>-54706.75</v>
      </c>
      <c r="P32" s="79"/>
      <c r="Q32" s="80">
        <f>O32-O$16</f>
        <v>-39700</v>
      </c>
      <c r="R32" s="79"/>
      <c r="S32" s="80">
        <f>O32-O23</f>
        <v>-14700</v>
      </c>
      <c r="T32" s="79"/>
      <c r="U32" s="80" t="s">
        <v>206</v>
      </c>
      <c r="V32" s="80">
        <f>-SUM('Annual WLC by Maturity Level '!$F$26:$F$27)</f>
        <v>-6.75</v>
      </c>
      <c r="W32" s="79"/>
      <c r="X32" s="80">
        <f>V32-V$16</f>
        <v>0</v>
      </c>
      <c r="Y32" s="79"/>
      <c r="Z32" s="80">
        <f>V32-V23</f>
        <v>0</v>
      </c>
      <c r="AB32" s="80" t="s">
        <v>206</v>
      </c>
      <c r="AC32" s="80">
        <f>-SUM('Annual WLC by Maturity Level '!$F$28:$F$29)</f>
        <v>-37790</v>
      </c>
      <c r="AD32" s="79"/>
      <c r="AE32" s="80">
        <f>AC32-AC$16</f>
        <v>-22790</v>
      </c>
      <c r="AF32" s="79"/>
      <c r="AG32" s="80">
        <f>AC32-AC23</f>
        <v>-10290</v>
      </c>
      <c r="AI32" s="80" t="s">
        <v>206</v>
      </c>
      <c r="AJ32" s="80">
        <f>-SUM('Annual WLC by Maturity Level '!$F$30:$F$31)</f>
        <v>0</v>
      </c>
      <c r="AK32" s="79"/>
      <c r="AL32" s="80">
        <f>AJ32-AJ$16</f>
        <v>0</v>
      </c>
      <c r="AM32" s="79"/>
      <c r="AN32" s="80">
        <f>AJ32-AJ23</f>
        <v>0</v>
      </c>
      <c r="AP32" s="80" t="s">
        <v>206</v>
      </c>
      <c r="AQ32" s="80">
        <f>-SUM('Annual WLC by Maturity Level '!$F$32:$F$33)</f>
        <v>-16910</v>
      </c>
      <c r="AR32" s="79"/>
      <c r="AS32" s="80">
        <f>AQ32-AQ$16</f>
        <v>-16910</v>
      </c>
      <c r="AT32" s="79"/>
      <c r="AU32" s="80">
        <f>AQ32-AQ23</f>
        <v>-4410</v>
      </c>
    </row>
    <row r="33" spans="1:47">
      <c r="A33" s="19"/>
      <c r="B33" s="19"/>
      <c r="C33" s="79"/>
      <c r="D33" s="79"/>
      <c r="E33" s="79"/>
      <c r="F33" s="79"/>
      <c r="G33" s="79"/>
      <c r="H33" s="81"/>
      <c r="I33" s="79"/>
      <c r="J33" s="79"/>
      <c r="K33" s="79"/>
      <c r="L33" s="79"/>
      <c r="M33" s="79"/>
      <c r="N33" s="81" t="s">
        <v>207</v>
      </c>
      <c r="O33" s="81">
        <f>SUM(O30:O32)</f>
        <v>-9755313.9020000007</v>
      </c>
      <c r="P33" s="79"/>
      <c r="Q33" s="81">
        <f>SUM(Q30:Q32)</f>
        <v>194048.44799999997</v>
      </c>
      <c r="R33" s="79"/>
      <c r="S33" s="81">
        <f>SUM(S30:S32)</f>
        <v>189830.66800000006</v>
      </c>
      <c r="T33" s="79"/>
      <c r="U33" s="81" t="s">
        <v>207</v>
      </c>
      <c r="V33" s="81">
        <f>SUM(V30:V32)</f>
        <v>-64406.75</v>
      </c>
      <c r="W33" s="79"/>
      <c r="X33" s="81">
        <f>SUM(X30:X32)</f>
        <v>5600</v>
      </c>
      <c r="Y33" s="79"/>
      <c r="Z33" s="81">
        <f>SUM(Z30:Z32)</f>
        <v>2100</v>
      </c>
      <c r="AB33" s="81" t="s">
        <v>207</v>
      </c>
      <c r="AC33" s="81">
        <f>SUM(AC30:AC32)</f>
        <v>-9673997.1520000007</v>
      </c>
      <c r="AD33" s="79"/>
      <c r="AE33" s="81">
        <f>SUM(AE30:AE32)</f>
        <v>205358.44799999997</v>
      </c>
      <c r="AF33" s="79"/>
      <c r="AG33" s="81">
        <f>SUM(AG30:AG32)</f>
        <v>192140.66800000001</v>
      </c>
      <c r="AI33" s="81" t="s">
        <v>207</v>
      </c>
      <c r="AJ33" s="81">
        <f>SUM(AJ30:AJ32)</f>
        <v>0</v>
      </c>
      <c r="AK33" s="79"/>
      <c r="AL33" s="81">
        <f>SUM(AL30:AL32)</f>
        <v>0</v>
      </c>
      <c r="AM33" s="79"/>
      <c r="AN33" s="81">
        <f>SUM(AN30:AN32)</f>
        <v>0</v>
      </c>
      <c r="AP33" s="81" t="s">
        <v>207</v>
      </c>
      <c r="AQ33" s="81">
        <f>SUM(AQ30:AQ32)</f>
        <v>-16910</v>
      </c>
      <c r="AR33" s="79"/>
      <c r="AS33" s="81">
        <f>SUM(AS30:AS32)</f>
        <v>-16910</v>
      </c>
      <c r="AT33" s="79"/>
      <c r="AU33" s="81">
        <f>SUM(AU30:AU32)</f>
        <v>-4410</v>
      </c>
    </row>
    <row r="34" spans="1:47">
      <c r="A34" s="19"/>
      <c r="B34" s="19"/>
      <c r="C34" s="79"/>
      <c r="D34" s="79"/>
      <c r="E34" s="79"/>
      <c r="F34" s="79"/>
      <c r="G34" s="79"/>
      <c r="H34" s="81"/>
      <c r="I34" s="79"/>
      <c r="J34" s="79"/>
      <c r="K34" s="79"/>
      <c r="L34" s="79"/>
      <c r="M34" s="79"/>
      <c r="N34" s="81" t="s">
        <v>209</v>
      </c>
      <c r="O34" s="79"/>
      <c r="P34" s="79"/>
      <c r="Q34" s="81">
        <f ca="1">'HA1-CF'!B65</f>
        <v>1230132.4585583936</v>
      </c>
      <c r="R34" s="79"/>
      <c r="S34" s="81">
        <f ca="1">Q34-Q25</f>
        <v>1261762.3820816933</v>
      </c>
      <c r="T34" s="79"/>
      <c r="U34" s="81" t="s">
        <v>209</v>
      </c>
      <c r="V34" s="79"/>
      <c r="W34" s="79"/>
      <c r="X34" s="81">
        <f ca="1">'HA1-CF'!C65</f>
        <v>45313.818063805469</v>
      </c>
      <c r="Y34" s="79"/>
      <c r="Z34" s="81">
        <f ca="1">X34-X25</f>
        <v>14455.699434782611</v>
      </c>
      <c r="AB34" s="81" t="s">
        <v>209</v>
      </c>
      <c r="AC34" s="79"/>
      <c r="AD34" s="79"/>
      <c r="AE34" s="81">
        <f ca="1">'HA1-CF'!D65</f>
        <v>1359518.6859104407</v>
      </c>
      <c r="AF34" s="79"/>
      <c r="AG34" s="81">
        <f ca="1">AE34-AE25</f>
        <v>1291154.2339943068</v>
      </c>
      <c r="AI34" s="81" t="s">
        <v>209</v>
      </c>
      <c r="AJ34" s="79"/>
      <c r="AK34" s="79"/>
      <c r="AL34" s="81">
        <f ca="1">'HA1-CF'!E65</f>
        <v>0</v>
      </c>
      <c r="AM34" s="79"/>
      <c r="AN34" s="81">
        <f ca="1">AL34-AL25</f>
        <v>0</v>
      </c>
      <c r="AP34" s="81" t="s">
        <v>209</v>
      </c>
      <c r="AQ34" s="79"/>
      <c r="AR34" s="79"/>
      <c r="AS34" s="81">
        <f ca="1">'HA1-CF'!F65</f>
        <v>-174700.04541585286</v>
      </c>
      <c r="AT34" s="79"/>
      <c r="AU34" s="81">
        <f ca="1">AS34-AS25</f>
        <v>-43847.551347396482</v>
      </c>
    </row>
    <row r="35" spans="1:47">
      <c r="A35" s="19"/>
      <c r="B35" s="19"/>
      <c r="C35" s="79"/>
      <c r="D35" s="79"/>
      <c r="E35" s="79"/>
      <c r="F35" s="79"/>
      <c r="G35" s="79"/>
      <c r="H35" s="81"/>
      <c r="I35" s="79"/>
      <c r="J35" s="79"/>
      <c r="K35" s="79"/>
      <c r="L35" s="79"/>
      <c r="M35" s="79"/>
      <c r="N35" s="81" t="s">
        <v>220</v>
      </c>
      <c r="O35" s="79"/>
      <c r="P35" s="79"/>
      <c r="Q35" s="67">
        <f ca="1">'HA1-CF'!B66</f>
        <v>10.811021625410698</v>
      </c>
      <c r="R35" s="19"/>
      <c r="S35" s="67">
        <f ca="1">IF(S28&gt;=0,"n/a",S34/-S28)</f>
        <v>28.058737542326689</v>
      </c>
      <c r="T35" s="79"/>
      <c r="U35" s="81" t="s">
        <v>220</v>
      </c>
      <c r="V35" s="79"/>
      <c r="W35" s="79"/>
      <c r="X35" s="67" t="str">
        <f ca="1">'HA1-CF'!C66</f>
        <v>n/a</v>
      </c>
      <c r="Y35" s="19"/>
      <c r="Z35" s="67" t="str">
        <f ca="1">IF(Z28&gt;=0,"n/a",Z34/-Z28)</f>
        <v>n/a</v>
      </c>
      <c r="AB35" s="81" t="s">
        <v>220</v>
      </c>
      <c r="AC35" s="79"/>
      <c r="AD35" s="79"/>
      <c r="AE35" s="67">
        <f ca="1">'HA1-CF'!D66</f>
        <v>17.068761069788966</v>
      </c>
      <c r="AF35" s="19"/>
      <c r="AG35" s="67">
        <f ca="1">IF(AG28&gt;=0,"n/a",AG34/-AG28)</f>
        <v>41.017636796625254</v>
      </c>
      <c r="AI35" s="81" t="s">
        <v>220</v>
      </c>
      <c r="AJ35" s="79"/>
      <c r="AK35" s="79"/>
      <c r="AL35" s="67" t="str">
        <f ca="1">'HA1-CF'!E66</f>
        <v>n/a</v>
      </c>
      <c r="AM35" s="19"/>
      <c r="AN35" s="67" t="str">
        <f ca="1">IF(AN28&gt;=0,"n/a",AN34/-AN28)</f>
        <v>n/a</v>
      </c>
      <c r="AP35" s="81" t="s">
        <v>220</v>
      </c>
      <c r="AQ35" s="79"/>
      <c r="AR35" s="79"/>
      <c r="AS35" s="67">
        <f ca="1">'HA1-CF'!F66</f>
        <v>-5.1178390202639612</v>
      </c>
      <c r="AT35" s="19"/>
      <c r="AU35" s="67">
        <f ca="1">IF(AU28&gt;=0,"n/a",AU34/-AU28)</f>
        <v>-3.2502340974336064</v>
      </c>
    </row>
    <row r="36" spans="1:47">
      <c r="A36" s="19"/>
      <c r="B36" s="19"/>
      <c r="C36" s="79"/>
      <c r="D36" s="79"/>
      <c r="E36" s="79"/>
      <c r="F36" s="79"/>
      <c r="G36" s="79"/>
      <c r="H36" s="81"/>
      <c r="I36" s="79"/>
      <c r="J36" s="79"/>
      <c r="K36" s="79"/>
      <c r="L36" s="79"/>
      <c r="M36" s="79"/>
      <c r="N36" s="79"/>
      <c r="O36" s="79"/>
      <c r="P36" s="79"/>
      <c r="Q36" s="79"/>
      <c r="R36" s="79"/>
      <c r="S36" s="79"/>
      <c r="T36" s="79"/>
      <c r="U36" s="79"/>
    </row>
    <row r="37" spans="1:47">
      <c r="A37" s="19"/>
      <c r="B37" s="19"/>
      <c r="C37" s="79"/>
      <c r="D37" s="79"/>
      <c r="E37" s="79"/>
      <c r="F37" s="79"/>
      <c r="G37" s="81" t="s">
        <v>129</v>
      </c>
      <c r="H37" s="81">
        <f>-'Annual WLC by Maturity Level '!G40</f>
        <v>-16000</v>
      </c>
      <c r="I37" s="79"/>
      <c r="J37" s="79"/>
      <c r="K37" s="79"/>
      <c r="L37" s="79"/>
      <c r="M37" s="79"/>
      <c r="N37" s="81" t="s">
        <v>223</v>
      </c>
      <c r="O37" s="79"/>
      <c r="P37" s="79"/>
      <c r="Q37" s="81">
        <f ca="1">'HA2-CF'!B63</f>
        <v>-127492.35672507314</v>
      </c>
      <c r="R37" s="79"/>
      <c r="S37" s="81">
        <f ca="1">Q37-Q28</f>
        <v>-13707.323156456783</v>
      </c>
      <c r="T37" s="79"/>
      <c r="U37" s="81" t="s">
        <v>223</v>
      </c>
      <c r="V37" s="79"/>
      <c r="W37" s="79"/>
      <c r="X37" s="81">
        <f ca="1">'HA2-CF'!C63</f>
        <v>0</v>
      </c>
      <c r="Y37" s="79"/>
      <c r="Z37" s="81">
        <f ca="1">X37-X28</f>
        <v>0</v>
      </c>
      <c r="AB37" s="81" t="s">
        <v>223</v>
      </c>
      <c r="AC37" s="79"/>
      <c r="AD37" s="79"/>
      <c r="AE37" s="81">
        <f ca="1">'HA2-CF'!D63</f>
        <v>-89244.649707551187</v>
      </c>
      <c r="AF37" s="79"/>
      <c r="AG37" s="81">
        <f ca="1">AE37-AE28</f>
        <v>-9595.1262095197308</v>
      </c>
      <c r="AI37" s="81" t="s">
        <v>223</v>
      </c>
      <c r="AJ37" s="79"/>
      <c r="AK37" s="79"/>
      <c r="AL37" s="81">
        <f ca="1">'HA2-CF'!E63</f>
        <v>0</v>
      </c>
      <c r="AM37" s="79"/>
      <c r="AN37" s="81">
        <f ca="1">AL37-AL28</f>
        <v>0</v>
      </c>
      <c r="AP37" s="81" t="s">
        <v>223</v>
      </c>
      <c r="AQ37" s="79"/>
      <c r="AR37" s="79"/>
      <c r="AS37" s="81">
        <f ca="1">'HA2-CF'!F63</f>
        <v>-38247.707017521941</v>
      </c>
      <c r="AT37" s="79"/>
      <c r="AU37" s="81">
        <f ca="1">AS37-AS28</f>
        <v>-4112.1969469370306</v>
      </c>
    </row>
    <row r="38" spans="1:47">
      <c r="A38" s="19"/>
      <c r="B38" s="19"/>
      <c r="C38" s="79"/>
      <c r="D38" s="79"/>
      <c r="E38" s="79"/>
      <c r="F38" s="79"/>
      <c r="G38" s="79"/>
      <c r="H38" s="81"/>
      <c r="I38" s="79"/>
      <c r="J38" s="79"/>
      <c r="K38" s="79"/>
      <c r="L38" s="79"/>
      <c r="M38" s="79"/>
      <c r="N38" s="79"/>
      <c r="O38" s="79"/>
      <c r="P38" s="79"/>
      <c r="Q38" s="79"/>
      <c r="R38" s="79"/>
      <c r="S38" s="79"/>
      <c r="T38" s="79"/>
      <c r="U38" s="79"/>
      <c r="V38" s="79"/>
      <c r="W38" s="79"/>
      <c r="X38" s="79"/>
      <c r="Y38" s="79"/>
      <c r="Z38" s="79"/>
      <c r="AB38" s="79"/>
      <c r="AC38" s="79"/>
      <c r="AD38" s="79"/>
      <c r="AE38" s="79"/>
      <c r="AF38" s="79"/>
      <c r="AG38" s="79"/>
      <c r="AI38" s="79"/>
      <c r="AJ38" s="79"/>
      <c r="AK38" s="79"/>
      <c r="AL38" s="79"/>
      <c r="AM38" s="79"/>
      <c r="AN38" s="79"/>
      <c r="AP38" s="79"/>
      <c r="AQ38" s="79"/>
      <c r="AR38" s="79"/>
      <c r="AS38" s="79"/>
      <c r="AT38" s="79"/>
      <c r="AU38" s="79"/>
    </row>
    <row r="39" spans="1:47">
      <c r="A39" s="19"/>
      <c r="B39" s="19"/>
      <c r="C39" s="79"/>
      <c r="D39" s="79"/>
      <c r="E39" s="79"/>
      <c r="F39" s="79"/>
      <c r="G39" s="79"/>
      <c r="H39" s="81"/>
      <c r="I39" s="79"/>
      <c r="J39" s="79"/>
      <c r="K39" s="79"/>
      <c r="L39" s="79"/>
      <c r="M39" s="79"/>
      <c r="N39" s="80" t="s">
        <v>299</v>
      </c>
      <c r="O39" s="80">
        <f>-SUM('Annual WLC by Maturity Level '!G10:G21)</f>
        <v>-520076.484</v>
      </c>
      <c r="P39" s="79"/>
      <c r="Q39" s="80">
        <f>O39-O$14</f>
        <v>64279.11599999998</v>
      </c>
      <c r="R39" s="79"/>
      <c r="S39" s="80">
        <f>O39-O30</f>
        <v>17530.668000000005</v>
      </c>
      <c r="T39" s="79"/>
      <c r="U39" s="80" t="s">
        <v>299</v>
      </c>
      <c r="V39" s="80">
        <f>-SUM('Annual WLC by Maturity Level '!$G$10:$G$12)</f>
        <v>-62300</v>
      </c>
      <c r="W39" s="79"/>
      <c r="X39" s="80">
        <f>V39-V$14</f>
        <v>7700</v>
      </c>
      <c r="Y39" s="79"/>
      <c r="Z39" s="80">
        <f>V39-V30</f>
        <v>2100</v>
      </c>
      <c r="AB39" s="80" t="s">
        <v>299</v>
      </c>
      <c r="AC39" s="80">
        <f>-SUM('Annual WLC by Maturity Level '!$G$13:$G$15)</f>
        <v>-457776.484</v>
      </c>
      <c r="AD39" s="79"/>
      <c r="AE39" s="80">
        <f>AC39-AC$14</f>
        <v>56579.11599999998</v>
      </c>
      <c r="AF39" s="79"/>
      <c r="AG39" s="80">
        <f>AC39-AC30</f>
        <v>15430.668000000005</v>
      </c>
      <c r="AI39" s="80" t="s">
        <v>299</v>
      </c>
      <c r="AJ39" s="80">
        <f>-SUM('Annual WLC by Maturity Level '!$G$16:$G$18)</f>
        <v>0</v>
      </c>
      <c r="AK39" s="79"/>
      <c r="AL39" s="80">
        <f>AJ39-AJ$14</f>
        <v>0</v>
      </c>
      <c r="AM39" s="79"/>
      <c r="AN39" s="80">
        <f>AJ39-AJ30</f>
        <v>0</v>
      </c>
      <c r="AP39" s="80" t="s">
        <v>299</v>
      </c>
      <c r="AQ39" s="80">
        <f>-SUM('Annual WLC by Maturity Level '!$G$19:$G$21)</f>
        <v>0</v>
      </c>
      <c r="AR39" s="79"/>
      <c r="AS39" s="80">
        <f>AQ39-AQ$14</f>
        <v>0</v>
      </c>
      <c r="AT39" s="79"/>
      <c r="AU39" s="80">
        <f>AQ39-AQ30</f>
        <v>0</v>
      </c>
    </row>
    <row r="40" spans="1:47">
      <c r="A40" s="19"/>
      <c r="B40" s="19"/>
      <c r="C40" s="79"/>
      <c r="D40" s="79"/>
      <c r="E40" s="79"/>
      <c r="F40" s="79"/>
      <c r="G40" s="79"/>
      <c r="H40" s="81"/>
      <c r="I40" s="79"/>
      <c r="J40" s="79"/>
      <c r="K40" s="79"/>
      <c r="L40" s="79"/>
      <c r="M40" s="79"/>
      <c r="N40" s="80" t="s">
        <v>301</v>
      </c>
      <c r="O40" s="80">
        <f>-SUM('Annual WLC by Maturity Level '!G22:G25)</f>
        <v>-9069500</v>
      </c>
      <c r="P40" s="79"/>
      <c r="Q40" s="80">
        <f>O40-O$15</f>
        <v>280500</v>
      </c>
      <c r="R40" s="79"/>
      <c r="S40" s="80">
        <f>O40-O31</f>
        <v>93500</v>
      </c>
      <c r="T40" s="79"/>
      <c r="U40" s="80" t="s">
        <v>301</v>
      </c>
      <c r="V40" s="80">
        <f>-SUM('Annual WLC by Maturity Level '!$G$22)</f>
        <v>0</v>
      </c>
      <c r="W40" s="79"/>
      <c r="X40" s="80">
        <f>V40-V$15</f>
        <v>0</v>
      </c>
      <c r="Y40" s="79"/>
      <c r="Z40" s="80">
        <f>V40-V31</f>
        <v>0</v>
      </c>
      <c r="AB40" s="80" t="s">
        <v>301</v>
      </c>
      <c r="AC40" s="80">
        <f>-SUM('Annual WLC by Maturity Level '!$G$23)</f>
        <v>-9069500</v>
      </c>
      <c r="AD40" s="79"/>
      <c r="AE40" s="80">
        <f>AC40-AC$15</f>
        <v>280500</v>
      </c>
      <c r="AF40" s="79"/>
      <c r="AG40" s="80">
        <f>AC40-AC31</f>
        <v>93500</v>
      </c>
      <c r="AI40" s="80" t="s">
        <v>301</v>
      </c>
      <c r="AJ40" s="80">
        <f>-SUM('Annual WLC by Maturity Level '!$G$24)</f>
        <v>0</v>
      </c>
      <c r="AK40" s="79"/>
      <c r="AL40" s="80">
        <f>AJ40-AJ$15</f>
        <v>0</v>
      </c>
      <c r="AM40" s="79"/>
      <c r="AN40" s="80">
        <f>AJ40-AJ31</f>
        <v>0</v>
      </c>
      <c r="AP40" s="80" t="s">
        <v>301</v>
      </c>
      <c r="AQ40" s="80">
        <f>-SUM('Annual WLC by Maturity Level '!$G$25)</f>
        <v>0</v>
      </c>
      <c r="AR40" s="79"/>
      <c r="AS40" s="80">
        <f>AQ40-AQ$15</f>
        <v>0</v>
      </c>
      <c r="AT40" s="79"/>
      <c r="AU40" s="80">
        <f>AQ40-AQ31</f>
        <v>0</v>
      </c>
    </row>
    <row r="41" spans="1:47">
      <c r="A41" s="19"/>
      <c r="B41" s="19"/>
      <c r="C41" s="79"/>
      <c r="D41" s="79"/>
      <c r="E41" s="79"/>
      <c r="F41" s="79"/>
      <c r="G41" s="79"/>
      <c r="H41" s="81"/>
      <c r="I41" s="79"/>
      <c r="J41" s="79"/>
      <c r="K41" s="79"/>
      <c r="L41" s="79"/>
      <c r="M41" s="79"/>
      <c r="N41" s="80" t="s">
        <v>206</v>
      </c>
      <c r="O41" s="80">
        <f>-SUM('Annual WLC by Maturity Level '!G26:G33)</f>
        <v>-59506.75</v>
      </c>
      <c r="P41" s="79"/>
      <c r="Q41" s="80">
        <f>O41-O$16</f>
        <v>-44500</v>
      </c>
      <c r="R41" s="79"/>
      <c r="S41" s="80">
        <f>O41-O32</f>
        <v>-4800</v>
      </c>
      <c r="T41" s="79"/>
      <c r="U41" s="80" t="s">
        <v>206</v>
      </c>
      <c r="V41" s="80">
        <f>-SUM('Annual WLC by Maturity Level '!$G$26:$G$27)</f>
        <v>-6.75</v>
      </c>
      <c r="W41" s="79"/>
      <c r="X41" s="80">
        <f>V41-V$16</f>
        <v>0</v>
      </c>
      <c r="Y41" s="79"/>
      <c r="Z41" s="80">
        <f>V41-V32</f>
        <v>0</v>
      </c>
      <c r="AB41" s="80" t="s">
        <v>206</v>
      </c>
      <c r="AC41" s="80">
        <f>-SUM('Annual WLC by Maturity Level '!$G$28:$G$29)</f>
        <v>-41150</v>
      </c>
      <c r="AD41" s="79"/>
      <c r="AE41" s="80">
        <f>AC41-AC$16</f>
        <v>-26150</v>
      </c>
      <c r="AF41" s="79"/>
      <c r="AG41" s="80">
        <f>AC41-AC32</f>
        <v>-3360</v>
      </c>
      <c r="AI41" s="80" t="s">
        <v>206</v>
      </c>
      <c r="AJ41" s="80">
        <f>-SUM('Annual WLC by Maturity Level '!$G$30:$G$31)</f>
        <v>0</v>
      </c>
      <c r="AK41" s="79"/>
      <c r="AL41" s="80">
        <f>AJ41-AJ$16</f>
        <v>0</v>
      </c>
      <c r="AM41" s="79"/>
      <c r="AN41" s="80">
        <f>AJ41-AJ32</f>
        <v>0</v>
      </c>
      <c r="AP41" s="80" t="s">
        <v>206</v>
      </c>
      <c r="AQ41" s="80">
        <f>-SUM('Annual WLC by Maturity Level '!$G$32:$G$33)</f>
        <v>-18350</v>
      </c>
      <c r="AR41" s="79"/>
      <c r="AS41" s="80">
        <f>AQ41-AQ$16</f>
        <v>-18350</v>
      </c>
      <c r="AT41" s="79"/>
      <c r="AU41" s="80">
        <f>AQ41-AQ32</f>
        <v>-1440</v>
      </c>
    </row>
    <row r="42" spans="1:47">
      <c r="A42" s="19"/>
      <c r="B42" s="19"/>
      <c r="C42" s="79"/>
      <c r="D42" s="79"/>
      <c r="E42" s="79"/>
      <c r="F42" s="79"/>
      <c r="G42" s="79"/>
      <c r="H42" s="81"/>
      <c r="I42" s="79"/>
      <c r="J42" s="79"/>
      <c r="K42" s="79"/>
      <c r="L42" s="79"/>
      <c r="M42" s="79"/>
      <c r="N42" s="81" t="s">
        <v>207</v>
      </c>
      <c r="O42" s="81">
        <f>SUM(O39:O41)</f>
        <v>-9649083.2339999992</v>
      </c>
      <c r="P42" s="79"/>
      <c r="Q42" s="81">
        <f>SUM(Q39:Q41)</f>
        <v>300279.11599999998</v>
      </c>
      <c r="R42" s="79"/>
      <c r="S42" s="81">
        <f>SUM(S39:S41)</f>
        <v>106230.66800000001</v>
      </c>
      <c r="T42" s="79"/>
      <c r="U42" s="81" t="s">
        <v>207</v>
      </c>
      <c r="V42" s="81">
        <f>SUM(V39:V41)</f>
        <v>-62306.75</v>
      </c>
      <c r="W42" s="79"/>
      <c r="X42" s="81">
        <f>SUM(X39:X41)</f>
        <v>7700</v>
      </c>
      <c r="Y42" s="79"/>
      <c r="Z42" s="81">
        <f>SUM(Z39:Z41)</f>
        <v>2100</v>
      </c>
      <c r="AB42" s="81" t="s">
        <v>207</v>
      </c>
      <c r="AC42" s="81">
        <f>SUM(AC39:AC41)</f>
        <v>-9568426.4839999992</v>
      </c>
      <c r="AD42" s="79"/>
      <c r="AE42" s="81">
        <f>SUM(AE39:AE41)</f>
        <v>310929.11599999998</v>
      </c>
      <c r="AF42" s="79"/>
      <c r="AG42" s="81">
        <f>SUM(AG39:AG41)</f>
        <v>105570.66800000001</v>
      </c>
      <c r="AI42" s="81" t="s">
        <v>207</v>
      </c>
      <c r="AJ42" s="81">
        <f>SUM(AJ39:AJ41)</f>
        <v>0</v>
      </c>
      <c r="AK42" s="79"/>
      <c r="AL42" s="81">
        <f>SUM(AL39:AL41)</f>
        <v>0</v>
      </c>
      <c r="AM42" s="79"/>
      <c r="AN42" s="81">
        <f>SUM(AN39:AN41)</f>
        <v>0</v>
      </c>
      <c r="AP42" s="81" t="s">
        <v>207</v>
      </c>
      <c r="AQ42" s="81">
        <f>SUM(AQ39:AQ41)</f>
        <v>-18350</v>
      </c>
      <c r="AR42" s="79"/>
      <c r="AS42" s="81">
        <f>SUM(AS39:AS41)</f>
        <v>-18350</v>
      </c>
      <c r="AT42" s="79"/>
      <c r="AU42" s="81">
        <f>SUM(AU39:AU41)</f>
        <v>-1440</v>
      </c>
    </row>
    <row r="43" spans="1:47">
      <c r="A43" s="19"/>
      <c r="B43" s="19"/>
      <c r="C43" s="79"/>
      <c r="D43" s="79"/>
      <c r="E43" s="79"/>
      <c r="F43" s="79"/>
      <c r="G43" s="79"/>
      <c r="H43" s="81"/>
      <c r="I43" s="79"/>
      <c r="J43" s="79"/>
      <c r="K43" s="79"/>
      <c r="L43" s="79"/>
      <c r="M43" s="79"/>
      <c r="N43" s="81" t="s">
        <v>209</v>
      </c>
      <c r="O43" s="79"/>
      <c r="P43" s="79"/>
      <c r="Q43" s="81">
        <f ca="1">'HA2-CF'!B65</f>
        <v>1755996.9613498817</v>
      </c>
      <c r="R43" s="79"/>
      <c r="S43" s="81">
        <f ca="1">Q43-Q34</f>
        <v>525864.50279148808</v>
      </c>
      <c r="T43" s="79"/>
      <c r="U43" s="81" t="s">
        <v>209</v>
      </c>
      <c r="V43" s="79"/>
      <c r="W43" s="79"/>
      <c r="X43" s="81">
        <f ca="1">'HA2-CF'!C65</f>
        <v>55980.237242217001</v>
      </c>
      <c r="Y43" s="79"/>
      <c r="Z43" s="81">
        <f ca="1">X43-X34</f>
        <v>10666.419178411532</v>
      </c>
      <c r="AB43" s="81" t="s">
        <v>209</v>
      </c>
      <c r="AC43" s="79"/>
      <c r="AD43" s="79"/>
      <c r="AE43" s="81">
        <f ca="1">'HA2-CF'!D65</f>
        <v>1886143.0824785081</v>
      </c>
      <c r="AF43" s="79"/>
      <c r="AG43" s="81">
        <f ca="1">AE43-AE34</f>
        <v>526624.39656806737</v>
      </c>
      <c r="AI43" s="81" t="s">
        <v>209</v>
      </c>
      <c r="AJ43" s="79"/>
      <c r="AK43" s="79"/>
      <c r="AL43" s="81">
        <f ca="1">'HA2-CF'!E65</f>
        <v>0</v>
      </c>
      <c r="AM43" s="79"/>
      <c r="AN43" s="81">
        <f ca="1">AL43-AL34</f>
        <v>0</v>
      </c>
      <c r="AP43" s="81" t="s">
        <v>209</v>
      </c>
      <c r="AQ43" s="79"/>
      <c r="AR43" s="79"/>
      <c r="AS43" s="81">
        <f ca="1">'HA2-CF'!F65</f>
        <v>-186126.35837084352</v>
      </c>
      <c r="AT43" s="79"/>
      <c r="AU43" s="81">
        <f ca="1">AS43-AS34</f>
        <v>-11426.312954990659</v>
      </c>
    </row>
    <row r="44" spans="1:47">
      <c r="A44" s="19"/>
      <c r="B44" s="19"/>
      <c r="C44" s="79"/>
      <c r="D44" s="79"/>
      <c r="E44" s="79"/>
      <c r="F44" s="79"/>
      <c r="G44" s="79"/>
      <c r="H44" s="81"/>
      <c r="I44" s="79"/>
      <c r="J44" s="79"/>
      <c r="K44" s="79"/>
      <c r="L44" s="79"/>
      <c r="M44" s="79"/>
      <c r="N44" s="81" t="s">
        <v>220</v>
      </c>
      <c r="O44" s="79"/>
      <c r="P44" s="79"/>
      <c r="Q44" s="67">
        <f ca="1">'HA2-CF'!B66</f>
        <v>13.77335086162495</v>
      </c>
      <c r="R44" s="19"/>
      <c r="S44" s="67">
        <f ca="1">IF(S37&gt;=0,"n/a",S43/-S37)</f>
        <v>38.363763426981116</v>
      </c>
      <c r="T44" s="79"/>
      <c r="U44" s="81" t="s">
        <v>220</v>
      </c>
      <c r="V44" s="79"/>
      <c r="W44" s="79"/>
      <c r="X44" s="67" t="str">
        <f ca="1">'HA2-CF'!C66</f>
        <v>n/a</v>
      </c>
      <c r="Y44" s="19"/>
      <c r="Z44" s="67" t="str">
        <f ca="1">IF(Z37&gt;=0,"n/a",Z43/-Z37)</f>
        <v>n/a</v>
      </c>
      <c r="AB44" s="81" t="s">
        <v>220</v>
      </c>
      <c r="AC44" s="79"/>
      <c r="AD44" s="79"/>
      <c r="AE44" s="67">
        <f ca="1">'HA2-CF'!D66</f>
        <v>21.134522782702092</v>
      </c>
      <c r="AF44" s="19"/>
      <c r="AG44" s="67">
        <f ca="1">IF(AG37&gt;=0,"n/a",AG43/-AG37)</f>
        <v>54.884572132629273</v>
      </c>
      <c r="AI44" s="81" t="s">
        <v>220</v>
      </c>
      <c r="AJ44" s="79"/>
      <c r="AK44" s="79"/>
      <c r="AL44" s="67" t="str">
        <f ca="1">'HA2-CF'!E66</f>
        <v>n/a</v>
      </c>
      <c r="AM44" s="19"/>
      <c r="AN44" s="67" t="str">
        <f ca="1">IF(AN37&gt;=0,"n/a",AN43/-AN37)</f>
        <v>n/a</v>
      </c>
      <c r="AP44" s="81" t="s">
        <v>220</v>
      </c>
      <c r="AQ44" s="79"/>
      <c r="AR44" s="79"/>
      <c r="AS44" s="67">
        <f ca="1">'HA2-CF'!F66</f>
        <v>-4.8663403085987822</v>
      </c>
      <c r="AT44" s="19"/>
      <c r="AU44" s="67">
        <f ca="1">IF(AU37&gt;=0,"n/a",AU43/-AU37)</f>
        <v>-2.7786395210233175</v>
      </c>
    </row>
    <row r="45" spans="1:47">
      <c r="A45" s="19"/>
      <c r="B45" s="19"/>
      <c r="C45" s="79"/>
      <c r="D45" s="79"/>
      <c r="E45" s="79"/>
      <c r="F45" s="79"/>
      <c r="G45" s="79"/>
      <c r="H45" s="81"/>
      <c r="I45" s="79"/>
      <c r="J45" s="79"/>
      <c r="K45" s="79"/>
      <c r="L45" s="79"/>
      <c r="M45" s="79"/>
      <c r="N45" s="79"/>
      <c r="O45" s="79"/>
      <c r="P45" s="79"/>
      <c r="Q45" s="79"/>
      <c r="R45" s="79"/>
      <c r="S45" s="79"/>
      <c r="T45" s="79"/>
      <c r="U45" s="79"/>
    </row>
    <row r="46" spans="1:47">
      <c r="A46" s="19"/>
      <c r="B46" s="19"/>
      <c r="C46" s="79"/>
      <c r="D46" s="79"/>
      <c r="E46" s="79"/>
      <c r="F46" s="79"/>
      <c r="G46" s="81" t="s">
        <v>129</v>
      </c>
      <c r="H46" s="81">
        <f>-'Annual WLC by Maturity Level '!H40</f>
        <v>-46000</v>
      </c>
      <c r="I46" s="79"/>
      <c r="J46" s="79"/>
      <c r="K46" s="79"/>
      <c r="L46" s="79"/>
      <c r="M46" s="79"/>
      <c r="N46" s="81" t="s">
        <v>223</v>
      </c>
      <c r="O46" s="79"/>
      <c r="P46" s="79"/>
      <c r="Q46" s="81">
        <f ca="1">'PA-CF'!B63</f>
        <v>-164280.66363987929</v>
      </c>
      <c r="R46" s="79"/>
      <c r="S46" s="81">
        <f ca="1">Q46-Q37</f>
        <v>-36788.306914806148</v>
      </c>
      <c r="T46" s="79"/>
      <c r="U46" s="81" t="s">
        <v>223</v>
      </c>
      <c r="V46" s="79"/>
      <c r="W46" s="79"/>
      <c r="X46" s="81">
        <f ca="1">'PA-CF'!C63</f>
        <v>0</v>
      </c>
      <c r="Y46" s="79"/>
      <c r="Z46" s="81">
        <f ca="1">X46-X37</f>
        <v>0</v>
      </c>
      <c r="AB46" s="81" t="s">
        <v>223</v>
      </c>
      <c r="AC46" s="79"/>
      <c r="AD46" s="79"/>
      <c r="AE46" s="81">
        <f ca="1">'PA-CF'!D63</f>
        <v>-114996.4645479155</v>
      </c>
      <c r="AF46" s="79"/>
      <c r="AG46" s="81">
        <f ca="1">AE46-AE37</f>
        <v>-25751.814840364314</v>
      </c>
      <c r="AI46" s="81" t="s">
        <v>223</v>
      </c>
      <c r="AJ46" s="79"/>
      <c r="AK46" s="79"/>
      <c r="AL46" s="81">
        <f ca="1">'PA-CF'!E63</f>
        <v>0</v>
      </c>
      <c r="AM46" s="79"/>
      <c r="AN46" s="81">
        <f ca="1">AL46-AL37</f>
        <v>0</v>
      </c>
      <c r="AP46" s="81" t="s">
        <v>223</v>
      </c>
      <c r="AQ46" s="79"/>
      <c r="AR46" s="79"/>
      <c r="AS46" s="81">
        <f ca="1">'PA-CF'!F63</f>
        <v>-49284.199091963783</v>
      </c>
      <c r="AT46" s="79"/>
      <c r="AU46" s="81">
        <f ca="1">AS46-AS37</f>
        <v>-11036.492074441841</v>
      </c>
    </row>
    <row r="47" spans="1:47">
      <c r="A47" s="19"/>
      <c r="B47" s="19"/>
      <c r="C47" s="79"/>
      <c r="D47" s="79"/>
      <c r="E47" s="79"/>
      <c r="F47" s="79"/>
      <c r="G47" s="79"/>
      <c r="H47" s="81"/>
      <c r="I47" s="79"/>
      <c r="J47" s="79"/>
      <c r="K47" s="79"/>
      <c r="L47" s="79"/>
      <c r="M47" s="79"/>
      <c r="N47" s="81"/>
      <c r="O47" s="79"/>
      <c r="P47" s="79"/>
      <c r="Q47" s="79"/>
      <c r="R47" s="79"/>
      <c r="S47" s="79"/>
      <c r="T47" s="79"/>
      <c r="U47" s="81"/>
      <c r="V47" s="79"/>
      <c r="W47" s="79"/>
      <c r="X47" s="79"/>
      <c r="Y47" s="79"/>
      <c r="Z47" s="79"/>
      <c r="AB47" s="81"/>
      <c r="AC47" s="79"/>
      <c r="AD47" s="79"/>
      <c r="AE47" s="79"/>
      <c r="AF47" s="79"/>
      <c r="AG47" s="79"/>
      <c r="AI47" s="81"/>
      <c r="AJ47" s="79"/>
      <c r="AK47" s="79"/>
      <c r="AL47" s="79"/>
      <c r="AM47" s="79"/>
      <c r="AN47" s="79"/>
      <c r="AP47" s="81"/>
      <c r="AQ47" s="79"/>
      <c r="AR47" s="79"/>
      <c r="AS47" s="79"/>
      <c r="AT47" s="79"/>
      <c r="AU47" s="79"/>
    </row>
    <row r="48" spans="1:47">
      <c r="A48" s="19"/>
      <c r="B48" s="19"/>
      <c r="C48" s="79"/>
      <c r="D48" s="79"/>
      <c r="E48" s="79"/>
      <c r="F48" s="79"/>
      <c r="G48" s="79"/>
      <c r="H48" s="81"/>
      <c r="I48" s="79"/>
      <c r="J48" s="79"/>
      <c r="K48" s="79"/>
      <c r="L48" s="79"/>
      <c r="M48" s="79"/>
      <c r="N48" s="80" t="s">
        <v>299</v>
      </c>
      <c r="O48" s="80">
        <f>-SUM('Annual WLC by Maturity Level '!H10:H21)</f>
        <v>-467484.48</v>
      </c>
      <c r="P48" s="79"/>
      <c r="Q48" s="80">
        <f>O48-O$14</f>
        <v>116871.12</v>
      </c>
      <c r="R48" s="79"/>
      <c r="S48" s="80">
        <f>O48-O39</f>
        <v>52592.004000000015</v>
      </c>
      <c r="T48" s="79"/>
      <c r="U48" s="80" t="s">
        <v>299</v>
      </c>
      <c r="V48" s="80">
        <f>-SUM('Annual WLC by Maturity Level '!$H$10:$H$12)</f>
        <v>-56000</v>
      </c>
      <c r="W48" s="79"/>
      <c r="X48" s="80">
        <f>V48-V$14</f>
        <v>14000</v>
      </c>
      <c r="Y48" s="79"/>
      <c r="Z48" s="80">
        <f>V48-V39</f>
        <v>6300</v>
      </c>
      <c r="AB48" s="80" t="s">
        <v>299</v>
      </c>
      <c r="AC48" s="80">
        <f>-SUM('Annual WLC by Maturity Level '!$H$13:$H$15)</f>
        <v>-411484.48</v>
      </c>
      <c r="AD48" s="79"/>
      <c r="AE48" s="80">
        <f>AC48-AC$14</f>
        <v>102871.12</v>
      </c>
      <c r="AF48" s="79"/>
      <c r="AG48" s="80">
        <f>AC48-AC39</f>
        <v>46292.004000000015</v>
      </c>
      <c r="AI48" s="80" t="s">
        <v>299</v>
      </c>
      <c r="AJ48" s="80">
        <f>-SUM('Annual WLC by Maturity Level '!$H$16:$H$18)</f>
        <v>0</v>
      </c>
      <c r="AK48" s="79"/>
      <c r="AL48" s="80">
        <f>AJ48-AJ$14</f>
        <v>0</v>
      </c>
      <c r="AM48" s="79"/>
      <c r="AN48" s="80">
        <f>AJ48-AJ39</f>
        <v>0</v>
      </c>
      <c r="AP48" s="80" t="s">
        <v>299</v>
      </c>
      <c r="AQ48" s="80">
        <f>-SUM('Annual WLC by Maturity Level '!$H$19:$H$21)</f>
        <v>0</v>
      </c>
      <c r="AR48" s="79"/>
      <c r="AS48" s="80">
        <f>AQ48-AQ$14</f>
        <v>0</v>
      </c>
      <c r="AT48" s="79"/>
      <c r="AU48" s="80">
        <f>AQ48-AQ39</f>
        <v>0</v>
      </c>
    </row>
    <row r="49" spans="1:47">
      <c r="A49" s="19"/>
      <c r="B49" s="19"/>
      <c r="C49" s="79"/>
      <c r="D49" s="79"/>
      <c r="E49" s="79"/>
      <c r="F49" s="79"/>
      <c r="G49" s="79"/>
      <c r="H49" s="81"/>
      <c r="I49" s="79"/>
      <c r="J49" s="79"/>
      <c r="K49" s="79"/>
      <c r="L49" s="79"/>
      <c r="M49" s="79"/>
      <c r="N49" s="80" t="s">
        <v>301</v>
      </c>
      <c r="O49" s="80">
        <f>-SUM('Annual WLC by Maturity Level '!H22:H25)</f>
        <v>-8882500</v>
      </c>
      <c r="P49" s="79"/>
      <c r="Q49" s="80">
        <f>O49-O$15</f>
        <v>467500</v>
      </c>
      <c r="R49" s="79"/>
      <c r="S49" s="80">
        <f>O49-O40</f>
        <v>187000</v>
      </c>
      <c r="T49" s="79"/>
      <c r="U49" s="80" t="s">
        <v>301</v>
      </c>
      <c r="V49" s="80">
        <f>-SUM('Annual WLC by Maturity Level '!$H$22)</f>
        <v>0</v>
      </c>
      <c r="W49" s="79"/>
      <c r="X49" s="80">
        <f>V49-V$15</f>
        <v>0</v>
      </c>
      <c r="Y49" s="79"/>
      <c r="Z49" s="80">
        <f>V49-V40</f>
        <v>0</v>
      </c>
      <c r="AB49" s="80" t="s">
        <v>301</v>
      </c>
      <c r="AC49" s="80">
        <f>-SUM('Annual WLC by Maturity Level '!$H$23)</f>
        <v>-8882500</v>
      </c>
      <c r="AD49" s="79"/>
      <c r="AE49" s="80">
        <f>AC49-AC$15</f>
        <v>467500</v>
      </c>
      <c r="AF49" s="79"/>
      <c r="AG49" s="80">
        <f>AC49-AC40</f>
        <v>187000</v>
      </c>
      <c r="AI49" s="80" t="s">
        <v>301</v>
      </c>
      <c r="AJ49" s="80">
        <f>-SUM('Annual WLC by Maturity Level '!$H$24)</f>
        <v>0</v>
      </c>
      <c r="AK49" s="79"/>
      <c r="AL49" s="80">
        <f>AJ49-AJ$15</f>
        <v>0</v>
      </c>
      <c r="AM49" s="79"/>
      <c r="AN49" s="80">
        <f>AJ49-AJ40</f>
        <v>0</v>
      </c>
      <c r="AP49" s="80" t="s">
        <v>301</v>
      </c>
      <c r="AQ49" s="80">
        <f>-SUM('Annual WLC by Maturity Level '!$H$25)</f>
        <v>0</v>
      </c>
      <c r="AR49" s="79"/>
      <c r="AS49" s="80">
        <f>AQ49-AQ$15</f>
        <v>0</v>
      </c>
      <c r="AT49" s="79"/>
      <c r="AU49" s="80">
        <f>AQ49-AQ40</f>
        <v>0</v>
      </c>
    </row>
    <row r="50" spans="1:47">
      <c r="A50" s="19"/>
      <c r="B50" s="19"/>
      <c r="C50" s="79"/>
      <c r="D50" s="79"/>
      <c r="E50" s="79"/>
      <c r="F50" s="79"/>
      <c r="G50" s="79"/>
      <c r="H50" s="81"/>
      <c r="I50" s="79"/>
      <c r="J50" s="79"/>
      <c r="K50" s="79"/>
      <c r="L50" s="79"/>
      <c r="M50" s="79"/>
      <c r="N50" s="80" t="s">
        <v>206</v>
      </c>
      <c r="O50" s="80">
        <f>-SUM('Annual WLC by Maturity Level '!H26:H33)</f>
        <v>-73306.75</v>
      </c>
      <c r="P50" s="79"/>
      <c r="Q50" s="80">
        <f>O50-O$16</f>
        <v>-58300</v>
      </c>
      <c r="R50" s="79"/>
      <c r="S50" s="80">
        <f>O50-O41</f>
        <v>-13800</v>
      </c>
      <c r="T50" s="79"/>
      <c r="U50" s="80" t="s">
        <v>206</v>
      </c>
      <c r="V50" s="80">
        <f>-SUM('Annual WLC by Maturity Level '!$H$26:$H$27)</f>
        <v>-6.75</v>
      </c>
      <c r="W50" s="79"/>
      <c r="X50" s="80">
        <f>V50-V$16</f>
        <v>0</v>
      </c>
      <c r="Y50" s="79"/>
      <c r="Z50" s="80">
        <f>V50-V41</f>
        <v>0</v>
      </c>
      <c r="AB50" s="80" t="s">
        <v>206</v>
      </c>
      <c r="AC50" s="80">
        <f>-SUM('Annual WLC by Maturity Level '!$H$28:$H$29)</f>
        <v>-50810</v>
      </c>
      <c r="AD50" s="79"/>
      <c r="AE50" s="80">
        <f>AC50-AC$16</f>
        <v>-35810</v>
      </c>
      <c r="AF50" s="79"/>
      <c r="AG50" s="80">
        <f>AC50-AC41</f>
        <v>-9660</v>
      </c>
      <c r="AI50" s="80" t="s">
        <v>206</v>
      </c>
      <c r="AJ50" s="80">
        <f>-SUM('Annual WLC by Maturity Level '!$H$30:$H$31)</f>
        <v>0</v>
      </c>
      <c r="AK50" s="79"/>
      <c r="AL50" s="80">
        <f>AJ50-AJ$16</f>
        <v>0</v>
      </c>
      <c r="AM50" s="79"/>
      <c r="AN50" s="80">
        <f>AJ50-AJ41</f>
        <v>0</v>
      </c>
      <c r="AP50" s="80" t="s">
        <v>206</v>
      </c>
      <c r="AQ50" s="80">
        <f>-SUM('Annual WLC by Maturity Level '!$H$32:$H$33)</f>
        <v>-22490</v>
      </c>
      <c r="AR50" s="79"/>
      <c r="AS50" s="80">
        <f>AQ50-AQ$16</f>
        <v>-22490</v>
      </c>
      <c r="AT50" s="79"/>
      <c r="AU50" s="80">
        <f>AQ50-AQ41</f>
        <v>-4140</v>
      </c>
    </row>
    <row r="51" spans="1:47">
      <c r="A51" s="19"/>
      <c r="B51" s="19"/>
      <c r="C51" s="79"/>
      <c r="D51" s="79"/>
      <c r="E51" s="79"/>
      <c r="F51" s="79"/>
      <c r="G51" s="79"/>
      <c r="H51" s="81"/>
      <c r="I51" s="79"/>
      <c r="J51" s="79"/>
      <c r="K51" s="79"/>
      <c r="L51" s="79"/>
      <c r="M51" s="79"/>
      <c r="N51" s="81" t="s">
        <v>207</v>
      </c>
      <c r="O51" s="81">
        <f>SUM(O48:O50)</f>
        <v>-9423291.2300000004</v>
      </c>
      <c r="P51" s="79"/>
      <c r="Q51" s="81">
        <f>SUM(Q48:Q50)</f>
        <v>526071.12</v>
      </c>
      <c r="R51" s="79"/>
      <c r="S51" s="81">
        <f>SUM(S48:S50)</f>
        <v>225792.00400000002</v>
      </c>
      <c r="T51" s="79"/>
      <c r="U51" s="81" t="s">
        <v>207</v>
      </c>
      <c r="V51" s="81">
        <f>SUM(V48:V50)</f>
        <v>-56006.75</v>
      </c>
      <c r="W51" s="79"/>
      <c r="X51" s="81">
        <f>SUM(X48:X50)</f>
        <v>14000</v>
      </c>
      <c r="Y51" s="79"/>
      <c r="Z51" s="81">
        <f>SUM(Z48:Z50)</f>
        <v>6300</v>
      </c>
      <c r="AB51" s="81" t="s">
        <v>207</v>
      </c>
      <c r="AC51" s="81">
        <f>SUM(AC48:AC50)</f>
        <v>-9344794.4800000004</v>
      </c>
      <c r="AD51" s="79"/>
      <c r="AE51" s="81">
        <f>SUM(AE48:AE50)</f>
        <v>534561.12</v>
      </c>
      <c r="AF51" s="79"/>
      <c r="AG51" s="81">
        <f>SUM(AG48:AG50)</f>
        <v>223632.00400000002</v>
      </c>
      <c r="AI51" s="81" t="s">
        <v>207</v>
      </c>
      <c r="AJ51" s="81">
        <f>SUM(AJ48:AJ50)</f>
        <v>0</v>
      </c>
      <c r="AK51" s="79"/>
      <c r="AL51" s="81">
        <f>SUM(AL48:AL50)</f>
        <v>0</v>
      </c>
      <c r="AM51" s="79"/>
      <c r="AN51" s="81">
        <f>SUM(AN48:AN50)</f>
        <v>0</v>
      </c>
      <c r="AP51" s="81" t="s">
        <v>207</v>
      </c>
      <c r="AQ51" s="81">
        <f>SUM(AQ48:AQ50)</f>
        <v>-22490</v>
      </c>
      <c r="AR51" s="79"/>
      <c r="AS51" s="81">
        <f>SUM(AS48:AS50)</f>
        <v>-22490</v>
      </c>
      <c r="AT51" s="79"/>
      <c r="AU51" s="81">
        <f>SUM(AU48:AU50)</f>
        <v>-4140</v>
      </c>
    </row>
    <row r="52" spans="1:47">
      <c r="A52" s="19"/>
      <c r="B52" s="19"/>
      <c r="C52" s="79"/>
      <c r="D52" s="79"/>
      <c r="E52" s="79"/>
      <c r="F52" s="79"/>
      <c r="G52" s="79"/>
      <c r="H52" s="81"/>
      <c r="I52" s="79"/>
      <c r="J52" s="79"/>
      <c r="K52" s="79"/>
      <c r="L52" s="79"/>
      <c r="M52" s="79"/>
      <c r="N52" s="81" t="s">
        <v>209</v>
      </c>
      <c r="O52" s="79"/>
      <c r="P52" s="79"/>
      <c r="Q52" s="81">
        <f ca="1">'PA-CF'!B65</f>
        <v>2485727.9423077512</v>
      </c>
      <c r="R52" s="79"/>
      <c r="S52" s="81">
        <f ca="1">Q52-Q43</f>
        <v>729730.98095786944</v>
      </c>
      <c r="T52" s="79"/>
      <c r="U52" s="81" t="s">
        <v>209</v>
      </c>
      <c r="V52" s="79"/>
      <c r="W52" s="79"/>
      <c r="X52" s="81">
        <f ca="1">'PA-CF'!C65</f>
        <v>77367.493779422992</v>
      </c>
      <c r="Y52" s="79"/>
      <c r="Z52" s="81">
        <f ca="1">X52-X43</f>
        <v>21387.256537205991</v>
      </c>
      <c r="AB52" s="81" t="s">
        <v>209</v>
      </c>
      <c r="AC52" s="79"/>
      <c r="AD52" s="79"/>
      <c r="AE52" s="81">
        <f ca="1">'PA-CF'!D65</f>
        <v>2619577.78184092</v>
      </c>
      <c r="AF52" s="79"/>
      <c r="AG52" s="81">
        <f ca="1">AE52-AE43</f>
        <v>733434.69936241186</v>
      </c>
      <c r="AI52" s="81" t="s">
        <v>209</v>
      </c>
      <c r="AJ52" s="79"/>
      <c r="AK52" s="79"/>
      <c r="AL52" s="81">
        <f ca="1">'PA-CF'!E65</f>
        <v>0</v>
      </c>
      <c r="AM52" s="79"/>
      <c r="AN52" s="81">
        <f ca="1">AL52-AL43</f>
        <v>0</v>
      </c>
      <c r="AP52" s="81" t="s">
        <v>209</v>
      </c>
      <c r="AQ52" s="79"/>
      <c r="AR52" s="79"/>
      <c r="AS52" s="81">
        <f ca="1">'PA-CF'!F65</f>
        <v>-211217.33331259218</v>
      </c>
      <c r="AT52" s="79"/>
      <c r="AU52" s="81">
        <f ca="1">AS52-AS43</f>
        <v>-25090.97494174866</v>
      </c>
    </row>
    <row r="53" spans="1:47">
      <c r="A53" s="19"/>
      <c r="B53" s="19"/>
      <c r="C53" s="79"/>
      <c r="D53" s="79"/>
      <c r="E53" s="79"/>
      <c r="F53" s="79"/>
      <c r="G53" s="79"/>
      <c r="H53" s="81"/>
      <c r="I53" s="79"/>
      <c r="J53" s="79"/>
      <c r="K53" s="79"/>
      <c r="L53" s="79"/>
      <c r="M53" s="79"/>
      <c r="N53" s="81" t="s">
        <v>220</v>
      </c>
      <c r="O53" s="79"/>
      <c r="P53" s="79"/>
      <c r="Q53" s="67">
        <f ca="1">'PA-CF'!B66</f>
        <v>15.130983082444393</v>
      </c>
      <c r="R53" s="19"/>
      <c r="S53" s="67">
        <f ca="1">IF(S46&gt;=0,"n/a",S52/-S46)</f>
        <v>19.835949032603494</v>
      </c>
      <c r="T53" s="79"/>
      <c r="U53" s="81" t="s">
        <v>220</v>
      </c>
      <c r="V53" s="79"/>
      <c r="W53" s="79"/>
      <c r="X53" s="67" t="str">
        <f ca="1">'PA-CF'!C66</f>
        <v>n/a</v>
      </c>
      <c r="Y53" s="19"/>
      <c r="Z53" s="67" t="str">
        <f ca="1">IF(Z46&gt;=0,"n/a",Z52/-Z46)</f>
        <v>n/a</v>
      </c>
      <c r="AB53" s="81" t="s">
        <v>220</v>
      </c>
      <c r="AC53" s="79"/>
      <c r="AD53" s="79"/>
      <c r="AE53" s="67">
        <f ca="1">'PA-CF'!D66</f>
        <v>22.779637549199805</v>
      </c>
      <c r="AF53" s="19"/>
      <c r="AG53" s="67">
        <f ca="1">IF(AG46&gt;=0,"n/a",AG52/-AG46)</f>
        <v>28.48089363444786</v>
      </c>
      <c r="AI53" s="81" t="s">
        <v>220</v>
      </c>
      <c r="AJ53" s="79"/>
      <c r="AK53" s="79"/>
      <c r="AL53" s="67" t="str">
        <f ca="1">'PA-CF'!E66</f>
        <v>n/a</v>
      </c>
      <c r="AM53" s="19"/>
      <c r="AN53" s="67" t="str">
        <f ca="1">IF(AN46&gt;=0,"n/a",AN52/-AN46)</f>
        <v>n/a</v>
      </c>
      <c r="AP53" s="81" t="s">
        <v>220</v>
      </c>
      <c r="AQ53" s="79"/>
      <c r="AR53" s="79"/>
      <c r="AS53" s="67">
        <f ca="1">'PA-CF'!F66</f>
        <v>-4.2857008372696273</v>
      </c>
      <c r="AT53" s="19"/>
      <c r="AU53" s="67">
        <f ca="1">IF(AU46&gt;=0,"n/a",AU52/-AU46)</f>
        <v>-2.2734556209082051</v>
      </c>
    </row>
    <row r="54" spans="1:47">
      <c r="A54" s="19"/>
      <c r="B54" s="19"/>
      <c r="C54" s="79"/>
      <c r="D54" s="79"/>
      <c r="E54" s="79"/>
      <c r="F54" s="79"/>
      <c r="G54" s="79"/>
      <c r="H54" s="81"/>
      <c r="I54" s="79"/>
      <c r="J54" s="79"/>
      <c r="K54" s="79"/>
      <c r="L54" s="79"/>
      <c r="M54" s="79"/>
      <c r="N54" s="79"/>
      <c r="O54" s="79"/>
      <c r="P54" s="79"/>
      <c r="Q54" s="79"/>
      <c r="R54" s="79"/>
      <c r="S54" s="79"/>
      <c r="T54" s="79"/>
      <c r="U54" s="79"/>
    </row>
    <row r="55" spans="1:47">
      <c r="A55" s="19"/>
      <c r="B55" s="19"/>
      <c r="C55" s="79"/>
      <c r="D55" s="79"/>
      <c r="E55" s="79"/>
      <c r="F55" s="79"/>
      <c r="G55" s="81" t="s">
        <v>129</v>
      </c>
      <c r="H55" s="81">
        <f>-'Annual WLC by Maturity Level '!I40</f>
        <v>-39000</v>
      </c>
      <c r="I55" s="79"/>
      <c r="J55" s="79"/>
      <c r="K55" s="79"/>
      <c r="L55" s="79"/>
      <c r="M55" s="79"/>
      <c r="N55" s="81" t="s">
        <v>223</v>
      </c>
      <c r="O55" s="79"/>
      <c r="P55" s="79"/>
      <c r="Q55" s="81">
        <f ca="1">'AG-CF'!B63</f>
        <v>-192907.46108738257</v>
      </c>
      <c r="R55" s="79"/>
      <c r="S55" s="81">
        <f ca="1">Q55-Q46</f>
        <v>-28626.797447503282</v>
      </c>
      <c r="T55" s="79"/>
      <c r="U55" s="81" t="s">
        <v>223</v>
      </c>
      <c r="V55" s="79"/>
      <c r="W55" s="79"/>
      <c r="X55" s="81">
        <f ca="1">'AG-CF'!C63</f>
        <v>0</v>
      </c>
      <c r="Y55" s="79"/>
      <c r="Z55" s="81">
        <f ca="1">X55-X46</f>
        <v>0</v>
      </c>
      <c r="AB55" s="81" t="s">
        <v>223</v>
      </c>
      <c r="AC55" s="79"/>
      <c r="AD55" s="79"/>
      <c r="AE55" s="81">
        <f ca="1">'AG-CF'!D63</f>
        <v>-135035.2227611678</v>
      </c>
      <c r="AF55" s="79"/>
      <c r="AG55" s="81">
        <f ca="1">AE55-AE46</f>
        <v>-20038.758213252295</v>
      </c>
      <c r="AI55" s="81" t="s">
        <v>223</v>
      </c>
      <c r="AJ55" s="79"/>
      <c r="AK55" s="79"/>
      <c r="AL55" s="81">
        <f ca="1">'AG-CF'!E63</f>
        <v>0</v>
      </c>
      <c r="AM55" s="79"/>
      <c r="AN55" s="81">
        <f ca="1">AL55-AL46</f>
        <v>0</v>
      </c>
      <c r="AP55" s="81" t="s">
        <v>223</v>
      </c>
      <c r="AQ55" s="79"/>
      <c r="AR55" s="79"/>
      <c r="AS55" s="81">
        <f ca="1">'AG-CF'!F63</f>
        <v>-57872.238326214763</v>
      </c>
      <c r="AT55" s="79"/>
      <c r="AU55" s="81">
        <f ca="1">AS55-AS46</f>
        <v>-8588.0392342509804</v>
      </c>
    </row>
    <row r="56" spans="1:47">
      <c r="A56" s="19"/>
      <c r="B56" s="19"/>
      <c r="C56" s="79"/>
      <c r="D56" s="79"/>
      <c r="E56" s="79"/>
      <c r="F56" s="79"/>
      <c r="G56" s="79"/>
      <c r="H56" s="79"/>
      <c r="I56" s="79"/>
      <c r="J56" s="79"/>
      <c r="K56" s="79"/>
      <c r="L56" s="79"/>
      <c r="M56" s="79"/>
      <c r="N56" s="81"/>
      <c r="O56" s="79"/>
      <c r="P56" s="79"/>
      <c r="Q56" s="83"/>
      <c r="R56" s="79"/>
      <c r="S56" s="79"/>
      <c r="T56" s="79"/>
      <c r="U56" s="81"/>
      <c r="V56" s="79"/>
      <c r="W56" s="79"/>
      <c r="X56" s="83"/>
      <c r="Y56" s="79"/>
      <c r="Z56" s="79"/>
      <c r="AB56" s="81"/>
      <c r="AC56" s="79"/>
      <c r="AD56" s="79"/>
      <c r="AE56" s="83"/>
      <c r="AF56" s="79"/>
      <c r="AG56" s="79"/>
      <c r="AI56" s="81"/>
      <c r="AJ56" s="79"/>
      <c r="AK56" s="79"/>
      <c r="AL56" s="83"/>
      <c r="AM56" s="79"/>
      <c r="AN56" s="79"/>
      <c r="AP56" s="81"/>
      <c r="AQ56" s="79"/>
      <c r="AR56" s="79"/>
      <c r="AS56" s="83"/>
      <c r="AT56" s="79"/>
      <c r="AU56" s="79"/>
    </row>
    <row r="57" spans="1:47">
      <c r="A57" s="19"/>
      <c r="B57" s="19"/>
      <c r="C57" s="79"/>
      <c r="D57" s="79"/>
      <c r="E57" s="79"/>
      <c r="F57" s="79"/>
      <c r="G57" s="79"/>
      <c r="H57" s="79"/>
      <c r="I57" s="79"/>
      <c r="J57" s="79"/>
      <c r="K57" s="79"/>
      <c r="L57" s="79"/>
      <c r="M57" s="79"/>
      <c r="N57" s="80" t="s">
        <v>299</v>
      </c>
      <c r="O57" s="80">
        <f>-SUM('Annual WLC by Maturity Level '!I10:I21)</f>
        <v>-467484.48</v>
      </c>
      <c r="P57" s="79"/>
      <c r="Q57" s="80">
        <f>O57-O$14</f>
        <v>116871.12</v>
      </c>
      <c r="R57" s="79"/>
      <c r="S57" s="80">
        <f>O57-O48</f>
        <v>0</v>
      </c>
      <c r="T57" s="79"/>
      <c r="U57" s="80" t="s">
        <v>299</v>
      </c>
      <c r="V57" s="80">
        <f>-SUM('Annual WLC by Maturity Level '!$I$10:$I$12)</f>
        <v>-56000</v>
      </c>
      <c r="W57" s="79"/>
      <c r="X57" s="80">
        <f>V57-V$14</f>
        <v>14000</v>
      </c>
      <c r="Y57" s="79"/>
      <c r="Z57" s="80">
        <f>V57-V48</f>
        <v>0</v>
      </c>
      <c r="AB57" s="80" t="s">
        <v>299</v>
      </c>
      <c r="AC57" s="80">
        <f>-SUM('Annual WLC by Maturity Level '!$I$13:$I$15)</f>
        <v>-411484.48</v>
      </c>
      <c r="AD57" s="79"/>
      <c r="AE57" s="80">
        <f>AC57-AC$14</f>
        <v>102871.12</v>
      </c>
      <c r="AF57" s="79"/>
      <c r="AG57" s="80">
        <f>AC57-AC48</f>
        <v>0</v>
      </c>
      <c r="AI57" s="80" t="s">
        <v>299</v>
      </c>
      <c r="AJ57" s="80">
        <f>-SUM('Annual WLC by Maturity Level '!$I$16:$I$18)</f>
        <v>0</v>
      </c>
      <c r="AK57" s="79"/>
      <c r="AL57" s="80">
        <f>AJ57-AJ$14</f>
        <v>0</v>
      </c>
      <c r="AM57" s="79"/>
      <c r="AN57" s="80">
        <f>AJ57-AJ48</f>
        <v>0</v>
      </c>
      <c r="AP57" s="80" t="s">
        <v>299</v>
      </c>
      <c r="AQ57" s="80">
        <f>-SUM('Annual WLC by Maturity Level '!$I$19:$I$21)</f>
        <v>0</v>
      </c>
      <c r="AR57" s="79"/>
      <c r="AS57" s="80">
        <f>AQ57-AQ$14</f>
        <v>0</v>
      </c>
      <c r="AT57" s="79"/>
      <c r="AU57" s="80">
        <f>AQ57-AQ48</f>
        <v>0</v>
      </c>
    </row>
    <row r="58" spans="1:47">
      <c r="A58" s="19"/>
      <c r="B58" s="19"/>
      <c r="C58" s="79"/>
      <c r="D58" s="79"/>
      <c r="E58" s="79"/>
      <c r="F58" s="79"/>
      <c r="G58" s="79"/>
      <c r="H58" s="79"/>
      <c r="I58" s="79"/>
      <c r="J58" s="79"/>
      <c r="K58" s="79"/>
      <c r="L58" s="79"/>
      <c r="M58" s="79"/>
      <c r="N58" s="80" t="s">
        <v>301</v>
      </c>
      <c r="O58" s="80">
        <f>-SUM('Annual WLC by Maturity Level '!I22:I25)</f>
        <v>-8415000</v>
      </c>
      <c r="P58" s="79"/>
      <c r="Q58" s="80">
        <f>O58-O$15</f>
        <v>935000</v>
      </c>
      <c r="R58" s="79"/>
      <c r="S58" s="80">
        <f>O58-O49</f>
        <v>467500</v>
      </c>
      <c r="T58" s="79"/>
      <c r="U58" s="80" t="s">
        <v>301</v>
      </c>
      <c r="V58" s="80">
        <f>-SUM('Annual WLC by Maturity Level '!$I$22)</f>
        <v>0</v>
      </c>
      <c r="W58" s="79"/>
      <c r="X58" s="80">
        <f>V58-V$15</f>
        <v>0</v>
      </c>
      <c r="Y58" s="79"/>
      <c r="Z58" s="80">
        <f>V58-V49</f>
        <v>0</v>
      </c>
      <c r="AB58" s="80" t="s">
        <v>301</v>
      </c>
      <c r="AC58" s="80">
        <f>-SUM('Annual WLC by Maturity Level '!$I$23)</f>
        <v>-8415000</v>
      </c>
      <c r="AD58" s="79"/>
      <c r="AE58" s="80">
        <f>AC58-AC$15</f>
        <v>935000</v>
      </c>
      <c r="AF58" s="79"/>
      <c r="AG58" s="80">
        <f>AC58-AC49</f>
        <v>467500</v>
      </c>
      <c r="AI58" s="80" t="s">
        <v>301</v>
      </c>
      <c r="AJ58" s="80">
        <f>-SUM('Annual WLC by Maturity Level '!$I$24)</f>
        <v>0</v>
      </c>
      <c r="AK58" s="79"/>
      <c r="AL58" s="80">
        <f>AJ58-AJ$15</f>
        <v>0</v>
      </c>
      <c r="AM58" s="79"/>
      <c r="AN58" s="80">
        <f>AJ58-AJ49</f>
        <v>0</v>
      </c>
      <c r="AP58" s="80" t="s">
        <v>301</v>
      </c>
      <c r="AQ58" s="80">
        <f>-SUM('Annual WLC by Maturity Level '!$I$25)</f>
        <v>0</v>
      </c>
      <c r="AR58" s="79"/>
      <c r="AS58" s="80">
        <f>AQ58-AQ$15</f>
        <v>0</v>
      </c>
      <c r="AT58" s="79"/>
      <c r="AU58" s="80">
        <f>AQ58-AQ49</f>
        <v>0</v>
      </c>
    </row>
    <row r="59" spans="1:47">
      <c r="A59" s="19"/>
      <c r="B59" s="19"/>
      <c r="C59" s="79"/>
      <c r="D59" s="79"/>
      <c r="E59" s="79"/>
      <c r="F59" s="79"/>
      <c r="G59" s="79"/>
      <c r="H59" s="79"/>
      <c r="I59" s="79"/>
      <c r="J59" s="79"/>
      <c r="K59" s="79"/>
      <c r="L59" s="79"/>
      <c r="M59" s="79"/>
      <c r="N59" s="80" t="s">
        <v>206</v>
      </c>
      <c r="O59" s="80">
        <f>-SUM('Annual WLC by Maturity Level '!I26:I33)</f>
        <v>-85006.75</v>
      </c>
      <c r="P59" s="79"/>
      <c r="Q59" s="80">
        <f>O59-O$16</f>
        <v>-70000</v>
      </c>
      <c r="R59" s="79"/>
      <c r="S59" s="80">
        <f>O59-O50</f>
        <v>-11700</v>
      </c>
      <c r="T59" s="79"/>
      <c r="U59" s="80" t="s">
        <v>206</v>
      </c>
      <c r="V59" s="80">
        <f>-SUM('Annual WLC by Maturity Level '!$I$26:$I$27)</f>
        <v>-6.75</v>
      </c>
      <c r="W59" s="79"/>
      <c r="X59" s="80">
        <f>V59-V$16</f>
        <v>0</v>
      </c>
      <c r="Y59" s="79"/>
      <c r="Z59" s="80">
        <f>V59-V50</f>
        <v>0</v>
      </c>
      <c r="AB59" s="80" t="s">
        <v>206</v>
      </c>
      <c r="AC59" s="80">
        <f>-SUM('Annual WLC by Maturity Level '!$I$28:$I$29)</f>
        <v>-59000</v>
      </c>
      <c r="AD59" s="79"/>
      <c r="AE59" s="80">
        <f>AC59-AC$16</f>
        <v>-44000</v>
      </c>
      <c r="AF59" s="79"/>
      <c r="AG59" s="80">
        <f>AC59-AC50</f>
        <v>-8190</v>
      </c>
      <c r="AI59" s="80" t="s">
        <v>206</v>
      </c>
      <c r="AJ59" s="80">
        <f>-SUM('Annual WLC by Maturity Level '!$I$30:$I$31)</f>
        <v>0</v>
      </c>
      <c r="AK59" s="79"/>
      <c r="AL59" s="80">
        <f>AJ59-AJ$16</f>
        <v>0</v>
      </c>
      <c r="AM59" s="79"/>
      <c r="AN59" s="80">
        <f>AJ59-AJ50</f>
        <v>0</v>
      </c>
      <c r="AP59" s="80" t="s">
        <v>206</v>
      </c>
      <c r="AQ59" s="80">
        <f>-SUM('Annual WLC by Maturity Level '!$I$32:$I$33)</f>
        <v>-26000</v>
      </c>
      <c r="AR59" s="79"/>
      <c r="AS59" s="80">
        <f>AQ59-AQ$16</f>
        <v>-26000</v>
      </c>
      <c r="AT59" s="79"/>
      <c r="AU59" s="80">
        <f>AQ59-AQ50</f>
        <v>-3510</v>
      </c>
    </row>
    <row r="60" spans="1:47">
      <c r="A60" s="19"/>
      <c r="B60" s="19"/>
      <c r="C60" s="79"/>
      <c r="D60" s="79"/>
      <c r="E60" s="79"/>
      <c r="F60" s="79"/>
      <c r="G60" s="79"/>
      <c r="H60" s="79"/>
      <c r="I60" s="79"/>
      <c r="J60" s="79"/>
      <c r="K60" s="79"/>
      <c r="L60" s="79"/>
      <c r="M60" s="79"/>
      <c r="N60" s="81" t="s">
        <v>207</v>
      </c>
      <c r="O60" s="81">
        <f>SUM(O57:O59)</f>
        <v>-8967491.2300000004</v>
      </c>
      <c r="P60" s="79"/>
      <c r="Q60" s="81">
        <f>SUM(Q57:Q59)</f>
        <v>981871.12000000011</v>
      </c>
      <c r="R60" s="79"/>
      <c r="S60" s="81">
        <f>SUM(S57:S59)</f>
        <v>455800</v>
      </c>
      <c r="T60" s="79"/>
      <c r="U60" s="81" t="s">
        <v>207</v>
      </c>
      <c r="V60" s="81">
        <f>SUM(V57:V59)</f>
        <v>-56006.75</v>
      </c>
      <c r="W60" s="79"/>
      <c r="X60" s="81">
        <f>SUM(X57:X59)</f>
        <v>14000</v>
      </c>
      <c r="Y60" s="79"/>
      <c r="Z60" s="81">
        <f>SUM(Z57:Z59)</f>
        <v>0</v>
      </c>
      <c r="AB60" s="81" t="s">
        <v>207</v>
      </c>
      <c r="AC60" s="81">
        <f>SUM(AC57:AC59)</f>
        <v>-8885484.4800000004</v>
      </c>
      <c r="AD60" s="79"/>
      <c r="AE60" s="81">
        <f>SUM(AE57:AE59)</f>
        <v>993871.12</v>
      </c>
      <c r="AF60" s="79"/>
      <c r="AG60" s="81">
        <f>SUM(AG57:AG59)</f>
        <v>459310</v>
      </c>
      <c r="AI60" s="81" t="s">
        <v>207</v>
      </c>
      <c r="AJ60" s="81">
        <f>SUM(AJ57:AJ59)</f>
        <v>0</v>
      </c>
      <c r="AK60" s="79"/>
      <c r="AL60" s="81">
        <f>SUM(AL57:AL59)</f>
        <v>0</v>
      </c>
      <c r="AM60" s="79"/>
      <c r="AN60" s="81">
        <f>SUM(AN57:AN59)</f>
        <v>0</v>
      </c>
      <c r="AP60" s="81" t="s">
        <v>207</v>
      </c>
      <c r="AQ60" s="81">
        <f>SUM(AQ57:AQ59)</f>
        <v>-26000</v>
      </c>
      <c r="AR60" s="79"/>
      <c r="AS60" s="81">
        <f>SUM(AS57:AS59)</f>
        <v>-26000</v>
      </c>
      <c r="AT60" s="79"/>
      <c r="AU60" s="81">
        <f>SUM(AU57:AU59)</f>
        <v>-3510</v>
      </c>
    </row>
    <row r="61" spans="1:47">
      <c r="A61" s="19"/>
      <c r="B61" s="19"/>
      <c r="C61" s="79"/>
      <c r="D61" s="79"/>
      <c r="E61" s="79"/>
      <c r="F61" s="79"/>
      <c r="G61" s="79"/>
      <c r="H61" s="79"/>
      <c r="I61" s="79"/>
      <c r="J61" s="79"/>
      <c r="K61" s="79"/>
      <c r="L61" s="79"/>
      <c r="M61" s="79"/>
      <c r="N61" s="81" t="s">
        <v>209</v>
      </c>
      <c r="O61" s="79"/>
      <c r="P61" s="79"/>
      <c r="Q61" s="81">
        <f ca="1">'AG-CF'!B65</f>
        <v>3118562.6540063047</v>
      </c>
      <c r="R61" s="79"/>
      <c r="S61" s="81">
        <f ca="1">Q61-Q52</f>
        <v>632834.71169855352</v>
      </c>
      <c r="T61" s="79"/>
      <c r="U61" s="81" t="s">
        <v>209</v>
      </c>
      <c r="V61" s="79"/>
      <c r="W61" s="79"/>
      <c r="X61" s="81">
        <f ca="1">'AG-CF'!C65</f>
        <v>77367.493779422992</v>
      </c>
      <c r="Y61" s="79"/>
      <c r="Z61" s="81">
        <f ca="1">X61-X52</f>
        <v>0</v>
      </c>
      <c r="AB61" s="81" t="s">
        <v>209</v>
      </c>
      <c r="AC61" s="79"/>
      <c r="AD61" s="79"/>
      <c r="AE61" s="81">
        <f ca="1">'AG-CF'!D65</f>
        <v>3266094.2798055424</v>
      </c>
      <c r="AF61" s="79"/>
      <c r="AG61" s="81">
        <f ca="1">AE61-AE52</f>
        <v>646516.49796462245</v>
      </c>
      <c r="AI61" s="81" t="s">
        <v>209</v>
      </c>
      <c r="AJ61" s="79"/>
      <c r="AK61" s="79"/>
      <c r="AL61" s="81">
        <f ca="1">'AG-CF'!E65</f>
        <v>0</v>
      </c>
      <c r="AM61" s="79"/>
      <c r="AN61" s="81">
        <f ca="1">AL61-AL52</f>
        <v>0</v>
      </c>
      <c r="AP61" s="81" t="s">
        <v>209</v>
      </c>
      <c r="AQ61" s="79"/>
      <c r="AR61" s="79"/>
      <c r="AS61" s="81">
        <f ca="1">'AG-CF'!F65</f>
        <v>-224899.11957866116</v>
      </c>
      <c r="AT61" s="79"/>
      <c r="AU61" s="81">
        <f ca="1">AS61-AS52</f>
        <v>-13681.786266068986</v>
      </c>
    </row>
    <row r="62" spans="1:47">
      <c r="A62" s="19"/>
      <c r="B62" s="19"/>
      <c r="C62" s="19"/>
      <c r="D62" s="19"/>
      <c r="E62" s="19"/>
      <c r="F62" s="19"/>
      <c r="G62" s="19"/>
      <c r="H62" s="19"/>
      <c r="I62" s="19"/>
      <c r="J62" s="19"/>
      <c r="K62" s="19"/>
      <c r="L62" s="19"/>
      <c r="M62" s="19"/>
      <c r="N62" s="81" t="s">
        <v>220</v>
      </c>
      <c r="O62" s="19"/>
      <c r="P62" s="19"/>
      <c r="Q62" s="67">
        <f ca="1">'AG-CF'!B66</f>
        <v>16.166106984289573</v>
      </c>
      <c r="R62" s="19"/>
      <c r="S62" s="67">
        <f ca="1">IF(S55&gt;=0,"n/a",S61/-S55)</f>
        <v>22.106374730148058</v>
      </c>
      <c r="T62" s="19"/>
      <c r="U62" s="81" t="s">
        <v>220</v>
      </c>
      <c r="V62" s="19"/>
      <c r="W62" s="19"/>
      <c r="X62" s="67" t="str">
        <f ca="1">'AG-CF'!C66</f>
        <v>n/a</v>
      </c>
      <c r="Y62" s="19"/>
      <c r="Z62" s="67" t="str">
        <f ca="1">IF(Z55&gt;=0,"n/a",Z61/-Z55)</f>
        <v>n/a</v>
      </c>
      <c r="AB62" s="81" t="s">
        <v>220</v>
      </c>
      <c r="AC62" s="19"/>
      <c r="AD62" s="19"/>
      <c r="AE62" s="67">
        <f ca="1">'AG-CF'!D66</f>
        <v>24.186980352394222</v>
      </c>
      <c r="AF62" s="19"/>
      <c r="AG62" s="67">
        <f ca="1">IF(AG55&gt;=0,"n/a",AG61/-AG55)</f>
        <v>32.263301502238782</v>
      </c>
      <c r="AI62" s="81" t="s">
        <v>220</v>
      </c>
      <c r="AJ62" s="19"/>
      <c r="AK62" s="19"/>
      <c r="AL62" s="67" t="str">
        <f ca="1">'AG-CF'!E66</f>
        <v>n/a</v>
      </c>
      <c r="AM62" s="19"/>
      <c r="AN62" s="67" t="str">
        <f ca="1">IF(AN55&gt;=0,"n/a",AN61/-AN55)</f>
        <v>n/a</v>
      </c>
      <c r="AP62" s="81" t="s">
        <v>220</v>
      </c>
      <c r="AQ62" s="19"/>
      <c r="AR62" s="19"/>
      <c r="AS62" s="67">
        <f ca="1">'AG-CF'!F66</f>
        <v>-3.8861313486951681</v>
      </c>
      <c r="AT62" s="19"/>
      <c r="AU62" s="67">
        <f ca="1">IF(AU55&gt;=0,"n/a",AU61/-AU55)</f>
        <v>-1.5931210713969526</v>
      </c>
    </row>
    <row r="63" spans="1:47">
      <c r="A63" s="19"/>
      <c r="B63" s="19"/>
      <c r="C63" s="19"/>
      <c r="D63" s="19"/>
      <c r="E63" s="19"/>
      <c r="F63" s="19"/>
      <c r="G63" s="19"/>
      <c r="H63" s="19"/>
      <c r="I63" s="19"/>
      <c r="J63" s="19"/>
      <c r="K63" s="19"/>
      <c r="L63" s="19"/>
      <c r="M63" s="19"/>
      <c r="N63" s="19"/>
      <c r="O63" s="19"/>
      <c r="P63" s="19"/>
      <c r="Q63" s="19"/>
      <c r="R63" s="19"/>
      <c r="S63" s="19"/>
      <c r="T63" s="19"/>
      <c r="U63" s="19"/>
    </row>
    <row r="64" spans="1:47">
      <c r="A64" s="19"/>
    </row>
    <row r="67" spans="13:21">
      <c r="M67" s="19"/>
      <c r="N67" s="19"/>
      <c r="O67" s="19"/>
      <c r="P67" s="19"/>
      <c r="Q67" s="19"/>
      <c r="R67" s="19"/>
      <c r="S67" s="19"/>
      <c r="T67" s="19"/>
      <c r="U67" s="19"/>
    </row>
  </sheetData>
  <phoneticPr fontId="3" type="noConversion"/>
  <pageMargins left="0.75" right="0.75" top="0.54" bottom="0.56000000000000005" header="0.5" footer="0.5"/>
  <pageSetup paperSize="8" scale="97" orientation="landscape" r:id="rId1"/>
  <headerFooter alignWithMargins="0"/>
  <ignoredErrors>
    <ignoredError sqref="S42:S47 S60:S61 S51:S54 S56" formula="1"/>
  </ignoredErrors>
  <drawing r:id="rId2"/>
  <legacyDrawing r:id="rId3"/>
  <controls>
    <mc:AlternateContent xmlns:mc="http://schemas.openxmlformats.org/markup-compatibility/2006">
      <mc:Choice Requires="x14">
        <control shapeId="7261" r:id="rId4" name="Sens_MLevel_Investment_bt">
          <controlPr defaultSize="0" autoLine="0" r:id="rId5">
            <anchor moveWithCells="1">
              <from>
                <xdr:col>9</xdr:col>
                <xdr:colOff>9525</xdr:colOff>
                <xdr:row>9</xdr:row>
                <xdr:rowOff>9525</xdr:rowOff>
              </from>
              <to>
                <xdr:col>10</xdr:col>
                <xdr:colOff>0</xdr:colOff>
                <xdr:row>10</xdr:row>
                <xdr:rowOff>0</xdr:rowOff>
              </to>
            </anchor>
          </controlPr>
        </control>
      </mc:Choice>
      <mc:Fallback>
        <control shapeId="7261" r:id="rId4" name="Sens_MLevel_Investment_bt"/>
      </mc:Fallback>
    </mc:AlternateContent>
    <mc:AlternateContent xmlns:mc="http://schemas.openxmlformats.org/markup-compatibility/2006">
      <mc:Choice Requires="x14">
        <control shapeId="7260" r:id="rId6" name="Sens_MLevel_RCM_WLC_bt">
          <controlPr defaultSize="0" autoLine="0" r:id="rId5">
            <anchor moveWithCells="1">
              <from>
                <xdr:col>9</xdr:col>
                <xdr:colOff>9525</xdr:colOff>
                <xdr:row>8</xdr:row>
                <xdr:rowOff>9525</xdr:rowOff>
              </from>
              <to>
                <xdr:col>10</xdr:col>
                <xdr:colOff>0</xdr:colOff>
                <xdr:row>9</xdr:row>
                <xdr:rowOff>0</xdr:rowOff>
              </to>
            </anchor>
          </controlPr>
        </control>
      </mc:Choice>
      <mc:Fallback>
        <control shapeId="7260" r:id="rId6" name="Sens_MLevel_RCM_WLC_bt"/>
      </mc:Fallback>
    </mc:AlternateContent>
    <mc:AlternateContent xmlns:mc="http://schemas.openxmlformats.org/markup-compatibility/2006">
      <mc:Choice Requires="x14">
        <control shapeId="7259" r:id="rId7" name="Sens_MLevel_WLC_bt">
          <controlPr defaultSize="0" autoLine="0" r:id="rId5">
            <anchor moveWithCells="1">
              <from>
                <xdr:col>9</xdr:col>
                <xdr:colOff>9525</xdr:colOff>
                <xdr:row>7</xdr:row>
                <xdr:rowOff>9525</xdr:rowOff>
              </from>
              <to>
                <xdr:col>10</xdr:col>
                <xdr:colOff>0</xdr:colOff>
                <xdr:row>8</xdr:row>
                <xdr:rowOff>0</xdr:rowOff>
              </to>
            </anchor>
          </controlPr>
        </control>
      </mc:Choice>
      <mc:Fallback>
        <control shapeId="7259" r:id="rId7" name="Sens_MLevel_WLC_bt"/>
      </mc:Fallback>
    </mc:AlternateContent>
    <mc:AlternateContent xmlns:mc="http://schemas.openxmlformats.org/markup-compatibility/2006">
      <mc:Choice Requires="x14">
        <control shapeId="7258" r:id="rId8" name="Sens_MLevel_Risk_bt">
          <controlPr defaultSize="0" autoLine="0" r:id="rId5">
            <anchor moveWithCells="1">
              <from>
                <xdr:col>9</xdr:col>
                <xdr:colOff>9525</xdr:colOff>
                <xdr:row>6</xdr:row>
                <xdr:rowOff>9525</xdr:rowOff>
              </from>
              <to>
                <xdr:col>10</xdr:col>
                <xdr:colOff>0</xdr:colOff>
                <xdr:row>7</xdr:row>
                <xdr:rowOff>0</xdr:rowOff>
              </to>
            </anchor>
          </controlPr>
        </control>
      </mc:Choice>
      <mc:Fallback>
        <control shapeId="7258" r:id="rId8" name="Sens_MLevel_Risk_bt"/>
      </mc:Fallback>
    </mc:AlternateContent>
    <mc:AlternateContent xmlns:mc="http://schemas.openxmlformats.org/markup-compatibility/2006">
      <mc:Choice Requires="x14">
        <control shapeId="7257" r:id="rId9" name="Sens_Current_RCM_WLC_bt">
          <controlPr defaultSize="0" autoLine="0" r:id="rId5">
            <anchor moveWithCells="1">
              <from>
                <xdr:col>4</xdr:col>
                <xdr:colOff>9525</xdr:colOff>
                <xdr:row>8</xdr:row>
                <xdr:rowOff>9525</xdr:rowOff>
              </from>
              <to>
                <xdr:col>4</xdr:col>
                <xdr:colOff>180975</xdr:colOff>
                <xdr:row>9</xdr:row>
                <xdr:rowOff>0</xdr:rowOff>
              </to>
            </anchor>
          </controlPr>
        </control>
      </mc:Choice>
      <mc:Fallback>
        <control shapeId="7257" r:id="rId9" name="Sens_Current_RCM_WLC_bt"/>
      </mc:Fallback>
    </mc:AlternateContent>
    <mc:AlternateContent xmlns:mc="http://schemas.openxmlformats.org/markup-compatibility/2006">
      <mc:Choice Requires="x14">
        <control shapeId="7256" r:id="rId10" name="Sens_Current_WLC_bt">
          <controlPr defaultSize="0" autoLine="0" r:id="rId5">
            <anchor moveWithCells="1">
              <from>
                <xdr:col>4</xdr:col>
                <xdr:colOff>9525</xdr:colOff>
                <xdr:row>7</xdr:row>
                <xdr:rowOff>9525</xdr:rowOff>
              </from>
              <to>
                <xdr:col>4</xdr:col>
                <xdr:colOff>180975</xdr:colOff>
                <xdr:row>8</xdr:row>
                <xdr:rowOff>0</xdr:rowOff>
              </to>
            </anchor>
          </controlPr>
        </control>
      </mc:Choice>
      <mc:Fallback>
        <control shapeId="7256" r:id="rId10" name="Sens_Current_WLC_bt"/>
      </mc:Fallback>
    </mc:AlternateContent>
    <mc:AlternateContent xmlns:mc="http://schemas.openxmlformats.org/markup-compatibility/2006">
      <mc:Choice Requires="x14">
        <control shapeId="7255" r:id="rId11" name="Sens_Current_Risk_bt">
          <controlPr defaultSize="0" autoLine="0" r:id="rId5">
            <anchor moveWithCells="1">
              <from>
                <xdr:col>4</xdr:col>
                <xdr:colOff>9525</xdr:colOff>
                <xdr:row>6</xdr:row>
                <xdr:rowOff>9525</xdr:rowOff>
              </from>
              <to>
                <xdr:col>4</xdr:col>
                <xdr:colOff>180975</xdr:colOff>
                <xdr:row>7</xdr:row>
                <xdr:rowOff>0</xdr:rowOff>
              </to>
            </anchor>
          </controlPr>
        </control>
      </mc:Choice>
      <mc:Fallback>
        <control shapeId="7255" r:id="rId11" name="Sens_Current_Risk_bt"/>
      </mc:Fallback>
    </mc:AlternateContent>
    <mc:AlternateContent xmlns:mc="http://schemas.openxmlformats.org/markup-compatibility/2006">
      <mc:Choice Requires="x14">
        <control shapeId="7254" r:id="rId12" name="Sens_MLevel_Investment_sbar">
          <controlPr defaultSize="0" autoLine="0" linkedCell="Sens_MLevel_Investment" r:id="rId13">
            <anchor moveWithCells="1">
              <from>
                <xdr:col>10</xdr:col>
                <xdr:colOff>0</xdr:colOff>
                <xdr:row>9</xdr:row>
                <xdr:rowOff>0</xdr:rowOff>
              </from>
              <to>
                <xdr:col>11</xdr:col>
                <xdr:colOff>790575</xdr:colOff>
                <xdr:row>10</xdr:row>
                <xdr:rowOff>0</xdr:rowOff>
              </to>
            </anchor>
          </controlPr>
        </control>
      </mc:Choice>
      <mc:Fallback>
        <control shapeId="7254" r:id="rId12" name="Sens_MLevel_Investment_sbar"/>
      </mc:Fallback>
    </mc:AlternateContent>
    <mc:AlternateContent xmlns:mc="http://schemas.openxmlformats.org/markup-compatibility/2006">
      <mc:Choice Requires="x14">
        <control shapeId="7253" r:id="rId14" name="Sens_MLevel_RCM_WLC_sbar">
          <controlPr defaultSize="0" autoLine="0" linkedCell="Sens_MLevel_RCM_WLC" r:id="rId13">
            <anchor moveWithCells="1">
              <from>
                <xdr:col>10</xdr:col>
                <xdr:colOff>0</xdr:colOff>
                <xdr:row>8</xdr:row>
                <xdr:rowOff>0</xdr:rowOff>
              </from>
              <to>
                <xdr:col>11</xdr:col>
                <xdr:colOff>790575</xdr:colOff>
                <xdr:row>9</xdr:row>
                <xdr:rowOff>0</xdr:rowOff>
              </to>
            </anchor>
          </controlPr>
        </control>
      </mc:Choice>
      <mc:Fallback>
        <control shapeId="7253" r:id="rId14" name="Sens_MLevel_RCM_WLC_sbar"/>
      </mc:Fallback>
    </mc:AlternateContent>
    <mc:AlternateContent xmlns:mc="http://schemas.openxmlformats.org/markup-compatibility/2006">
      <mc:Choice Requires="x14">
        <control shapeId="7252" r:id="rId15" name="Sens_MLevel_WLC_sbar">
          <controlPr defaultSize="0" autoLine="0" linkedCell="Sens_MLevel_WLC" r:id="rId13">
            <anchor moveWithCells="1">
              <from>
                <xdr:col>10</xdr:col>
                <xdr:colOff>0</xdr:colOff>
                <xdr:row>7</xdr:row>
                <xdr:rowOff>0</xdr:rowOff>
              </from>
              <to>
                <xdr:col>11</xdr:col>
                <xdr:colOff>790575</xdr:colOff>
                <xdr:row>8</xdr:row>
                <xdr:rowOff>0</xdr:rowOff>
              </to>
            </anchor>
          </controlPr>
        </control>
      </mc:Choice>
      <mc:Fallback>
        <control shapeId="7252" r:id="rId15" name="Sens_MLevel_WLC_sbar"/>
      </mc:Fallback>
    </mc:AlternateContent>
    <mc:AlternateContent xmlns:mc="http://schemas.openxmlformats.org/markup-compatibility/2006">
      <mc:Choice Requires="x14">
        <control shapeId="7251" r:id="rId16" name="Sens_MLevel_Risk_sbar">
          <controlPr defaultSize="0" autoLine="0" linkedCell="Sens_MLevel_Risk" r:id="rId13">
            <anchor moveWithCells="1">
              <from>
                <xdr:col>10</xdr:col>
                <xdr:colOff>0</xdr:colOff>
                <xdr:row>6</xdr:row>
                <xdr:rowOff>0</xdr:rowOff>
              </from>
              <to>
                <xdr:col>11</xdr:col>
                <xdr:colOff>790575</xdr:colOff>
                <xdr:row>7</xdr:row>
                <xdr:rowOff>0</xdr:rowOff>
              </to>
            </anchor>
          </controlPr>
        </control>
      </mc:Choice>
      <mc:Fallback>
        <control shapeId="7251" r:id="rId16" name="Sens_MLevel_Risk_sbar"/>
      </mc:Fallback>
    </mc:AlternateContent>
    <mc:AlternateContent xmlns:mc="http://schemas.openxmlformats.org/markup-compatibility/2006">
      <mc:Choice Requires="x14">
        <control shapeId="7250" r:id="rId17" name="Sens_Current_RCM_WLC_sbar">
          <controlPr defaultSize="0" autoLine="0" autoPict="0" linkedCell="Sens_Current_RCM_WLC" r:id="rId13">
            <anchor moveWithCells="1">
              <from>
                <xdr:col>5</xdr:col>
                <xdr:colOff>0</xdr:colOff>
                <xdr:row>8</xdr:row>
                <xdr:rowOff>0</xdr:rowOff>
              </from>
              <to>
                <xdr:col>7</xdr:col>
                <xdr:colOff>171450</xdr:colOff>
                <xdr:row>9</xdr:row>
                <xdr:rowOff>0</xdr:rowOff>
              </to>
            </anchor>
          </controlPr>
        </control>
      </mc:Choice>
      <mc:Fallback>
        <control shapeId="7250" r:id="rId17" name="Sens_Current_RCM_WLC_sbar"/>
      </mc:Fallback>
    </mc:AlternateContent>
    <mc:AlternateContent xmlns:mc="http://schemas.openxmlformats.org/markup-compatibility/2006">
      <mc:Choice Requires="x14">
        <control shapeId="7249" r:id="rId18" name="Sens_Current_WLC_sbar">
          <controlPr defaultSize="0" autoLine="0" autoPict="0" linkedCell="Sens_Current_WLC" r:id="rId13">
            <anchor moveWithCells="1">
              <from>
                <xdr:col>5</xdr:col>
                <xdr:colOff>0</xdr:colOff>
                <xdr:row>7</xdr:row>
                <xdr:rowOff>0</xdr:rowOff>
              </from>
              <to>
                <xdr:col>7</xdr:col>
                <xdr:colOff>171450</xdr:colOff>
                <xdr:row>8</xdr:row>
                <xdr:rowOff>0</xdr:rowOff>
              </to>
            </anchor>
          </controlPr>
        </control>
      </mc:Choice>
      <mc:Fallback>
        <control shapeId="7249" r:id="rId18" name="Sens_Current_WLC_sbar"/>
      </mc:Fallback>
    </mc:AlternateContent>
    <mc:AlternateContent xmlns:mc="http://schemas.openxmlformats.org/markup-compatibility/2006">
      <mc:Choice Requires="x14">
        <control shapeId="7247" r:id="rId19" name="Sens_Current_Risk_sbar">
          <controlPr defaultSize="0" autoLine="0" autoPict="0" linkedCell="Sens_Current_Risk" r:id="rId13">
            <anchor moveWithCells="1">
              <from>
                <xdr:col>5</xdr:col>
                <xdr:colOff>0</xdr:colOff>
                <xdr:row>6</xdr:row>
                <xdr:rowOff>0</xdr:rowOff>
              </from>
              <to>
                <xdr:col>7</xdr:col>
                <xdr:colOff>171450</xdr:colOff>
                <xdr:row>7</xdr:row>
                <xdr:rowOff>0</xdr:rowOff>
              </to>
            </anchor>
          </controlPr>
        </control>
      </mc:Choice>
      <mc:Fallback>
        <control shapeId="7247" r:id="rId19" name="Sens_Current_Risk_sbar"/>
      </mc:Fallback>
    </mc:AlternateContent>
    <mc:AlternateContent xmlns:mc="http://schemas.openxmlformats.org/markup-compatibility/2006">
      <mc:Choice Requires="x14">
        <control shapeId="7268" r:id="rId20" name="Button 10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7269" r:id="rId21" name="Button 101">
          <controlPr locked="0" defaultSize="0" print="0" autoFill="0" autoPict="0" macro="[0]!ShowMenu">
            <anchor>
              <from>
                <xdr:col>0</xdr:col>
                <xdr:colOff>28575</xdr:colOff>
                <xdr:row>1</xdr:row>
                <xdr:rowOff>95250</xdr:rowOff>
              </from>
              <to>
                <xdr:col>0</xdr:col>
                <xdr:colOff>657225</xdr:colOff>
                <xdr:row>1</xdr:row>
                <xdr:rowOff>285750</xdr:rowOff>
              </to>
            </anchor>
          </controlPr>
        </control>
      </mc:Choice>
    </mc:AlternateContent>
    <mc:AlternateContent xmlns:mc="http://schemas.openxmlformats.org/markup-compatibility/2006">
      <mc:Choice Requires="x14">
        <control shapeId="7270" r:id="rId22" name="Button 102">
          <controlPr locked="0" defaultSize="0" print="0" autoFill="0" autoPict="0" macro="[0]!PrevSheet">
            <anchor>
              <from>
                <xdr:col>0</xdr:col>
                <xdr:colOff>28575</xdr:colOff>
                <xdr:row>1</xdr:row>
                <xdr:rowOff>314325</xdr:rowOff>
              </from>
              <to>
                <xdr:col>0</xdr:col>
                <xdr:colOff>228600</xdr:colOff>
                <xdr:row>3</xdr:row>
                <xdr:rowOff>0</xdr:rowOff>
              </to>
            </anchor>
          </controlPr>
        </control>
      </mc:Choice>
    </mc:AlternateContent>
    <mc:AlternateContent xmlns:mc="http://schemas.openxmlformats.org/markup-compatibility/2006">
      <mc:Choice Requires="x14">
        <control shapeId="7271" r:id="rId23" name="Button 103">
          <controlPr locked="0" defaultSize="0" print="0" autoFill="0" autoPict="0" macro="[0]!NextSheet">
            <anchor>
              <from>
                <xdr:col>0</xdr:col>
                <xdr:colOff>457200</xdr:colOff>
                <xdr:row>1</xdr:row>
                <xdr:rowOff>314325</xdr:rowOff>
              </from>
              <to>
                <xdr:col>0</xdr:col>
                <xdr:colOff>657225</xdr:colOff>
                <xdr:row>3</xdr:row>
                <xdr:rowOff>0</xdr:rowOff>
              </to>
            </anchor>
          </controlPr>
        </control>
      </mc:Choice>
    </mc:AlternateContent>
    <mc:AlternateContent xmlns:mc="http://schemas.openxmlformats.org/markup-compatibility/2006">
      <mc:Choice Requires="x14">
        <control shapeId="7272" r:id="rId24" name="Button 104">
          <controlPr locked="0" defaultSize="0" print="0" autoFill="0" autoPict="0" macro="[0]!HideActiveSheet">
            <anchor>
              <from>
                <xdr:col>0</xdr:col>
                <xdr:colOff>247650</xdr:colOff>
                <xdr:row>1</xdr:row>
                <xdr:rowOff>314325</xdr:rowOff>
              </from>
              <to>
                <xdr:col>0</xdr:col>
                <xdr:colOff>438150</xdr:colOff>
                <xdr:row>3</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WLC_by_ML">
    <tabColor indexed="41"/>
  </sheetPr>
  <dimension ref="A1:AG88"/>
  <sheetViews>
    <sheetView topLeftCell="A46" workbookViewId="0">
      <selection activeCell="F87" sqref="F87"/>
    </sheetView>
  </sheetViews>
  <sheetFormatPr defaultColWidth="9.140625" defaultRowHeight="12.75" outlineLevelRow="1"/>
  <cols>
    <col min="1" max="1" width="27.28515625" style="1" customWidth="1"/>
    <col min="2" max="2" width="25.7109375" style="1" customWidth="1"/>
    <col min="3" max="3" width="17.42578125" style="1" customWidth="1"/>
    <col min="4" max="4" width="3" style="1" customWidth="1"/>
    <col min="5" max="9" width="14.28515625" style="1" customWidth="1"/>
    <col min="10" max="10" width="5" style="1" customWidth="1"/>
    <col min="11" max="11" width="14.28515625" style="1" customWidth="1"/>
    <col min="12" max="12" width="3" style="1" customWidth="1"/>
    <col min="13" max="17" width="14.28515625" style="1" customWidth="1"/>
    <col min="18" max="18" width="5" style="1" customWidth="1"/>
    <col min="19" max="19" width="14.28515625" style="1" customWidth="1"/>
    <col min="20" max="20" width="3" style="1" customWidth="1"/>
    <col min="21" max="25" width="14.28515625" style="1" customWidth="1"/>
    <col min="26" max="26" width="5" style="1" customWidth="1"/>
    <col min="27" max="27" width="14.28515625" style="1" customWidth="1"/>
    <col min="28" max="28" width="3" style="1" customWidth="1"/>
    <col min="29" max="33" width="14.28515625" style="1" customWidth="1"/>
    <col min="34" max="16384" width="9.140625" style="1"/>
  </cols>
  <sheetData>
    <row r="1" spans="1:33">
      <c r="A1" s="19"/>
      <c r="B1" s="19"/>
      <c r="C1" s="19"/>
      <c r="K1" s="19"/>
    </row>
    <row r="2" spans="1:33">
      <c r="A2" s="19"/>
      <c r="B2" s="23"/>
      <c r="C2" s="19"/>
      <c r="K2" s="19"/>
    </row>
    <row r="3" spans="1:33">
      <c r="A3" s="19"/>
      <c r="B3" s="19"/>
      <c r="C3" s="19"/>
      <c r="K3" s="19"/>
    </row>
    <row r="4" spans="1:33" ht="15.75">
      <c r="A4" s="19"/>
      <c r="B4" s="19"/>
      <c r="C4" s="24"/>
      <c r="E4" s="2"/>
      <c r="K4" s="24"/>
      <c r="M4" s="2"/>
      <c r="S4" s="2"/>
      <c r="T4" s="2"/>
      <c r="U4" s="2"/>
    </row>
    <row r="5" spans="1:33" s="10" customFormat="1" ht="18.75">
      <c r="A5" s="100" t="s">
        <v>208</v>
      </c>
      <c r="B5" s="101"/>
      <c r="C5" s="102"/>
      <c r="D5" s="101"/>
      <c r="E5" s="103"/>
      <c r="F5" s="101"/>
      <c r="G5" s="101"/>
      <c r="H5" s="101"/>
      <c r="I5" s="101"/>
      <c r="J5" s="101"/>
      <c r="K5" s="102"/>
      <c r="L5" s="101"/>
      <c r="M5" s="103"/>
      <c r="N5" s="101"/>
      <c r="O5" s="101"/>
      <c r="P5" s="101"/>
      <c r="Q5" s="101"/>
      <c r="R5" s="101"/>
      <c r="S5" s="103"/>
      <c r="T5" s="103"/>
      <c r="U5" s="103"/>
      <c r="V5" s="101"/>
      <c r="W5" s="101"/>
      <c r="X5" s="101"/>
      <c r="Y5" s="101"/>
      <c r="Z5" s="101"/>
      <c r="AA5" s="101"/>
      <c r="AB5" s="101"/>
      <c r="AC5" s="101"/>
      <c r="AD5" s="101"/>
      <c r="AE5" s="101"/>
      <c r="AF5" s="101"/>
      <c r="AG5" s="101"/>
    </row>
    <row r="6" spans="1:33" ht="15.75">
      <c r="A6" s="104"/>
      <c r="B6" s="21"/>
      <c r="C6" s="21"/>
      <c r="D6" s="21"/>
      <c r="E6" s="22"/>
      <c r="F6" s="21"/>
      <c r="G6" s="21"/>
      <c r="H6" s="21"/>
      <c r="I6" s="21"/>
      <c r="J6" s="21"/>
      <c r="K6" s="21"/>
      <c r="L6" s="21"/>
      <c r="M6" s="22"/>
      <c r="N6" s="21"/>
      <c r="O6" s="21"/>
      <c r="P6" s="21"/>
      <c r="Q6" s="21"/>
      <c r="R6" s="21"/>
      <c r="S6" s="22"/>
      <c r="T6" s="22"/>
      <c r="U6" s="22"/>
      <c r="V6" s="21"/>
      <c r="W6" s="21"/>
      <c r="X6" s="21"/>
      <c r="Y6" s="21"/>
      <c r="Z6" s="21"/>
      <c r="AA6" s="21"/>
      <c r="AB6" s="21"/>
      <c r="AC6" s="21"/>
      <c r="AD6" s="21"/>
      <c r="AE6" s="21"/>
      <c r="AF6" s="21"/>
      <c r="AG6" s="21"/>
    </row>
    <row r="7" spans="1:33" ht="15.75">
      <c r="A7" s="119" t="str">
        <f>'Asset Info'!B7&amp;" - " &amp;'RCM Future - Costs'!B8</f>
        <v>Plain Line Track - Option 1 - Daily track data</v>
      </c>
      <c r="B7" s="21"/>
      <c r="C7" s="21"/>
      <c r="D7" s="21"/>
      <c r="E7" s="22"/>
      <c r="F7" s="21"/>
      <c r="G7" s="21"/>
      <c r="H7" s="21"/>
      <c r="I7" s="21"/>
      <c r="J7" s="21"/>
      <c r="K7" s="105" t="s">
        <v>80</v>
      </c>
      <c r="L7" s="105"/>
      <c r="M7" s="105"/>
      <c r="N7" s="105"/>
      <c r="O7" s="105"/>
      <c r="P7" s="105"/>
      <c r="Q7" s="105"/>
      <c r="R7" s="21"/>
      <c r="S7" s="106" t="s">
        <v>81</v>
      </c>
      <c r="T7" s="106"/>
      <c r="U7" s="106"/>
      <c r="V7" s="107"/>
      <c r="W7" s="107"/>
      <c r="X7" s="107"/>
      <c r="Y7" s="107"/>
      <c r="Z7" s="21"/>
      <c r="AA7" s="108" t="s">
        <v>82</v>
      </c>
      <c r="AB7" s="108"/>
      <c r="AC7" s="108"/>
      <c r="AD7" s="109"/>
      <c r="AE7" s="109"/>
      <c r="AF7" s="109"/>
      <c r="AG7" s="109"/>
    </row>
    <row r="8" spans="1:33">
      <c r="A8" s="120" t="s">
        <v>125</v>
      </c>
      <c r="B8" s="21"/>
      <c r="C8" s="21"/>
      <c r="D8" s="21"/>
      <c r="E8" s="110" t="s">
        <v>162</v>
      </c>
      <c r="F8" s="111"/>
      <c r="G8" s="112"/>
      <c r="H8" s="111"/>
      <c r="I8" s="111"/>
      <c r="J8" s="21"/>
      <c r="K8" s="21"/>
      <c r="L8" s="21"/>
      <c r="M8" s="110" t="s">
        <v>162</v>
      </c>
      <c r="N8" s="111"/>
      <c r="O8" s="112"/>
      <c r="P8" s="111"/>
      <c r="Q8" s="111"/>
      <c r="R8" s="21"/>
      <c r="S8" s="21"/>
      <c r="T8" s="21"/>
      <c r="U8" s="110" t="s">
        <v>162</v>
      </c>
      <c r="V8" s="111"/>
      <c r="W8" s="112"/>
      <c r="X8" s="111"/>
      <c r="Y8" s="111"/>
      <c r="Z8" s="21"/>
      <c r="AA8" s="21"/>
      <c r="AB8" s="21"/>
      <c r="AC8" s="110" t="s">
        <v>162</v>
      </c>
      <c r="AD8" s="111"/>
      <c r="AE8" s="112"/>
      <c r="AF8" s="111"/>
      <c r="AG8" s="111"/>
    </row>
    <row r="9" spans="1:33" s="4" customFormat="1">
      <c r="A9" s="121"/>
      <c r="B9" s="111"/>
      <c r="C9" s="113" t="s">
        <v>73</v>
      </c>
      <c r="D9" s="113"/>
      <c r="E9" s="113" t="s">
        <v>111</v>
      </c>
      <c r="F9" s="113" t="s">
        <v>117</v>
      </c>
      <c r="G9" s="113" t="s">
        <v>118</v>
      </c>
      <c r="H9" s="113" t="s">
        <v>112</v>
      </c>
      <c r="I9" s="113" t="s">
        <v>113</v>
      </c>
      <c r="J9" s="111"/>
      <c r="K9" s="113" t="s">
        <v>73</v>
      </c>
      <c r="L9" s="113"/>
      <c r="M9" s="113" t="s">
        <v>111</v>
      </c>
      <c r="N9" s="113" t="s">
        <v>117</v>
      </c>
      <c r="O9" s="113" t="s">
        <v>118</v>
      </c>
      <c r="P9" s="113" t="s">
        <v>112</v>
      </c>
      <c r="Q9" s="113" t="s">
        <v>113</v>
      </c>
      <c r="R9" s="111"/>
      <c r="S9" s="113" t="s">
        <v>73</v>
      </c>
      <c r="T9" s="113"/>
      <c r="U9" s="113" t="s">
        <v>111</v>
      </c>
      <c r="V9" s="113" t="s">
        <v>117</v>
      </c>
      <c r="W9" s="113" t="s">
        <v>118</v>
      </c>
      <c r="X9" s="113" t="s">
        <v>112</v>
      </c>
      <c r="Y9" s="113" t="s">
        <v>113</v>
      </c>
      <c r="Z9" s="111"/>
      <c r="AA9" s="113" t="s">
        <v>73</v>
      </c>
      <c r="AB9" s="113"/>
      <c r="AC9" s="113" t="s">
        <v>111</v>
      </c>
      <c r="AD9" s="113" t="s">
        <v>117</v>
      </c>
      <c r="AE9" s="113" t="s">
        <v>118</v>
      </c>
      <c r="AF9" s="113" t="s">
        <v>112</v>
      </c>
      <c r="AG9" s="113" t="s">
        <v>113</v>
      </c>
    </row>
    <row r="10" spans="1:33" s="175" customFormat="1">
      <c r="A10" s="171" t="str">
        <f>"Asset Risk " &amp; 'Asset Info'!$C$10</f>
        <v>Asset Risk Crossrail</v>
      </c>
      <c r="B10" s="172" t="s">
        <v>68</v>
      </c>
      <c r="C10" s="173">
        <f>K10  + 'Maturity Level Summary'!$D$7  *
IF('Maturity Level Summary'!$D$7&gt;=0,  (S10-K10),  (K10-AA10))</f>
        <v>0</v>
      </c>
      <c r="D10" s="173"/>
      <c r="E10" s="173">
        <f>M10  + 'Maturity Level Summary'!$I$7  *
IF('Maturity Level Summary'!$I$7&gt;=0,  (U10-M10),  (M10-AC10))</f>
        <v>0</v>
      </c>
      <c r="F10" s="173">
        <f>N10  + 'Maturity Level Summary'!$I$7  *
IF('Maturity Level Summary'!$I$7&gt;=0,  (V10-N10),  (N10-AD10))</f>
        <v>0</v>
      </c>
      <c r="G10" s="173">
        <f>O10  + 'Maturity Level Summary'!$I$7  *
IF('Maturity Level Summary'!$I$7&gt;=0,  (W10-O10),  (O10-AE10))</f>
        <v>0</v>
      </c>
      <c r="H10" s="173">
        <f>P10  + 'Maturity Level Summary'!$I$7  *
IF('Maturity Level Summary'!$I$7&gt;=0,  (X10-P10),  (P10-AF10))</f>
        <v>0</v>
      </c>
      <c r="I10" s="173">
        <f>Q10  + 'Maturity Level Summary'!$I$7  *
IF('Maturity Level Summary'!$I$7&gt;=0,  (Y10-Q10),  (Q10-AG10))</f>
        <v>0</v>
      </c>
      <c r="J10" s="174"/>
      <c r="K10" s="173">
        <f>'Asset Risk'!C15</f>
        <v>0</v>
      </c>
      <c r="L10" s="173"/>
      <c r="M10" s="173">
        <f>'RCM Advancement - Benefits'!C31</f>
        <v>0</v>
      </c>
      <c r="N10" s="173">
        <f>'RCM Advancement - Benefits'!D31</f>
        <v>0</v>
      </c>
      <c r="O10" s="173">
        <f>'RCM Advancement - Benefits'!E31</f>
        <v>0</v>
      </c>
      <c r="P10" s="173">
        <f>'RCM Advancement - Benefits'!F31</f>
        <v>0</v>
      </c>
      <c r="Q10" s="173">
        <f>'RCM Advancement - Benefits'!G31</f>
        <v>0</v>
      </c>
      <c r="R10" s="174"/>
      <c r="S10" s="173">
        <f>'Asset Risk'!I15</f>
        <v>0</v>
      </c>
      <c r="T10" s="173"/>
      <c r="U10" s="173">
        <f>'RCM Advancement - Benefits'!I31</f>
        <v>0</v>
      </c>
      <c r="V10" s="173">
        <f>'RCM Advancement - Benefits'!J31</f>
        <v>0</v>
      </c>
      <c r="W10" s="173">
        <f>'RCM Advancement - Benefits'!K31</f>
        <v>0</v>
      </c>
      <c r="X10" s="173">
        <f>'RCM Advancement - Benefits'!L31</f>
        <v>0</v>
      </c>
      <c r="Y10" s="173">
        <f>'RCM Advancement - Benefits'!M31</f>
        <v>0</v>
      </c>
      <c r="Z10" s="172"/>
      <c r="AA10" s="173">
        <f>'Asset Risk'!O15</f>
        <v>0</v>
      </c>
      <c r="AB10" s="173"/>
      <c r="AC10" s="173">
        <f>'RCM Advancement - Benefits'!O31</f>
        <v>0</v>
      </c>
      <c r="AD10" s="173">
        <f>'RCM Advancement - Benefits'!P31</f>
        <v>0</v>
      </c>
      <c r="AE10" s="173">
        <f>'RCM Advancement - Benefits'!Q31</f>
        <v>0</v>
      </c>
      <c r="AF10" s="173">
        <f>'RCM Advancement - Benefits'!R31</f>
        <v>0</v>
      </c>
      <c r="AG10" s="173">
        <f>'RCM Advancement - Benefits'!S31</f>
        <v>0</v>
      </c>
    </row>
    <row r="11" spans="1:33" s="175" customFormat="1">
      <c r="A11" s="171"/>
      <c r="B11" s="172" t="s">
        <v>69</v>
      </c>
      <c r="C11" s="173">
        <f>K11  + 'Maturity Level Summary'!$D$7  *
IF('Maturity Level Summary'!$D$7&gt;=0,  (S11-K11),  (K11-AA11))</f>
        <v>65000</v>
      </c>
      <c r="D11" s="173"/>
      <c r="E11" s="173">
        <f>M11  + 'Maturity Level Summary'!$I$7  *
IF('Maturity Level Summary'!$I$7&gt;=0,  (U11-M11),  (M11-AC11))</f>
        <v>61750</v>
      </c>
      <c r="F11" s="173">
        <f>N11  + 'Maturity Level Summary'!$I$7  *
IF('Maturity Level Summary'!$I$7&gt;=0,  (V11-N11),  (N11-AD11))</f>
        <v>59800</v>
      </c>
      <c r="G11" s="173">
        <f>O11  + 'Maturity Level Summary'!$I$7  *
IF('Maturity Level Summary'!$I$7&gt;=0,  (W11-O11),  (O11-AE11))</f>
        <v>57850</v>
      </c>
      <c r="H11" s="173">
        <f>P11  + 'Maturity Level Summary'!$I$7  *
IF('Maturity Level Summary'!$I$7&gt;=0,  (X11-P11),  (P11-AF11))</f>
        <v>52000</v>
      </c>
      <c r="I11" s="173">
        <f>Q11  + 'Maturity Level Summary'!$I$7  *
IF('Maturity Level Summary'!$I$7&gt;=0,  (Y11-Q11),  (Q11-AG11))</f>
        <v>52000</v>
      </c>
      <c r="J11" s="174"/>
      <c r="K11" s="173">
        <f>'Asset Risk'!C26</f>
        <v>65000</v>
      </c>
      <c r="L11" s="173"/>
      <c r="M11" s="173">
        <f>'RCM Advancement - Benefits'!C32</f>
        <v>61750</v>
      </c>
      <c r="N11" s="173">
        <f>'RCM Advancement - Benefits'!D32</f>
        <v>59800</v>
      </c>
      <c r="O11" s="173">
        <f>'RCM Advancement - Benefits'!E32</f>
        <v>57850</v>
      </c>
      <c r="P11" s="173">
        <f>'RCM Advancement - Benefits'!F32</f>
        <v>52000</v>
      </c>
      <c r="Q11" s="173">
        <f>'RCM Advancement - Benefits'!G32</f>
        <v>52000</v>
      </c>
      <c r="R11" s="173"/>
      <c r="S11" s="173">
        <f>'Asset Risk'!I26</f>
        <v>75107.8125</v>
      </c>
      <c r="T11" s="173"/>
      <c r="U11" s="173">
        <f>'RCM Advancement - Benefits'!I32</f>
        <v>71540.19140625</v>
      </c>
      <c r="V11" s="173">
        <f>'RCM Advancement - Benefits'!J32</f>
        <v>69399.618750000009</v>
      </c>
      <c r="W11" s="173">
        <f>'RCM Advancement - Benefits'!K32</f>
        <v>67259.046093750003</v>
      </c>
      <c r="X11" s="173">
        <f>'RCM Advancement - Benefits'!L32</f>
        <v>60837.328125000007</v>
      </c>
      <c r="Y11" s="173">
        <f>'RCM Advancement - Benefits'!M32</f>
        <v>60837.328125000007</v>
      </c>
      <c r="Z11" s="172"/>
      <c r="AA11" s="173">
        <f>'Asset Risk'!O26</f>
        <v>55842.1875</v>
      </c>
      <c r="AB11" s="173"/>
      <c r="AC11" s="173">
        <f>'RCM Advancement - Benefits'!O32</f>
        <v>52910.47265625</v>
      </c>
      <c r="AD11" s="173">
        <f>'RCM Advancement - Benefits'!P32</f>
        <v>51151.443749999999</v>
      </c>
      <c r="AE11" s="173">
        <f>'RCM Advancement - Benefits'!Q32</f>
        <v>49392.414843749997</v>
      </c>
      <c r="AF11" s="173">
        <f>'RCM Advancement - Benefits'!R32</f>
        <v>44115.328125</v>
      </c>
      <c r="AG11" s="173">
        <f>'RCM Advancement - Benefits'!S32</f>
        <v>44115.328125</v>
      </c>
    </row>
    <row r="12" spans="1:33" s="175" customFormat="1">
      <c r="A12" s="171"/>
      <c r="B12" s="172" t="s">
        <v>3</v>
      </c>
      <c r="C12" s="173">
        <f>K12  + 'Maturity Level Summary'!$D$7  *
IF('Maturity Level Summary'!$D$7&gt;=0,  (S12-K12),  (K12-AA12))</f>
        <v>5000</v>
      </c>
      <c r="D12" s="173"/>
      <c r="E12" s="173">
        <f>M12  + 'Maturity Level Summary'!$I$7  *
IF('Maturity Level Summary'!$I$7&gt;=0,  (U12-M12),  (M12-AC12))</f>
        <v>4750</v>
      </c>
      <c r="F12" s="173">
        <f>N12  + 'Maturity Level Summary'!$I$7  *
IF('Maturity Level Summary'!$I$7&gt;=0,  (V12-N12),  (N12-AD12))</f>
        <v>4600</v>
      </c>
      <c r="G12" s="173">
        <f>O12  + 'Maturity Level Summary'!$I$7  *
IF('Maturity Level Summary'!$I$7&gt;=0,  (W12-O12),  (O12-AE12))</f>
        <v>4450</v>
      </c>
      <c r="H12" s="173">
        <f>P12  + 'Maturity Level Summary'!$I$7  *
IF('Maturity Level Summary'!$I$7&gt;=0,  (X12-P12),  (P12-AF12))</f>
        <v>4000</v>
      </c>
      <c r="I12" s="173">
        <f>Q12  + 'Maturity Level Summary'!$I$7  *
IF('Maturity Level Summary'!$I$7&gt;=0,  (Y12-Q12),  (Q12-AG12))</f>
        <v>4000</v>
      </c>
      <c r="J12" s="174"/>
      <c r="K12" s="173">
        <f>'Asset Risk'!C32</f>
        <v>5000</v>
      </c>
      <c r="L12" s="173"/>
      <c r="M12" s="173">
        <f>'RCM Advancement - Benefits'!C33</f>
        <v>4750</v>
      </c>
      <c r="N12" s="173">
        <f>'RCM Advancement - Benefits'!D33</f>
        <v>4600</v>
      </c>
      <c r="O12" s="173">
        <f>'RCM Advancement - Benefits'!E33</f>
        <v>4450</v>
      </c>
      <c r="P12" s="173">
        <f>'RCM Advancement - Benefits'!F33</f>
        <v>4000</v>
      </c>
      <c r="Q12" s="173">
        <f>'RCM Advancement - Benefits'!G33</f>
        <v>4000</v>
      </c>
      <c r="R12" s="174"/>
      <c r="S12" s="173">
        <f>'Asset Risk'!I32</f>
        <v>5512.5</v>
      </c>
      <c r="T12" s="173"/>
      <c r="U12" s="173">
        <f>'RCM Advancement - Benefits'!I33</f>
        <v>5250.65625</v>
      </c>
      <c r="V12" s="173">
        <f>'RCM Advancement - Benefits'!J33</f>
        <v>5093.55</v>
      </c>
      <c r="W12" s="173">
        <f>'RCM Advancement - Benefits'!K33</f>
        <v>4936.4437499999995</v>
      </c>
      <c r="X12" s="173">
        <f>'RCM Advancement - Benefits'!L33</f>
        <v>4465.125</v>
      </c>
      <c r="Y12" s="173">
        <f>'RCM Advancement - Benefits'!M33</f>
        <v>4465.125</v>
      </c>
      <c r="Z12" s="172"/>
      <c r="AA12" s="173">
        <f>'Asset Risk'!O32</f>
        <v>4512.5</v>
      </c>
      <c r="AB12" s="173"/>
      <c r="AC12" s="173">
        <f>'RCM Advancement - Benefits'!O33</f>
        <v>4275.59375</v>
      </c>
      <c r="AD12" s="173">
        <f>'RCM Advancement - Benefits'!P33</f>
        <v>4133.45</v>
      </c>
      <c r="AE12" s="173">
        <f>'RCM Advancement - Benefits'!Q33</f>
        <v>3991.3062499999996</v>
      </c>
      <c r="AF12" s="173">
        <f>'RCM Advancement - Benefits'!R33</f>
        <v>3564.875</v>
      </c>
      <c r="AG12" s="173">
        <f>'RCM Advancement - Benefits'!S33</f>
        <v>3564.875</v>
      </c>
    </row>
    <row r="13" spans="1:33" s="175" customFormat="1">
      <c r="A13" s="171" t="str">
        <f>"Asset Risk " &amp; 'Asset Info'!$D$10</f>
        <v>Asset Risk NR Western</v>
      </c>
      <c r="B13" s="172" t="s">
        <v>68</v>
      </c>
      <c r="C13" s="173">
        <f>K13  + 'Maturity Level Summary'!$D$7  *
IF('Maturity Level Summary'!$D$7&gt;=0,  (S13-K13),  (K13-AA13))</f>
        <v>178355.6</v>
      </c>
      <c r="D13" s="173"/>
      <c r="E13" s="173">
        <f>M13  + 'Maturity Level Summary'!$I$7  *
IF('Maturity Level Summary'!$I$7&gt;=0,  (U13-M13),  (M13-AC13))</f>
        <v>169437.82</v>
      </c>
      <c r="F13" s="173">
        <f>N13  + 'Maturity Level Summary'!$I$7  *
IF('Maturity Level Summary'!$I$7&gt;=0,  (V13-N13),  (N13-AD13))</f>
        <v>164087.152</v>
      </c>
      <c r="G13" s="173">
        <f>O13  + 'Maturity Level Summary'!$I$7  *
IF('Maturity Level Summary'!$I$7&gt;=0,  (W13-O13),  (O13-AE13))</f>
        <v>158736.484</v>
      </c>
      <c r="H13" s="173">
        <f>P13  + 'Maturity Level Summary'!$I$7  *
IF('Maturity Level Summary'!$I$7&gt;=0,  (X13-P13),  (P13-AF13))</f>
        <v>142684.48000000001</v>
      </c>
      <c r="I13" s="173">
        <f>Q13  + 'Maturity Level Summary'!$I$7  *
IF('Maturity Level Summary'!$I$7&gt;=0,  (Y13-Q13),  (Q13-AG13))</f>
        <v>142684.48000000001</v>
      </c>
      <c r="J13" s="174"/>
      <c r="K13" s="173">
        <f>'Asset Risk'!D15</f>
        <v>178355.6</v>
      </c>
      <c r="L13" s="173"/>
      <c r="M13" s="173">
        <f>'RCM Advancement - Benefits'!C34</f>
        <v>169437.82</v>
      </c>
      <c r="N13" s="173">
        <f>'RCM Advancement - Benefits'!D34</f>
        <v>164087.152</v>
      </c>
      <c r="O13" s="173">
        <f>'RCM Advancement - Benefits'!E34</f>
        <v>158736.484</v>
      </c>
      <c r="P13" s="173">
        <f>'RCM Advancement - Benefits'!F34</f>
        <v>142684.48000000001</v>
      </c>
      <c r="Q13" s="173">
        <f>'RCM Advancement - Benefits'!G34</f>
        <v>142684.48000000001</v>
      </c>
      <c r="R13" s="174"/>
      <c r="S13" s="173">
        <f>'Asset Risk'!J15</f>
        <v>187273.38</v>
      </c>
      <c r="T13" s="173"/>
      <c r="U13" s="173">
        <f>'RCM Advancement - Benefits'!I34</f>
        <v>178377.89444999999</v>
      </c>
      <c r="V13" s="173">
        <f>'RCM Advancement - Benefits'!J34</f>
        <v>173040.60312000001</v>
      </c>
      <c r="W13" s="173">
        <f>'RCM Advancement - Benefits'!K34</f>
        <v>167703.31179000001</v>
      </c>
      <c r="X13" s="173">
        <f>'RCM Advancement - Benefits'!L34</f>
        <v>151691.43780000001</v>
      </c>
      <c r="Y13" s="173">
        <f>'RCM Advancement - Benefits'!M34</f>
        <v>151691.43780000001</v>
      </c>
      <c r="Z13" s="172"/>
      <c r="AA13" s="173">
        <f>'Asset Risk'!P15</f>
        <v>169437.82</v>
      </c>
      <c r="AB13" s="173"/>
      <c r="AC13" s="173">
        <f>'RCM Advancement - Benefits'!O34</f>
        <v>160542.33444999999</v>
      </c>
      <c r="AD13" s="173">
        <f>'RCM Advancement - Benefits'!P34</f>
        <v>155205.04312000002</v>
      </c>
      <c r="AE13" s="173">
        <f>'RCM Advancement - Benefits'!Q34</f>
        <v>149867.75179000001</v>
      </c>
      <c r="AF13" s="173">
        <f>'RCM Advancement - Benefits'!R34</f>
        <v>133855.87780000002</v>
      </c>
      <c r="AG13" s="173">
        <f>'RCM Advancement - Benefits'!S34</f>
        <v>133855.87780000002</v>
      </c>
    </row>
    <row r="14" spans="1:33" s="175" customFormat="1">
      <c r="A14" s="176"/>
      <c r="B14" s="172" t="s">
        <v>69</v>
      </c>
      <c r="C14" s="173">
        <f>K14  + 'Maturity Level Summary'!$D$7  *
IF('Maturity Level Summary'!$D$7&gt;=0,  (S14-K14),  (K14-AA14))</f>
        <v>306000</v>
      </c>
      <c r="D14" s="173"/>
      <c r="E14" s="173">
        <f>M14  + 'Maturity Level Summary'!$I$7  *
IF('Maturity Level Summary'!$I$7&gt;=0,  (U14-M14),  (M14-AC14))</f>
        <v>290700</v>
      </c>
      <c r="F14" s="173">
        <f>N14  + 'Maturity Level Summary'!$I$7  *
IF('Maturity Level Summary'!$I$7&gt;=0,  (V14-N14),  (N14-AD14))</f>
        <v>281520</v>
      </c>
      <c r="G14" s="173">
        <f>O14  + 'Maturity Level Summary'!$I$7  *
IF('Maturity Level Summary'!$I$7&gt;=0,  (W14-O14),  (O14-AE14))</f>
        <v>272340</v>
      </c>
      <c r="H14" s="173">
        <f>P14  + 'Maturity Level Summary'!$I$7  *
IF('Maturity Level Summary'!$I$7&gt;=0,  (X14-P14),  (P14-AF14))</f>
        <v>244800</v>
      </c>
      <c r="I14" s="173">
        <f>Q14  + 'Maturity Level Summary'!$I$7  *
IF('Maturity Level Summary'!$I$7&gt;=0,  (Y14-Q14),  (Q14-AG14))</f>
        <v>244800</v>
      </c>
      <c r="J14" s="174"/>
      <c r="K14" s="173">
        <f>'Asset Risk'!D26</f>
        <v>306000</v>
      </c>
      <c r="L14" s="173"/>
      <c r="M14" s="173">
        <f>'RCM Advancement - Benefits'!C35</f>
        <v>290700</v>
      </c>
      <c r="N14" s="173">
        <f>'RCM Advancement - Benefits'!D35</f>
        <v>281520</v>
      </c>
      <c r="O14" s="173">
        <f>'RCM Advancement - Benefits'!E35</f>
        <v>272340</v>
      </c>
      <c r="P14" s="173">
        <f>'RCM Advancement - Benefits'!F35</f>
        <v>244800</v>
      </c>
      <c r="Q14" s="173">
        <f>'RCM Advancement - Benefits'!G35</f>
        <v>244800</v>
      </c>
      <c r="R14" s="174"/>
      <c r="S14" s="173">
        <f>'Asset Risk'!J26</f>
        <v>353902.5</v>
      </c>
      <c r="T14" s="173"/>
      <c r="U14" s="173">
        <f>'RCM Advancement - Benefits'!I35</f>
        <v>337092.13124999998</v>
      </c>
      <c r="V14" s="173">
        <f>'RCM Advancement - Benefits'!J35</f>
        <v>327005.91000000003</v>
      </c>
      <c r="W14" s="173">
        <f>'RCM Advancement - Benefits'!K35</f>
        <v>316919.68874999997</v>
      </c>
      <c r="X14" s="173">
        <f>'RCM Advancement - Benefits'!L35</f>
        <v>286661.02500000002</v>
      </c>
      <c r="Y14" s="173">
        <f>'RCM Advancement - Benefits'!M35</f>
        <v>286661.02500000002</v>
      </c>
      <c r="Z14" s="172"/>
      <c r="AA14" s="173">
        <f>'Asset Risk'!P26</f>
        <v>262627.5</v>
      </c>
      <c r="AB14" s="173"/>
      <c r="AC14" s="173">
        <f>'RCM Advancement - Benefits'!O35</f>
        <v>248839.55624999999</v>
      </c>
      <c r="AD14" s="173">
        <f>'RCM Advancement - Benefits'!P35</f>
        <v>240566.79</v>
      </c>
      <c r="AE14" s="173">
        <f>'RCM Advancement - Benefits'!Q35</f>
        <v>232294.02374999999</v>
      </c>
      <c r="AF14" s="173">
        <f>'RCM Advancement - Benefits'!R35</f>
        <v>207475.72500000001</v>
      </c>
      <c r="AG14" s="173">
        <f>'RCM Advancement - Benefits'!S35</f>
        <v>207475.72500000001</v>
      </c>
    </row>
    <row r="15" spans="1:33" s="175" customFormat="1">
      <c r="A15" s="176"/>
      <c r="B15" s="172" t="s">
        <v>3</v>
      </c>
      <c r="C15" s="173">
        <f>K15  + 'Maturity Level Summary'!$D$7  *
IF('Maturity Level Summary'!$D$7&gt;=0,  (S15-K15),  (K15-AA15))</f>
        <v>30000</v>
      </c>
      <c r="D15" s="173"/>
      <c r="E15" s="173">
        <f>M15  + 'Maturity Level Summary'!$I$7  *
IF('Maturity Level Summary'!$I$7&gt;=0,  (U15-M15),  (M15-AC15))</f>
        <v>28500</v>
      </c>
      <c r="F15" s="173">
        <f>N15  + 'Maturity Level Summary'!$I$7  *
IF('Maturity Level Summary'!$I$7&gt;=0,  (V15-N15),  (N15-AD15))</f>
        <v>27600</v>
      </c>
      <c r="G15" s="173">
        <f>O15  + 'Maturity Level Summary'!$I$7  *
IF('Maturity Level Summary'!$I$7&gt;=0,  (W15-O15),  (O15-AE15))</f>
        <v>26700</v>
      </c>
      <c r="H15" s="173">
        <f>P15  + 'Maturity Level Summary'!$I$7  *
IF('Maturity Level Summary'!$I$7&gt;=0,  (X15-P15),  (P15-AF15))</f>
        <v>24000</v>
      </c>
      <c r="I15" s="173">
        <f>Q15  + 'Maturity Level Summary'!$I$7  *
IF('Maturity Level Summary'!$I$7&gt;=0,  (Y15-Q15),  (Q15-AG15))</f>
        <v>24000</v>
      </c>
      <c r="J15" s="174"/>
      <c r="K15" s="173">
        <f>'Asset Risk'!D32</f>
        <v>30000</v>
      </c>
      <c r="L15" s="173"/>
      <c r="M15" s="173">
        <f>'RCM Advancement - Benefits'!C36</f>
        <v>28500</v>
      </c>
      <c r="N15" s="173">
        <f>'RCM Advancement - Benefits'!D36</f>
        <v>27600</v>
      </c>
      <c r="O15" s="173">
        <f>'RCM Advancement - Benefits'!E36</f>
        <v>26700</v>
      </c>
      <c r="P15" s="173">
        <f>'RCM Advancement - Benefits'!F36</f>
        <v>24000</v>
      </c>
      <c r="Q15" s="173">
        <f>'RCM Advancement - Benefits'!G36</f>
        <v>24000</v>
      </c>
      <c r="R15" s="174"/>
      <c r="S15" s="173">
        <f>'Asset Risk'!J32</f>
        <v>33075</v>
      </c>
      <c r="T15" s="173"/>
      <c r="U15" s="173">
        <f>'RCM Advancement - Benefits'!I36</f>
        <v>31503.9375</v>
      </c>
      <c r="V15" s="173">
        <f>'RCM Advancement - Benefits'!J36</f>
        <v>30561.300000000003</v>
      </c>
      <c r="W15" s="173">
        <f>'RCM Advancement - Benefits'!K36</f>
        <v>29618.662499999999</v>
      </c>
      <c r="X15" s="173">
        <f>'RCM Advancement - Benefits'!L36</f>
        <v>26790.75</v>
      </c>
      <c r="Y15" s="173">
        <f>'RCM Advancement - Benefits'!M36</f>
        <v>26790.75</v>
      </c>
      <c r="Z15" s="172"/>
      <c r="AA15" s="173">
        <f>'Asset Risk'!P32</f>
        <v>27074.999999999996</v>
      </c>
      <c r="AB15" s="173"/>
      <c r="AC15" s="173">
        <f>'RCM Advancement - Benefits'!O36</f>
        <v>25653.562499999996</v>
      </c>
      <c r="AD15" s="173">
        <f>'RCM Advancement - Benefits'!P36</f>
        <v>24800.699999999997</v>
      </c>
      <c r="AE15" s="173">
        <f>'RCM Advancement - Benefits'!Q36</f>
        <v>23947.837499999994</v>
      </c>
      <c r="AF15" s="173">
        <f>'RCM Advancement - Benefits'!R36</f>
        <v>21389.249999999996</v>
      </c>
      <c r="AG15" s="173">
        <f>'RCM Advancement - Benefits'!S36</f>
        <v>21389.249999999996</v>
      </c>
    </row>
    <row r="16" spans="1:33" s="175" customFormat="1">
      <c r="A16" s="171" t="str">
        <f>"Asset Risk " &amp; 'Asset Info'!$E$10</f>
        <v>Asset Risk Balfour Beatty</v>
      </c>
      <c r="B16" s="172" t="s">
        <v>68</v>
      </c>
      <c r="C16" s="173">
        <f>K16  + 'Maturity Level Summary'!$D$7  *
IF('Maturity Level Summary'!$D$7&gt;=0,  (S16-K16),  (K16-AA16))</f>
        <v>0</v>
      </c>
      <c r="D16" s="173"/>
      <c r="E16" s="173">
        <f>M16  + 'Maturity Level Summary'!$I$7  *
IF('Maturity Level Summary'!$I$7&gt;=0,  (U16-M16),  (M16-AC16))</f>
        <v>0</v>
      </c>
      <c r="F16" s="173">
        <f>N16  + 'Maturity Level Summary'!$I$7  *
IF('Maturity Level Summary'!$I$7&gt;=0,  (V16-N16),  (N16-AD16))</f>
        <v>0</v>
      </c>
      <c r="G16" s="173">
        <f>O16  + 'Maturity Level Summary'!$I$7  *
IF('Maturity Level Summary'!$I$7&gt;=0,  (W16-O16),  (O16-AE16))</f>
        <v>0</v>
      </c>
      <c r="H16" s="173">
        <f>P16  + 'Maturity Level Summary'!$I$7  *
IF('Maturity Level Summary'!$I$7&gt;=0,  (X16-P16),  (P16-AF16))</f>
        <v>0</v>
      </c>
      <c r="I16" s="173">
        <f>Q16  + 'Maturity Level Summary'!$I$7  *
IF('Maturity Level Summary'!$I$7&gt;=0,  (Y16-Q16),  (Q16-AG16))</f>
        <v>0</v>
      </c>
      <c r="J16" s="174"/>
      <c r="K16" s="173">
        <f>'Asset Risk'!E15</f>
        <v>0</v>
      </c>
      <c r="L16" s="173"/>
      <c r="M16" s="173">
        <f>'RCM Advancement - Benefits'!C37</f>
        <v>0</v>
      </c>
      <c r="N16" s="173">
        <f>'RCM Advancement - Benefits'!D37</f>
        <v>0</v>
      </c>
      <c r="O16" s="173">
        <f>'RCM Advancement - Benefits'!E37</f>
        <v>0</v>
      </c>
      <c r="P16" s="173">
        <f>'RCM Advancement - Benefits'!F37</f>
        <v>0</v>
      </c>
      <c r="Q16" s="173">
        <f>'RCM Advancement - Benefits'!G37</f>
        <v>0</v>
      </c>
      <c r="R16" s="174"/>
      <c r="S16" s="173">
        <f>'Asset Risk'!K15</f>
        <v>0</v>
      </c>
      <c r="T16" s="173"/>
      <c r="U16" s="173">
        <f>'RCM Advancement - Benefits'!I37</f>
        <v>0</v>
      </c>
      <c r="V16" s="173">
        <f>'RCM Advancement - Benefits'!J37</f>
        <v>0</v>
      </c>
      <c r="W16" s="173">
        <f>'RCM Advancement - Benefits'!K37</f>
        <v>0</v>
      </c>
      <c r="X16" s="173">
        <f>'RCM Advancement - Benefits'!L37</f>
        <v>0</v>
      </c>
      <c r="Y16" s="173">
        <f>'RCM Advancement - Benefits'!M37</f>
        <v>0</v>
      </c>
      <c r="Z16" s="172"/>
      <c r="AA16" s="173">
        <f>'Asset Risk'!Q15</f>
        <v>0</v>
      </c>
      <c r="AB16" s="173"/>
      <c r="AC16" s="173">
        <f>'RCM Advancement - Benefits'!O37</f>
        <v>0</v>
      </c>
      <c r="AD16" s="173">
        <f>'RCM Advancement - Benefits'!P37</f>
        <v>0</v>
      </c>
      <c r="AE16" s="173">
        <f>'RCM Advancement - Benefits'!Q37</f>
        <v>0</v>
      </c>
      <c r="AF16" s="173">
        <f>'RCM Advancement - Benefits'!R37</f>
        <v>0</v>
      </c>
      <c r="AG16" s="173">
        <f>'RCM Advancement - Benefits'!S37</f>
        <v>0</v>
      </c>
    </row>
    <row r="17" spans="1:33" s="175" customFormat="1">
      <c r="A17" s="176"/>
      <c r="B17" s="172" t="s">
        <v>69</v>
      </c>
      <c r="C17" s="173">
        <f>K17  + 'Maturity Level Summary'!$D$7  *
IF('Maturity Level Summary'!$D$7&gt;=0,  (S17-K17),  (K17-AA17))</f>
        <v>0</v>
      </c>
      <c r="D17" s="173"/>
      <c r="E17" s="173">
        <f>M17  + 'Maturity Level Summary'!$I$7  *
IF('Maturity Level Summary'!$I$7&gt;=0,  (U17-M17),  (M17-AC17))</f>
        <v>0</v>
      </c>
      <c r="F17" s="173">
        <f>N17  + 'Maturity Level Summary'!$I$7  *
IF('Maturity Level Summary'!$I$7&gt;=0,  (V17-N17),  (N17-AD17))</f>
        <v>0</v>
      </c>
      <c r="G17" s="173">
        <f>O17  + 'Maturity Level Summary'!$I$7  *
IF('Maturity Level Summary'!$I$7&gt;=0,  (W17-O17),  (O17-AE17))</f>
        <v>0</v>
      </c>
      <c r="H17" s="173">
        <f>P17  + 'Maturity Level Summary'!$I$7  *
IF('Maturity Level Summary'!$I$7&gt;=0,  (X17-P17),  (P17-AF17))</f>
        <v>0</v>
      </c>
      <c r="I17" s="173">
        <f>Q17  + 'Maturity Level Summary'!$I$7  *
IF('Maturity Level Summary'!$I$7&gt;=0,  (Y17-Q17),  (Q17-AG17))</f>
        <v>0</v>
      </c>
      <c r="J17" s="174"/>
      <c r="K17" s="173">
        <f>'Asset Risk'!E26</f>
        <v>0</v>
      </c>
      <c r="L17" s="173"/>
      <c r="M17" s="173">
        <f>'RCM Advancement - Benefits'!C38</f>
        <v>0</v>
      </c>
      <c r="N17" s="173">
        <f>'RCM Advancement - Benefits'!D38</f>
        <v>0</v>
      </c>
      <c r="O17" s="173">
        <f>'RCM Advancement - Benefits'!E38</f>
        <v>0</v>
      </c>
      <c r="P17" s="173">
        <f>'RCM Advancement - Benefits'!F38</f>
        <v>0</v>
      </c>
      <c r="Q17" s="173">
        <f>'RCM Advancement - Benefits'!G38</f>
        <v>0</v>
      </c>
      <c r="R17" s="174"/>
      <c r="S17" s="173">
        <f>'Asset Risk'!K26</f>
        <v>0</v>
      </c>
      <c r="T17" s="173"/>
      <c r="U17" s="173">
        <f>'RCM Advancement - Benefits'!I38</f>
        <v>0</v>
      </c>
      <c r="V17" s="173">
        <f>'RCM Advancement - Benefits'!J38</f>
        <v>0</v>
      </c>
      <c r="W17" s="173">
        <f>'RCM Advancement - Benefits'!K38</f>
        <v>0</v>
      </c>
      <c r="X17" s="173">
        <f>'RCM Advancement - Benefits'!L38</f>
        <v>0</v>
      </c>
      <c r="Y17" s="173">
        <f>'RCM Advancement - Benefits'!M38</f>
        <v>0</v>
      </c>
      <c r="Z17" s="172"/>
      <c r="AA17" s="173">
        <f>'Asset Risk'!Q26</f>
        <v>0</v>
      </c>
      <c r="AB17" s="173"/>
      <c r="AC17" s="173">
        <f>'RCM Advancement - Benefits'!O38</f>
        <v>0</v>
      </c>
      <c r="AD17" s="173">
        <f>'RCM Advancement - Benefits'!P38</f>
        <v>0</v>
      </c>
      <c r="AE17" s="173">
        <f>'RCM Advancement - Benefits'!Q38</f>
        <v>0</v>
      </c>
      <c r="AF17" s="173">
        <f>'RCM Advancement - Benefits'!R38</f>
        <v>0</v>
      </c>
      <c r="AG17" s="173">
        <f>'RCM Advancement - Benefits'!S38</f>
        <v>0</v>
      </c>
    </row>
    <row r="18" spans="1:33" s="175" customFormat="1">
      <c r="A18" s="176"/>
      <c r="B18" s="172" t="s">
        <v>3</v>
      </c>
      <c r="C18" s="173">
        <f>K18  + 'Maturity Level Summary'!$D$7  *
IF('Maturity Level Summary'!$D$7&gt;=0,  (S18-K18),  (K18-AA18))</f>
        <v>0</v>
      </c>
      <c r="D18" s="173"/>
      <c r="E18" s="173">
        <f>M18  + 'Maturity Level Summary'!$I$7  *
IF('Maturity Level Summary'!$I$7&gt;=0,  (U18-M18),  (M18-AC18))</f>
        <v>0</v>
      </c>
      <c r="F18" s="173">
        <f>N18  + 'Maturity Level Summary'!$I$7  *
IF('Maturity Level Summary'!$I$7&gt;=0,  (V18-N18),  (N18-AD18))</f>
        <v>0</v>
      </c>
      <c r="G18" s="173">
        <f>O18  + 'Maturity Level Summary'!$I$7  *
IF('Maturity Level Summary'!$I$7&gt;=0,  (W18-O18),  (O18-AE18))</f>
        <v>0</v>
      </c>
      <c r="H18" s="173">
        <f>P18  + 'Maturity Level Summary'!$I$7  *
IF('Maturity Level Summary'!$I$7&gt;=0,  (X18-P18),  (P18-AF18))</f>
        <v>0</v>
      </c>
      <c r="I18" s="173">
        <f>Q18  + 'Maturity Level Summary'!$I$7  *
IF('Maturity Level Summary'!$I$7&gt;=0,  (Y18-Q18),  (Q18-AG18))</f>
        <v>0</v>
      </c>
      <c r="J18" s="174"/>
      <c r="K18" s="173">
        <f>'Asset Risk'!E32</f>
        <v>0</v>
      </c>
      <c r="L18" s="173"/>
      <c r="M18" s="173">
        <f>'RCM Advancement - Benefits'!C39</f>
        <v>0</v>
      </c>
      <c r="N18" s="173">
        <f>'RCM Advancement - Benefits'!D39</f>
        <v>0</v>
      </c>
      <c r="O18" s="173">
        <f>'RCM Advancement - Benefits'!E39</f>
        <v>0</v>
      </c>
      <c r="P18" s="173">
        <f>'RCM Advancement - Benefits'!F39</f>
        <v>0</v>
      </c>
      <c r="Q18" s="173">
        <f>'RCM Advancement - Benefits'!G39</f>
        <v>0</v>
      </c>
      <c r="R18" s="174"/>
      <c r="S18" s="173">
        <f>'Asset Risk'!K32</f>
        <v>0</v>
      </c>
      <c r="T18" s="173"/>
      <c r="U18" s="173">
        <f>'RCM Advancement - Benefits'!I39</f>
        <v>0</v>
      </c>
      <c r="V18" s="173">
        <f>'RCM Advancement - Benefits'!J39</f>
        <v>0</v>
      </c>
      <c r="W18" s="173">
        <f>'RCM Advancement - Benefits'!K39</f>
        <v>0</v>
      </c>
      <c r="X18" s="173">
        <f>'RCM Advancement - Benefits'!L39</f>
        <v>0</v>
      </c>
      <c r="Y18" s="173">
        <f>'RCM Advancement - Benefits'!M39</f>
        <v>0</v>
      </c>
      <c r="Z18" s="172"/>
      <c r="AA18" s="173">
        <f>'Asset Risk'!Q32</f>
        <v>0</v>
      </c>
      <c r="AB18" s="173"/>
      <c r="AC18" s="173">
        <f>'RCM Advancement - Benefits'!O39</f>
        <v>0</v>
      </c>
      <c r="AD18" s="173">
        <f>'RCM Advancement - Benefits'!P39</f>
        <v>0</v>
      </c>
      <c r="AE18" s="173">
        <f>'RCM Advancement - Benefits'!Q39</f>
        <v>0</v>
      </c>
      <c r="AF18" s="173">
        <f>'RCM Advancement - Benefits'!R39</f>
        <v>0</v>
      </c>
      <c r="AG18" s="173">
        <f>'RCM Advancement - Benefits'!S39</f>
        <v>0</v>
      </c>
    </row>
    <row r="19" spans="1:33" s="175" customFormat="1">
      <c r="A19" s="171" t="str">
        <f>"Asset Risk " &amp; 'Asset Info'!$F$10</f>
        <v>Asset Risk RSSB</v>
      </c>
      <c r="B19" s="172" t="s">
        <v>68</v>
      </c>
      <c r="C19" s="173">
        <f>K19  + 'Maturity Level Summary'!$D$7  *
IF('Maturity Level Summary'!$D$7&gt;=0,  (S19-K19),  (K19-AA19))</f>
        <v>0</v>
      </c>
      <c r="D19" s="173"/>
      <c r="E19" s="173">
        <f>M19  + 'Maturity Level Summary'!$I$7  *
IF('Maturity Level Summary'!$I$7&gt;=0,  (U19-M19),  (M19-AC19))</f>
        <v>0</v>
      </c>
      <c r="F19" s="173">
        <f>N19  + 'Maturity Level Summary'!$I$7  *
IF('Maturity Level Summary'!$I$7&gt;=0,  (V19-N19),  (N19-AD19))</f>
        <v>0</v>
      </c>
      <c r="G19" s="173">
        <f>O19  + 'Maturity Level Summary'!$I$7  *
IF('Maturity Level Summary'!$I$7&gt;=0,  (W19-O19),  (O19-AE19))</f>
        <v>0</v>
      </c>
      <c r="H19" s="173">
        <f>P19  + 'Maturity Level Summary'!$I$7  *
IF('Maturity Level Summary'!$I$7&gt;=0,  (X19-P19),  (P19-AF19))</f>
        <v>0</v>
      </c>
      <c r="I19" s="173">
        <f>Q19  + 'Maturity Level Summary'!$I$7  *
IF('Maturity Level Summary'!$I$7&gt;=0,  (Y19-Q19),  (Q19-AG19))</f>
        <v>0</v>
      </c>
      <c r="J19" s="174"/>
      <c r="K19" s="173">
        <f>'Asset Risk'!F15</f>
        <v>0</v>
      </c>
      <c r="L19" s="173"/>
      <c r="M19" s="173">
        <f>'RCM Advancement - Benefits'!C40</f>
        <v>0</v>
      </c>
      <c r="N19" s="173">
        <f>'RCM Advancement - Benefits'!D40</f>
        <v>0</v>
      </c>
      <c r="O19" s="173">
        <f>'RCM Advancement - Benefits'!E40</f>
        <v>0</v>
      </c>
      <c r="P19" s="173">
        <f>'RCM Advancement - Benefits'!F40</f>
        <v>0</v>
      </c>
      <c r="Q19" s="173">
        <f>'RCM Advancement - Benefits'!G40</f>
        <v>0</v>
      </c>
      <c r="R19" s="174"/>
      <c r="S19" s="173">
        <f>'Asset Risk'!L15</f>
        <v>0</v>
      </c>
      <c r="T19" s="173"/>
      <c r="U19" s="173">
        <f>'RCM Advancement - Benefits'!I40</f>
        <v>0</v>
      </c>
      <c r="V19" s="173">
        <f>'RCM Advancement - Benefits'!J40</f>
        <v>0</v>
      </c>
      <c r="W19" s="173">
        <f>'RCM Advancement - Benefits'!K40</f>
        <v>0</v>
      </c>
      <c r="X19" s="173">
        <f>'RCM Advancement - Benefits'!L40</f>
        <v>0</v>
      </c>
      <c r="Y19" s="173">
        <f>'RCM Advancement - Benefits'!M40</f>
        <v>0</v>
      </c>
      <c r="Z19" s="172"/>
      <c r="AA19" s="173">
        <f>'Asset Risk'!R15</f>
        <v>0</v>
      </c>
      <c r="AB19" s="173"/>
      <c r="AC19" s="173">
        <f>'RCM Advancement - Benefits'!O40</f>
        <v>0</v>
      </c>
      <c r="AD19" s="173">
        <f>'RCM Advancement - Benefits'!P40</f>
        <v>0</v>
      </c>
      <c r="AE19" s="173">
        <f>'RCM Advancement - Benefits'!Q40</f>
        <v>0</v>
      </c>
      <c r="AF19" s="173">
        <f>'RCM Advancement - Benefits'!R40</f>
        <v>0</v>
      </c>
      <c r="AG19" s="173">
        <f>'RCM Advancement - Benefits'!S40</f>
        <v>0</v>
      </c>
    </row>
    <row r="20" spans="1:33" s="175" customFormat="1">
      <c r="A20" s="176"/>
      <c r="B20" s="172" t="s">
        <v>69</v>
      </c>
      <c r="C20" s="173">
        <f>K20  + 'Maturity Level Summary'!$D$7  *
IF('Maturity Level Summary'!$D$7&gt;=0,  (S20-K20),  (K20-AA20))</f>
        <v>0</v>
      </c>
      <c r="D20" s="173"/>
      <c r="E20" s="173">
        <f>M20  + 'Maturity Level Summary'!$I$7  *
IF('Maturity Level Summary'!$I$7&gt;=0,  (U20-M20),  (M20-AC20))</f>
        <v>0</v>
      </c>
      <c r="F20" s="173">
        <f>N20  + 'Maturity Level Summary'!$I$7  *
IF('Maturity Level Summary'!$I$7&gt;=0,  (V20-N20),  (N20-AD20))</f>
        <v>0</v>
      </c>
      <c r="G20" s="173">
        <f>O20  + 'Maturity Level Summary'!$I$7  *
IF('Maturity Level Summary'!$I$7&gt;=0,  (W20-O20),  (O20-AE20))</f>
        <v>0</v>
      </c>
      <c r="H20" s="173">
        <f>P20  + 'Maturity Level Summary'!$I$7  *
IF('Maturity Level Summary'!$I$7&gt;=0,  (X20-P20),  (P20-AF20))</f>
        <v>0</v>
      </c>
      <c r="I20" s="173">
        <f>Q20  + 'Maturity Level Summary'!$I$7  *
IF('Maturity Level Summary'!$I$7&gt;=0,  (Y20-Q20),  (Q20-AG20))</f>
        <v>0</v>
      </c>
      <c r="J20" s="174"/>
      <c r="K20" s="173">
        <f>'Asset Risk'!F26</f>
        <v>0</v>
      </c>
      <c r="L20" s="173"/>
      <c r="M20" s="173">
        <f>'RCM Advancement - Benefits'!C41</f>
        <v>0</v>
      </c>
      <c r="N20" s="173">
        <f>'RCM Advancement - Benefits'!D41</f>
        <v>0</v>
      </c>
      <c r="O20" s="173">
        <f>'RCM Advancement - Benefits'!E41</f>
        <v>0</v>
      </c>
      <c r="P20" s="173">
        <f>'RCM Advancement - Benefits'!F41</f>
        <v>0</v>
      </c>
      <c r="Q20" s="173">
        <f>'RCM Advancement - Benefits'!G41</f>
        <v>0</v>
      </c>
      <c r="R20" s="174"/>
      <c r="S20" s="173">
        <f>'Asset Risk'!L26</f>
        <v>0</v>
      </c>
      <c r="T20" s="173"/>
      <c r="U20" s="173">
        <f>'RCM Advancement - Benefits'!I41</f>
        <v>0</v>
      </c>
      <c r="V20" s="173">
        <f>'RCM Advancement - Benefits'!J41</f>
        <v>0</v>
      </c>
      <c r="W20" s="173">
        <f>'RCM Advancement - Benefits'!K41</f>
        <v>0</v>
      </c>
      <c r="X20" s="173">
        <f>'RCM Advancement - Benefits'!L41</f>
        <v>0</v>
      </c>
      <c r="Y20" s="173">
        <f>'RCM Advancement - Benefits'!M41</f>
        <v>0</v>
      </c>
      <c r="Z20" s="172"/>
      <c r="AA20" s="173">
        <f>'Asset Risk'!R26</f>
        <v>0</v>
      </c>
      <c r="AB20" s="173"/>
      <c r="AC20" s="173">
        <f>'RCM Advancement - Benefits'!O41</f>
        <v>0</v>
      </c>
      <c r="AD20" s="173">
        <f>'RCM Advancement - Benefits'!P41</f>
        <v>0</v>
      </c>
      <c r="AE20" s="173">
        <f>'RCM Advancement - Benefits'!Q41</f>
        <v>0</v>
      </c>
      <c r="AF20" s="173">
        <f>'RCM Advancement - Benefits'!R41</f>
        <v>0</v>
      </c>
      <c r="AG20" s="173">
        <f>'RCM Advancement - Benefits'!S41</f>
        <v>0</v>
      </c>
    </row>
    <row r="21" spans="1:33" s="175" customFormat="1">
      <c r="A21" s="176"/>
      <c r="B21" s="172" t="s">
        <v>3</v>
      </c>
      <c r="C21" s="173">
        <f>K21  + 'Maturity Level Summary'!$D$7  *
IF('Maturity Level Summary'!$D$7&gt;=0,  (S21-K21),  (K21-AA21))</f>
        <v>0</v>
      </c>
      <c r="D21" s="173"/>
      <c r="E21" s="173">
        <f>M21  + 'Maturity Level Summary'!$I$7  *
IF('Maturity Level Summary'!$I$7&gt;=0,  (U21-M21),  (M21-AC21))</f>
        <v>0</v>
      </c>
      <c r="F21" s="173">
        <f>N21  + 'Maturity Level Summary'!$I$7  *
IF('Maturity Level Summary'!$I$7&gt;=0,  (V21-N21),  (N21-AD21))</f>
        <v>0</v>
      </c>
      <c r="G21" s="173">
        <f>O21  + 'Maturity Level Summary'!$I$7  *
IF('Maturity Level Summary'!$I$7&gt;=0,  (W21-O21),  (O21-AE21))</f>
        <v>0</v>
      </c>
      <c r="H21" s="173">
        <f>P21  + 'Maturity Level Summary'!$I$7  *
IF('Maturity Level Summary'!$I$7&gt;=0,  (X21-P21),  (P21-AF21))</f>
        <v>0</v>
      </c>
      <c r="I21" s="173">
        <f>Q21  + 'Maturity Level Summary'!$I$7  *
IF('Maturity Level Summary'!$I$7&gt;=0,  (Y21-Q21),  (Q21-AG21))</f>
        <v>0</v>
      </c>
      <c r="J21" s="174"/>
      <c r="K21" s="173">
        <f>'Asset Risk'!F32</f>
        <v>0</v>
      </c>
      <c r="L21" s="173"/>
      <c r="M21" s="173">
        <f>'RCM Advancement - Benefits'!C42</f>
        <v>0</v>
      </c>
      <c r="N21" s="173">
        <f>'RCM Advancement - Benefits'!D42</f>
        <v>0</v>
      </c>
      <c r="O21" s="173">
        <f>'RCM Advancement - Benefits'!E42</f>
        <v>0</v>
      </c>
      <c r="P21" s="173">
        <f>'RCM Advancement - Benefits'!F42</f>
        <v>0</v>
      </c>
      <c r="Q21" s="173">
        <f>'RCM Advancement - Benefits'!G42</f>
        <v>0</v>
      </c>
      <c r="R21" s="174"/>
      <c r="S21" s="173">
        <f>'Asset Risk'!L32</f>
        <v>0</v>
      </c>
      <c r="T21" s="173"/>
      <c r="U21" s="173">
        <f>'RCM Advancement - Benefits'!I42</f>
        <v>0</v>
      </c>
      <c r="V21" s="173">
        <f>'RCM Advancement - Benefits'!J42</f>
        <v>0</v>
      </c>
      <c r="W21" s="173">
        <f>'RCM Advancement - Benefits'!K42</f>
        <v>0</v>
      </c>
      <c r="X21" s="173">
        <f>'RCM Advancement - Benefits'!L42</f>
        <v>0</v>
      </c>
      <c r="Y21" s="173">
        <f>'RCM Advancement - Benefits'!M42</f>
        <v>0</v>
      </c>
      <c r="Z21" s="172"/>
      <c r="AA21" s="173">
        <f>'Asset Risk'!R32</f>
        <v>0</v>
      </c>
      <c r="AB21" s="173"/>
      <c r="AC21" s="173">
        <f>'RCM Advancement - Benefits'!O42</f>
        <v>0</v>
      </c>
      <c r="AD21" s="173">
        <f>'RCM Advancement - Benefits'!P42</f>
        <v>0</v>
      </c>
      <c r="AE21" s="173">
        <f>'RCM Advancement - Benefits'!Q42</f>
        <v>0</v>
      </c>
      <c r="AF21" s="173">
        <f>'RCM Advancement - Benefits'!R42</f>
        <v>0</v>
      </c>
      <c r="AG21" s="173">
        <f>'RCM Advancement - Benefits'!S42</f>
        <v>0</v>
      </c>
    </row>
    <row r="22" spans="1:33" s="180" customFormat="1">
      <c r="A22" s="316" t="s">
        <v>300</v>
      </c>
      <c r="B22" s="177" t="str">
        <f>'Asset Info'!C10</f>
        <v>Crossrail</v>
      </c>
      <c r="C22" s="178">
        <f>K22  + 'Maturity Level Summary'!$D$8  *
IF('Maturity Level Summary'!$D$8&gt;=0,  (S22-K22),  (K22-AA22))</f>
        <v>0</v>
      </c>
      <c r="D22" s="178"/>
      <c r="E22" s="178">
        <f>M22  + 'Maturity Level Summary'!$I$8  *
IF('Maturity Level Summary'!$I$8&gt;=0,  (U22-M22),  (M22-AC22))</f>
        <v>0</v>
      </c>
      <c r="F22" s="178">
        <f>N22  + 'Maturity Level Summary'!$I$8  *
IF('Maturity Level Summary'!$I$8&gt;=0,  (V22-N22),  (N22-AD22))</f>
        <v>0</v>
      </c>
      <c r="G22" s="178">
        <f>O22  + 'Maturity Level Summary'!$I$8  *
IF('Maturity Level Summary'!$I$8&gt;=0,  (W22-O22),  (O22-AE22))</f>
        <v>0</v>
      </c>
      <c r="H22" s="178">
        <f>P22  + 'Maturity Level Summary'!$I$8  *
IF('Maturity Level Summary'!$I$8&gt;=0,  (X22-P22),  (P22-AF22))</f>
        <v>0</v>
      </c>
      <c r="I22" s="178">
        <f>Q22  + 'Maturity Level Summary'!$I$8  *
IF('Maturity Level Summary'!$I$8&gt;=0,  (Y22-Q22),  (Q22-AG22))</f>
        <v>0</v>
      </c>
      <c r="J22" s="179"/>
      <c r="K22" s="178">
        <f t="array" ref="K22:K25">TRANSPOSE('Asset WLC'!$C$43:$F$43)</f>
        <v>0</v>
      </c>
      <c r="L22" s="178"/>
      <c r="M22" s="178">
        <f>'RCM Advancement - Benefits'!C51</f>
        <v>0</v>
      </c>
      <c r="N22" s="178">
        <f>'RCM Advancement - Benefits'!D51</f>
        <v>0</v>
      </c>
      <c r="O22" s="178">
        <f>'RCM Advancement - Benefits'!E51</f>
        <v>0</v>
      </c>
      <c r="P22" s="178">
        <f>'RCM Advancement - Benefits'!F51</f>
        <v>0</v>
      </c>
      <c r="Q22" s="178">
        <f>'RCM Advancement - Benefits'!G51</f>
        <v>0</v>
      </c>
      <c r="R22" s="179"/>
      <c r="S22" s="178">
        <f t="array" ref="S22:S25">TRANSPOSE('Asset WLC'!$I$43:$L$43)</f>
        <v>0</v>
      </c>
      <c r="T22" s="178"/>
      <c r="U22" s="178">
        <f>'RCM Advancement - Benefits'!I51</f>
        <v>0</v>
      </c>
      <c r="V22" s="178">
        <f>'RCM Advancement - Benefits'!J51</f>
        <v>0</v>
      </c>
      <c r="W22" s="178">
        <f>'RCM Advancement - Benefits'!K51</f>
        <v>0</v>
      </c>
      <c r="X22" s="178">
        <f>'RCM Advancement - Benefits'!L51</f>
        <v>0</v>
      </c>
      <c r="Y22" s="178">
        <f>'RCM Advancement - Benefits'!M51</f>
        <v>0</v>
      </c>
      <c r="Z22" s="177"/>
      <c r="AA22" s="178">
        <f t="array" ref="AA22:AA25">TRANSPOSE('Asset WLC'!$O$43:$R$43)</f>
        <v>0</v>
      </c>
      <c r="AB22" s="178"/>
      <c r="AC22" s="178">
        <f>'RCM Advancement - Benefits'!O51</f>
        <v>0</v>
      </c>
      <c r="AD22" s="178">
        <f>'RCM Advancement - Benefits'!P51</f>
        <v>0</v>
      </c>
      <c r="AE22" s="178">
        <f>'RCM Advancement - Benefits'!Q51</f>
        <v>0</v>
      </c>
      <c r="AF22" s="178">
        <f>'RCM Advancement - Benefits'!R51</f>
        <v>0</v>
      </c>
      <c r="AG22" s="178">
        <f>'RCM Advancement - Benefits'!S51</f>
        <v>0</v>
      </c>
    </row>
    <row r="23" spans="1:33" s="184" customFormat="1">
      <c r="A23" s="317"/>
      <c r="B23" s="181" t="str">
        <f>'Asset Info'!D10</f>
        <v>NR Western</v>
      </c>
      <c r="C23" s="182">
        <f>K23  + 'Maturity Level Summary'!$D$8  *
IF('Maturity Level Summary'!$D$8&gt;=0,  (S23-K23),  (K23-AA23))</f>
        <v>9350000</v>
      </c>
      <c r="D23" s="182"/>
      <c r="E23" s="182">
        <f>M23  + 'Maturity Level Summary'!$I$8  *
IF('Maturity Level Summary'!$I$8&gt;=0,  (U23-M23),  (M23-AC23))</f>
        <v>9350000</v>
      </c>
      <c r="F23" s="182">
        <f>N23  + 'Maturity Level Summary'!$I$8  *
IF('Maturity Level Summary'!$I$8&gt;=0,  (V23-N23),  (N23-AD23))</f>
        <v>9163000</v>
      </c>
      <c r="G23" s="182">
        <f>O23  + 'Maturity Level Summary'!$I$8  *
IF('Maturity Level Summary'!$I$8&gt;=0,  (W23-O23),  (O23-AE23))</f>
        <v>9069500</v>
      </c>
      <c r="H23" s="182">
        <f>P23  + 'Maturity Level Summary'!$I$8  *
IF('Maturity Level Summary'!$I$8&gt;=0,  (X23-P23),  (P23-AF23))</f>
        <v>8882500</v>
      </c>
      <c r="I23" s="182">
        <f>Q23  + 'Maturity Level Summary'!$I$8  *
IF('Maturity Level Summary'!$I$8&gt;=0,  (Y23-Q23),  (Q23-AG23))</f>
        <v>8415000</v>
      </c>
      <c r="J23" s="183"/>
      <c r="K23" s="182">
        <v>9350000</v>
      </c>
      <c r="L23" s="182"/>
      <c r="M23" s="182">
        <f>'RCM Advancement - Benefits'!C52</f>
        <v>9350000</v>
      </c>
      <c r="N23" s="182">
        <f>'RCM Advancement - Benefits'!D52</f>
        <v>9163000</v>
      </c>
      <c r="O23" s="182">
        <f>'RCM Advancement - Benefits'!E52</f>
        <v>9069500</v>
      </c>
      <c r="P23" s="182">
        <f>'RCM Advancement - Benefits'!F52</f>
        <v>8882500</v>
      </c>
      <c r="Q23" s="182">
        <f>'RCM Advancement - Benefits'!G52</f>
        <v>8415000</v>
      </c>
      <c r="R23" s="183"/>
      <c r="S23" s="182">
        <v>10796625</v>
      </c>
      <c r="T23" s="182"/>
      <c r="U23" s="182">
        <f>'RCM Advancement - Benefits'!I52</f>
        <v>10796625</v>
      </c>
      <c r="V23" s="182">
        <f>'RCM Advancement - Benefits'!J52</f>
        <v>10580692.5</v>
      </c>
      <c r="W23" s="182">
        <f>'RCM Advancement - Benefits'!K52</f>
        <v>10472726.25</v>
      </c>
      <c r="X23" s="182">
        <f>'RCM Advancement - Benefits'!L52</f>
        <v>10256793.75</v>
      </c>
      <c r="Y23" s="182">
        <f>'RCM Advancement - Benefits'!M52</f>
        <v>9716962.5</v>
      </c>
      <c r="Z23" s="181"/>
      <c r="AA23" s="182">
        <v>7996625</v>
      </c>
      <c r="AB23" s="182"/>
      <c r="AC23" s="182">
        <f>'RCM Advancement - Benefits'!O52</f>
        <v>7996625</v>
      </c>
      <c r="AD23" s="182">
        <f>'RCM Advancement - Benefits'!P52</f>
        <v>7836692.5</v>
      </c>
      <c r="AE23" s="182">
        <f>'RCM Advancement - Benefits'!Q52</f>
        <v>7756726.25</v>
      </c>
      <c r="AF23" s="182">
        <f>'RCM Advancement - Benefits'!R52</f>
        <v>7596793.75</v>
      </c>
      <c r="AG23" s="182">
        <f>'RCM Advancement - Benefits'!S52</f>
        <v>7196962.5</v>
      </c>
    </row>
    <row r="24" spans="1:33" s="184" customFormat="1">
      <c r="A24" s="317"/>
      <c r="B24" s="181" t="str">
        <f>'Asset Info'!E10</f>
        <v>Balfour Beatty</v>
      </c>
      <c r="C24" s="182">
        <f>K24  + 'Maturity Level Summary'!$D$8  *
IF('Maturity Level Summary'!$D$8&gt;=0,  (S24-K24),  (K24-AA24))</f>
        <v>0</v>
      </c>
      <c r="D24" s="182"/>
      <c r="E24" s="182">
        <f>M24  + 'Maturity Level Summary'!$I$8  *
IF('Maturity Level Summary'!$I$8&gt;=0,  (U24-M24),  (M24-AC24))</f>
        <v>0</v>
      </c>
      <c r="F24" s="182">
        <f>N24  + 'Maturity Level Summary'!$I$8  *
IF('Maturity Level Summary'!$I$8&gt;=0,  (V24-N24),  (N24-AD24))</f>
        <v>0</v>
      </c>
      <c r="G24" s="182">
        <f>O24  + 'Maturity Level Summary'!$I$8  *
IF('Maturity Level Summary'!$I$8&gt;=0,  (W24-O24),  (O24-AE24))</f>
        <v>0</v>
      </c>
      <c r="H24" s="182">
        <f>P24  + 'Maturity Level Summary'!$I$8  *
IF('Maturity Level Summary'!$I$8&gt;=0,  (X24-P24),  (P24-AF24))</f>
        <v>0</v>
      </c>
      <c r="I24" s="182">
        <f>Q24  + 'Maturity Level Summary'!$I$8  *
IF('Maturity Level Summary'!$I$8&gt;=0,  (Y24-Q24),  (Q24-AG24))</f>
        <v>0</v>
      </c>
      <c r="J24" s="183"/>
      <c r="K24" s="182">
        <v>0</v>
      </c>
      <c r="L24" s="182"/>
      <c r="M24" s="182">
        <f>'RCM Advancement - Benefits'!C53</f>
        <v>0</v>
      </c>
      <c r="N24" s="182">
        <f>'RCM Advancement - Benefits'!D53</f>
        <v>0</v>
      </c>
      <c r="O24" s="182">
        <f>'RCM Advancement - Benefits'!E53</f>
        <v>0</v>
      </c>
      <c r="P24" s="182">
        <f>'RCM Advancement - Benefits'!F53</f>
        <v>0</v>
      </c>
      <c r="Q24" s="182">
        <f>'RCM Advancement - Benefits'!G53</f>
        <v>0</v>
      </c>
      <c r="R24" s="183"/>
      <c r="S24" s="182">
        <v>0</v>
      </c>
      <c r="T24" s="182"/>
      <c r="U24" s="182">
        <f>'RCM Advancement - Benefits'!I53</f>
        <v>0</v>
      </c>
      <c r="V24" s="182">
        <f>'RCM Advancement - Benefits'!J53</f>
        <v>0</v>
      </c>
      <c r="W24" s="182">
        <f>'RCM Advancement - Benefits'!K53</f>
        <v>0</v>
      </c>
      <c r="X24" s="182">
        <f>'RCM Advancement - Benefits'!L53</f>
        <v>0</v>
      </c>
      <c r="Y24" s="182">
        <f>'RCM Advancement - Benefits'!M53</f>
        <v>0</v>
      </c>
      <c r="Z24" s="181"/>
      <c r="AA24" s="182">
        <v>0</v>
      </c>
      <c r="AB24" s="182"/>
      <c r="AC24" s="182">
        <f>'RCM Advancement - Benefits'!O53</f>
        <v>0</v>
      </c>
      <c r="AD24" s="182">
        <f>'RCM Advancement - Benefits'!P53</f>
        <v>0</v>
      </c>
      <c r="AE24" s="182">
        <f>'RCM Advancement - Benefits'!Q53</f>
        <v>0</v>
      </c>
      <c r="AF24" s="182">
        <f>'RCM Advancement - Benefits'!R53</f>
        <v>0</v>
      </c>
      <c r="AG24" s="182">
        <f>'RCM Advancement - Benefits'!S53</f>
        <v>0</v>
      </c>
    </row>
    <row r="25" spans="1:33" s="184" customFormat="1">
      <c r="A25" s="318"/>
      <c r="B25" s="181" t="str">
        <f>'Asset Info'!F10</f>
        <v>RSSB</v>
      </c>
      <c r="C25" s="182">
        <f>K25  + 'Maturity Level Summary'!$D$8  *
IF('Maturity Level Summary'!$D$8&gt;=0,  (S25-K25),  (K25-AA25))</f>
        <v>0</v>
      </c>
      <c r="D25" s="182"/>
      <c r="E25" s="182">
        <f>M25  + 'Maturity Level Summary'!$I$8  *
IF('Maturity Level Summary'!$I$8&gt;=0,  (U25-M25),  (M25-AC25))</f>
        <v>0</v>
      </c>
      <c r="F25" s="182">
        <f>N25  + 'Maturity Level Summary'!$I$8  *
IF('Maturity Level Summary'!$I$8&gt;=0,  (V25-N25),  (N25-AD25))</f>
        <v>0</v>
      </c>
      <c r="G25" s="182">
        <f>O25  + 'Maturity Level Summary'!$I$8  *
IF('Maturity Level Summary'!$I$8&gt;=0,  (W25-O25),  (O25-AE25))</f>
        <v>0</v>
      </c>
      <c r="H25" s="182">
        <f>P25  + 'Maturity Level Summary'!$I$8  *
IF('Maturity Level Summary'!$I$8&gt;=0,  (X25-P25),  (P25-AF25))</f>
        <v>0</v>
      </c>
      <c r="I25" s="182">
        <f>Q25  + 'Maturity Level Summary'!$I$8  *
IF('Maturity Level Summary'!$I$8&gt;=0,  (Y25-Q25),  (Q25-AG25))</f>
        <v>0</v>
      </c>
      <c r="J25" s="183"/>
      <c r="K25" s="182">
        <v>0</v>
      </c>
      <c r="L25" s="182"/>
      <c r="M25" s="182">
        <f>'RCM Advancement - Benefits'!C54</f>
        <v>0</v>
      </c>
      <c r="N25" s="182">
        <f>'RCM Advancement - Benefits'!D54</f>
        <v>0</v>
      </c>
      <c r="O25" s="182">
        <f>'RCM Advancement - Benefits'!E54</f>
        <v>0</v>
      </c>
      <c r="P25" s="182">
        <f>'RCM Advancement - Benefits'!F54</f>
        <v>0</v>
      </c>
      <c r="Q25" s="182">
        <f>'RCM Advancement - Benefits'!G54</f>
        <v>0</v>
      </c>
      <c r="R25" s="183"/>
      <c r="S25" s="182">
        <v>0</v>
      </c>
      <c r="T25" s="182"/>
      <c r="U25" s="182">
        <f>'RCM Advancement - Benefits'!I54</f>
        <v>0</v>
      </c>
      <c r="V25" s="182">
        <f>'RCM Advancement - Benefits'!J54</f>
        <v>0</v>
      </c>
      <c r="W25" s="182">
        <f>'RCM Advancement - Benefits'!K54</f>
        <v>0</v>
      </c>
      <c r="X25" s="182">
        <f>'RCM Advancement - Benefits'!L54</f>
        <v>0</v>
      </c>
      <c r="Y25" s="182">
        <f>'RCM Advancement - Benefits'!M54</f>
        <v>0</v>
      </c>
      <c r="Z25" s="181"/>
      <c r="AA25" s="182">
        <v>22562.5</v>
      </c>
      <c r="AB25" s="182"/>
      <c r="AC25" s="182">
        <f>'RCM Advancement - Benefits'!O54</f>
        <v>22562.5</v>
      </c>
      <c r="AD25" s="182">
        <f>'RCM Advancement - Benefits'!P54</f>
        <v>22562.5</v>
      </c>
      <c r="AE25" s="182">
        <f>'RCM Advancement - Benefits'!Q54</f>
        <v>22562.5</v>
      </c>
      <c r="AF25" s="182">
        <f>'RCM Advancement - Benefits'!R54</f>
        <v>22562.5</v>
      </c>
      <c r="AG25" s="182">
        <f>'RCM Advancement - Benefits'!S54</f>
        <v>22562.5</v>
      </c>
    </row>
    <row r="26" spans="1:33" s="197" customFormat="1">
      <c r="A26" s="193" t="str">
        <f>"RCM "&amp;'Asset Info'!$C$10</f>
        <v>RCM Crossrail</v>
      </c>
      <c r="B26" s="194" t="s">
        <v>199</v>
      </c>
      <c r="C26" s="195">
        <f>K26  + 'Maturity Level Summary'!$D$9  *
IF('Maturity Level Summary'!$D$9&gt;=0,  (S26-K26),  (K26-AA26))</f>
        <v>6.75</v>
      </c>
      <c r="D26" s="195"/>
      <c r="E26" s="195">
        <f>M26  + 'Maturity Level Summary'!$I$9  *
IF('Maturity Level Summary'!$I$9&gt;=0,  (U26-M26),  (M26-AC26))</f>
        <v>6.75</v>
      </c>
      <c r="F26" s="195">
        <f>N26  + 'Maturity Level Summary'!$I$9  *
IF('Maturity Level Summary'!$I$9&gt;=0,  (V26-N26),  (N26-AD26))</f>
        <v>6.75</v>
      </c>
      <c r="G26" s="195">
        <f>O26  + 'Maturity Level Summary'!$I$9  *
IF('Maturity Level Summary'!$I$9&gt;=0,  (W26-O26),  (O26-AE26))</f>
        <v>6.75</v>
      </c>
      <c r="H26" s="195">
        <f>P26  + 'Maturity Level Summary'!$I$9  *
IF('Maturity Level Summary'!$I$9&gt;=0,  (X26-P26),  (P26-AF26))</f>
        <v>6.75</v>
      </c>
      <c r="I26" s="195">
        <f>Q26  + 'Maturity Level Summary'!$I$9  *
IF('Maturity Level Summary'!$I$9&gt;=0,  (Y26-Q26),  (Q26-AG26))</f>
        <v>6.75</v>
      </c>
      <c r="J26" s="196"/>
      <c r="K26" s="195">
        <f>SUMPRODUCT('RCM Current'!$C$27:$F$27,'RCM Current'!$C$25:$F$25)</f>
        <v>6.75</v>
      </c>
      <c r="L26" s="195"/>
      <c r="M26" s="195">
        <f>'RCM Advancement - Benefits'!C17</f>
        <v>6.75</v>
      </c>
      <c r="N26" s="195">
        <f>'RCM Advancement - Benefits'!D17</f>
        <v>6.75</v>
      </c>
      <c r="O26" s="195">
        <f>'RCM Advancement - Benefits'!E17</f>
        <v>6.75</v>
      </c>
      <c r="P26" s="195">
        <f>'RCM Advancement - Benefits'!F17</f>
        <v>6.75</v>
      </c>
      <c r="Q26" s="195">
        <f>'RCM Advancement - Benefits'!G17</f>
        <v>6.75</v>
      </c>
      <c r="R26" s="196"/>
      <c r="S26" s="195">
        <f>SUMPRODUCT('RCM Current'!$I$27:$L$27,'RCM Current'!$I$25:$L$25)</f>
        <v>7.6485937499999999</v>
      </c>
      <c r="T26" s="195"/>
      <c r="U26" s="195">
        <f>'RCM Advancement - Benefits'!I17</f>
        <v>6.75</v>
      </c>
      <c r="V26" s="195">
        <f>'RCM Advancement - Benefits'!J17</f>
        <v>6.75</v>
      </c>
      <c r="W26" s="195">
        <f>'RCM Advancement - Benefits'!K17</f>
        <v>6.75</v>
      </c>
      <c r="X26" s="195">
        <f>'RCM Advancement - Benefits'!L17</f>
        <v>6.75</v>
      </c>
      <c r="Y26" s="195">
        <f>'RCM Advancement - Benefits'!M17</f>
        <v>6.75</v>
      </c>
      <c r="Z26" s="194"/>
      <c r="AA26" s="195">
        <f>SUMPRODUCT('RCM Current'!$O$27:$R$27,'RCM Current'!$O$25:$R$25)</f>
        <v>5.9226562499999993</v>
      </c>
      <c r="AB26" s="195"/>
      <c r="AC26" s="195">
        <f>'RCM Advancement - Benefits'!O17</f>
        <v>6.75</v>
      </c>
      <c r="AD26" s="195">
        <f>'RCM Advancement - Benefits'!P17</f>
        <v>6.75</v>
      </c>
      <c r="AE26" s="195">
        <f>'RCM Advancement - Benefits'!Q17</f>
        <v>6.75</v>
      </c>
      <c r="AF26" s="195">
        <f>'RCM Advancement - Benefits'!R17</f>
        <v>6.75</v>
      </c>
      <c r="AG26" s="195">
        <f>'RCM Advancement - Benefits'!S17</f>
        <v>6.75</v>
      </c>
    </row>
    <row r="27" spans="1:33" s="189" customFormat="1">
      <c r="A27" s="190"/>
      <c r="B27" s="186" t="s">
        <v>174</v>
      </c>
      <c r="C27" s="187">
        <f>K27  + 'Maturity Level Summary'!$D$9  *
IF('Maturity Level Summary'!$D$9&gt;=0,  (S27-K27),  (K27-AA27))</f>
        <v>0</v>
      </c>
      <c r="D27" s="187"/>
      <c r="E27" s="187">
        <f>M27  + 'Maturity Level Summary'!$I$9  *
IF('Maturity Level Summary'!$I$9&gt;=0,  (U27-M27),  (M27-AC27))</f>
        <v>0</v>
      </c>
      <c r="F27" s="187">
        <f>N27  + 'Maturity Level Summary'!$I$9  *
IF('Maturity Level Summary'!$I$9&gt;=0,  (V27-N27),  (N27-AD27))</f>
        <v>0</v>
      </c>
      <c r="G27" s="187">
        <f>O27  + 'Maturity Level Summary'!$I$9  *
IF('Maturity Level Summary'!$I$9&gt;=0,  (W27-O27),  (O27-AE27))</f>
        <v>0</v>
      </c>
      <c r="H27" s="187">
        <f>P27  + 'Maturity Level Summary'!$I$9  *
IF('Maturity Level Summary'!$I$9&gt;=0,  (X27-P27),  (P27-AF27))</f>
        <v>0</v>
      </c>
      <c r="I27" s="187">
        <f>Q27  + 'Maturity Level Summary'!$I$9  *
IF('Maturity Level Summary'!$I$9&gt;=0,  (Y27-Q27),  (Q27-AG27))</f>
        <v>0</v>
      </c>
      <c r="J27" s="188"/>
      <c r="K27" s="187">
        <f>SUMPRODUCT('RCM Current'!$C$52:$F$52,'RCM Current'!$C$53:$F$53)+SUMPRODUCT('RCM Current'!$C$42:$F$42,'RCM Current'!$C$43:$F$43)+SUMPRODUCT('RCM Current'!$C$35:$F$35,'RCM Current'!$C$36:$F$36)</f>
        <v>0</v>
      </c>
      <c r="L27" s="187"/>
      <c r="M27" s="187">
        <f>'RCM Future - Costs'!G34</f>
        <v>0</v>
      </c>
      <c r="N27" s="187">
        <f>M27+'RCM Higher Level Analytics'!$H$18*'RCM Higher Level Analytics'!$H$23</f>
        <v>0</v>
      </c>
      <c r="O27" s="187">
        <f>N27+'RCM Higher Level Analytics'!$H$19*'RCM Higher Level Analytics'!$H$23</f>
        <v>0</v>
      </c>
      <c r="P27" s="187">
        <f>O27+'RCM Higher Level Analytics'!$H$20*'RCM Higher Level Analytics'!$H$23</f>
        <v>0</v>
      </c>
      <c r="Q27" s="187">
        <f>P27+'RCM Higher Level Analytics'!$H$21*'RCM Higher Level Analytics'!$H$23</f>
        <v>0</v>
      </c>
      <c r="R27" s="188"/>
      <c r="S27" s="187">
        <f>SUMPRODUCT('RCM Current'!$I$52:$L$52,'RCM Current'!$I$53:$L$53)+SUMPRODUCT('RCM Current'!$I$42:$L$42,'RCM Current'!$I$43:$L$43)+SUMPRODUCT('RCM Current'!$I$35:$L$35,'RCM Current'!$I$36:$L$36)</f>
        <v>0</v>
      </c>
      <c r="T27" s="187"/>
      <c r="U27" s="187">
        <f>'RCM Future - Costs'!M34</f>
        <v>0</v>
      </c>
      <c r="V27" s="187">
        <f>U27+'RCM Higher Level Analytics'!$O$18*'RCM Higher Level Analytics'!$O$23</f>
        <v>0</v>
      </c>
      <c r="W27" s="187">
        <f>V27+'RCM Higher Level Analytics'!$O$19*'RCM Higher Level Analytics'!$O$23</f>
        <v>0</v>
      </c>
      <c r="X27" s="187">
        <f>W27+'RCM Higher Level Analytics'!$O$20*'RCM Higher Level Analytics'!$O$23</f>
        <v>0</v>
      </c>
      <c r="Y27" s="187">
        <f>X27+'RCM Higher Level Analytics'!$O$21*'RCM Higher Level Analytics'!$O$23</f>
        <v>0</v>
      </c>
      <c r="Z27" s="186"/>
      <c r="AA27" s="187">
        <f>SUMPRODUCT('RCM Current'!$O$52:$R$52,'RCM Current'!$O$53:$R$53)+SUMPRODUCT('RCM Current'!$O$42:$R$42,'RCM Current'!$O$43:$R$43)+SUMPRODUCT('RCM Current'!$O$35:$R$35,'RCM Current'!$O$36:$R$36)</f>
        <v>0</v>
      </c>
      <c r="AB27" s="187"/>
      <c r="AC27" s="187">
        <f>'RCM Future - Costs'!S34</f>
        <v>0</v>
      </c>
      <c r="AD27" s="187">
        <f>AC27+'RCM Higher Level Analytics'!$V$18*'RCM Higher Level Analytics'!$V$23</f>
        <v>0</v>
      </c>
      <c r="AE27" s="187">
        <f>AD27+'RCM Higher Level Analytics'!$V$19*'RCM Higher Level Analytics'!$V$23</f>
        <v>0</v>
      </c>
      <c r="AF27" s="187">
        <f>AE27+'RCM Higher Level Analytics'!$V$20*'RCM Higher Level Analytics'!$V$23</f>
        <v>0</v>
      </c>
      <c r="AG27" s="187">
        <f>AF27+'RCM Higher Level Analytics'!$V$21*'RCM Higher Level Analytics'!$V$23</f>
        <v>0</v>
      </c>
    </row>
    <row r="28" spans="1:33" s="189" customFormat="1">
      <c r="A28" s="185" t="str">
        <f>"RCM "&amp;'Asset Info'!$D$10</f>
        <v>RCM NR Western</v>
      </c>
      <c r="B28" s="186" t="s">
        <v>199</v>
      </c>
      <c r="C28" s="187">
        <f>K28  + 'Maturity Level Summary'!$D$9  *
IF('Maturity Level Summary'!$D$9&gt;=0,  (S28-K28),  (K28-AA28))</f>
        <v>0</v>
      </c>
      <c r="D28" s="187"/>
      <c r="E28" s="187">
        <f>M28  + 'Maturity Level Summary'!$I$9  *
IF('Maturity Level Summary'!$I$9&gt;=0,  (U28-M28),  (M28-AC28))</f>
        <v>0</v>
      </c>
      <c r="F28" s="187">
        <f>N28  + 'Maturity Level Summary'!$I$9  *
IF('Maturity Level Summary'!$I$9&gt;=0,  (V28-N28),  (N28-AD28))</f>
        <v>0</v>
      </c>
      <c r="G28" s="187">
        <f>O28  + 'Maturity Level Summary'!$I$9  *
IF('Maturity Level Summary'!$I$9&gt;=0,  (W28-O28),  (O28-AE28))</f>
        <v>0</v>
      </c>
      <c r="H28" s="187">
        <f>P28  + 'Maturity Level Summary'!$I$9  *
IF('Maturity Level Summary'!$I$9&gt;=0,  (X28-P28),  (P28-AF28))</f>
        <v>0</v>
      </c>
      <c r="I28" s="187">
        <f>Q28  + 'Maturity Level Summary'!$I$9  *
IF('Maturity Level Summary'!$I$9&gt;=0,  (Y28-Q28),  (Q28-AG28))</f>
        <v>0</v>
      </c>
      <c r="J28" s="188"/>
      <c r="K28" s="187">
        <f>SUMPRODUCT('RCM Current'!$C$28:$F$28,'RCM Current'!$C$25:$F$25)</f>
        <v>0</v>
      </c>
      <c r="L28" s="187"/>
      <c r="M28" s="187">
        <f>'RCM Advancement - Benefits'!C18</f>
        <v>0</v>
      </c>
      <c r="N28" s="187">
        <f>'RCM Advancement - Benefits'!D18</f>
        <v>0</v>
      </c>
      <c r="O28" s="187">
        <f>'RCM Advancement - Benefits'!E18</f>
        <v>0</v>
      </c>
      <c r="P28" s="187">
        <f>'RCM Advancement - Benefits'!F18</f>
        <v>0</v>
      </c>
      <c r="Q28" s="187">
        <f>'RCM Advancement - Benefits'!G18</f>
        <v>0</v>
      </c>
      <c r="R28" s="188"/>
      <c r="S28" s="187">
        <f>SUMPRODUCT('RCM Current'!$I$28:$L$28,'RCM Current'!$I$25:$L$25)</f>
        <v>0</v>
      </c>
      <c r="T28" s="187"/>
      <c r="U28" s="187">
        <f>'RCM Advancement - Benefits'!I18</f>
        <v>0</v>
      </c>
      <c r="V28" s="187">
        <f>'RCM Advancement - Benefits'!J18</f>
        <v>0</v>
      </c>
      <c r="W28" s="187">
        <f>'RCM Advancement - Benefits'!K18</f>
        <v>0</v>
      </c>
      <c r="X28" s="187">
        <f>'RCM Advancement - Benefits'!L18</f>
        <v>0</v>
      </c>
      <c r="Y28" s="187">
        <f>'RCM Advancement - Benefits'!M18</f>
        <v>0</v>
      </c>
      <c r="Z28" s="186"/>
      <c r="AA28" s="187">
        <f>SUMPRODUCT('RCM Current'!$O$28:$R$28,'RCM Current'!$O$25:$R$25)</f>
        <v>0</v>
      </c>
      <c r="AB28" s="187"/>
      <c r="AC28" s="187">
        <f>'RCM Advancement - Benefits'!O18</f>
        <v>0</v>
      </c>
      <c r="AD28" s="187">
        <f>'RCM Advancement - Benefits'!P18</f>
        <v>0</v>
      </c>
      <c r="AE28" s="187">
        <f>'RCM Advancement - Benefits'!Q18</f>
        <v>0</v>
      </c>
      <c r="AF28" s="187">
        <f>'RCM Advancement - Benefits'!R18</f>
        <v>0</v>
      </c>
      <c r="AG28" s="187">
        <f>'RCM Advancement - Benefits'!S18</f>
        <v>0</v>
      </c>
    </row>
    <row r="29" spans="1:33" s="189" customFormat="1">
      <c r="A29" s="185"/>
      <c r="B29" s="186" t="s">
        <v>174</v>
      </c>
      <c r="C29" s="187">
        <f>K29  + 'Maturity Level Summary'!$D$9  *
IF('Maturity Level Summary'!$D$9&gt;=0,  (S29-K29),  (K29-AA29))</f>
        <v>15000</v>
      </c>
      <c r="D29" s="187"/>
      <c r="E29" s="187">
        <f>M29  + 'Maturity Level Summary'!$I$9  *
IF('Maturity Level Summary'!$I$9&gt;=0,  (U29-M29),  (M29-AC29))</f>
        <v>27500</v>
      </c>
      <c r="F29" s="187">
        <f>N29  + 'Maturity Level Summary'!$I$9  *
IF('Maturity Level Summary'!$I$9&gt;=0,  (V29-N29),  (N29-AD29))</f>
        <v>37790</v>
      </c>
      <c r="G29" s="187">
        <f>O29  + 'Maturity Level Summary'!$I$9  *
IF('Maturity Level Summary'!$I$9&gt;=0,  (W29-O29),  (O29-AE29))</f>
        <v>41150</v>
      </c>
      <c r="H29" s="187">
        <f>P29  + 'Maturity Level Summary'!$I$9  *
IF('Maturity Level Summary'!$I$9&gt;=0,  (X29-P29),  (P29-AF29))</f>
        <v>50810</v>
      </c>
      <c r="I29" s="187">
        <f>Q29  + 'Maturity Level Summary'!$I$9  *
IF('Maturity Level Summary'!$I$9&gt;=0,  (Y29-Q29),  (Q29-AG29))</f>
        <v>59000</v>
      </c>
      <c r="J29" s="188"/>
      <c r="K29" s="187">
        <f>SUMPRODUCT('RCM Current'!$C$52:$F$52,'RCM Current'!$C$54:$F$54)+SUMPRODUCT('RCM Current'!$C$42:$F$42,'RCM Current'!$C$44:$F$44)+SUMPRODUCT('RCM Current'!$C$35:$F$35,'RCM Current'!$C$37:$F$37)</f>
        <v>15000</v>
      </c>
      <c r="L29" s="187"/>
      <c r="M29" s="187">
        <f>'RCM Future - Costs'!G35</f>
        <v>27500</v>
      </c>
      <c r="N29" s="187">
        <f>M29+'RCM Higher Level Analytics'!$H$18*'RCM Higher Level Analytics'!$H$24</f>
        <v>37790</v>
      </c>
      <c r="O29" s="187">
        <f>N29+'RCM Higher Level Analytics'!$H$19*'RCM Higher Level Analytics'!$H$24</f>
        <v>41150</v>
      </c>
      <c r="P29" s="187">
        <f>O29+'RCM Higher Level Analytics'!$H$20*'RCM Higher Level Analytics'!$H$24</f>
        <v>50810</v>
      </c>
      <c r="Q29" s="187">
        <f>P29+'RCM Higher Level Analytics'!$H$21*'RCM Higher Level Analytics'!$H$24</f>
        <v>59000</v>
      </c>
      <c r="R29" s="188"/>
      <c r="S29" s="187">
        <f>SUMPRODUCT('RCM Current'!$I$52:$L$52,'RCM Current'!$I$54:$L$54)+SUMPRODUCT('RCM Current'!$I$42:$L$42,'RCM Current'!$I$44:$L$44)+SUMPRODUCT('RCM Current'!$I$35:$L$35,'RCM Current'!$I$37:$L$37)</f>
        <v>15750</v>
      </c>
      <c r="T29" s="187"/>
      <c r="U29" s="187">
        <f>'RCM Future - Costs'!M35</f>
        <v>28625</v>
      </c>
      <c r="V29" s="187">
        <f>U29+'RCM Higher Level Analytics'!$O$18*'RCM Higher Level Analytics'!$O$24</f>
        <v>39429.5</v>
      </c>
      <c r="W29" s="187">
        <f>V29+'RCM Higher Level Analytics'!$O$19*'RCM Higher Level Analytics'!$O$24</f>
        <v>42957.5</v>
      </c>
      <c r="X29" s="187">
        <f>W29+'RCM Higher Level Analytics'!$O$20*'RCM Higher Level Analytics'!$O$24</f>
        <v>53100.5</v>
      </c>
      <c r="Y29" s="187">
        <f>X29+'RCM Higher Level Analytics'!$O$21*'RCM Higher Level Analytics'!$O$24</f>
        <v>61700</v>
      </c>
      <c r="Z29" s="186"/>
      <c r="AA29" s="187">
        <f>SUMPRODUCT('RCM Current'!$O$52:$R$52,'RCM Current'!$O$54:$R$54)+SUMPRODUCT('RCM Current'!$O$42:$R$42,'RCM Current'!$O$44:$R$44)+SUMPRODUCT('RCM Current'!$O$35:$R$35,'RCM Current'!$O$37:$R$37)</f>
        <v>14250</v>
      </c>
      <c r="AB29" s="187"/>
      <c r="AC29" s="187">
        <f>'RCM Future - Costs'!S35</f>
        <v>26375</v>
      </c>
      <c r="AD29" s="187">
        <f>AC29+'RCM Higher Level Analytics'!$V$18*'RCM Higher Level Analytics'!$V$24</f>
        <v>36150.5</v>
      </c>
      <c r="AE29" s="187">
        <f>AD29+'RCM Higher Level Analytics'!$V$19*'RCM Higher Level Analytics'!$V$24</f>
        <v>39342.5</v>
      </c>
      <c r="AF29" s="187">
        <f>AE29+'RCM Higher Level Analytics'!$V$20*'RCM Higher Level Analytics'!$V$24</f>
        <v>48519.5</v>
      </c>
      <c r="AG29" s="187">
        <f>AF29+'RCM Higher Level Analytics'!$V$21*'RCM Higher Level Analytics'!$V$24</f>
        <v>56300</v>
      </c>
    </row>
    <row r="30" spans="1:33" s="189" customFormat="1">
      <c r="A30" s="185" t="str">
        <f>"RCM "&amp;'Asset Info'!$E$10</f>
        <v>RCM Balfour Beatty</v>
      </c>
      <c r="B30" s="186" t="s">
        <v>199</v>
      </c>
      <c r="C30" s="187">
        <f>K30  + 'Maturity Level Summary'!$D$9  *
IF('Maturity Level Summary'!$D$9&gt;=0,  (S30-K30),  (K30-AA30))</f>
        <v>0</v>
      </c>
      <c r="D30" s="187"/>
      <c r="E30" s="187">
        <f>M30  + 'Maturity Level Summary'!$I$9  *
IF('Maturity Level Summary'!$I$9&gt;=0,  (U30-M30),  (M30-AC30))</f>
        <v>0</v>
      </c>
      <c r="F30" s="187">
        <f>N30  + 'Maturity Level Summary'!$I$9  *
IF('Maturity Level Summary'!$I$9&gt;=0,  (V30-N30),  (N30-AD30))</f>
        <v>0</v>
      </c>
      <c r="G30" s="187">
        <f>O30  + 'Maturity Level Summary'!$I$9  *
IF('Maturity Level Summary'!$I$9&gt;=0,  (W30-O30),  (O30-AE30))</f>
        <v>0</v>
      </c>
      <c r="H30" s="187">
        <f>P30  + 'Maturity Level Summary'!$I$9  *
IF('Maturity Level Summary'!$I$9&gt;=0,  (X30-P30),  (P30-AF30))</f>
        <v>0</v>
      </c>
      <c r="I30" s="187">
        <f>Q30  + 'Maturity Level Summary'!$I$9  *
IF('Maturity Level Summary'!$I$9&gt;=0,  (Y30-Q30),  (Q30-AG30))</f>
        <v>0</v>
      </c>
      <c r="J30" s="188"/>
      <c r="K30" s="187">
        <f>SUMPRODUCT('RCM Current'!$C$29:$F$29,'RCM Current'!$C$25:$F$25)</f>
        <v>0</v>
      </c>
      <c r="L30" s="187"/>
      <c r="M30" s="187">
        <f>'RCM Advancement - Benefits'!C19</f>
        <v>0</v>
      </c>
      <c r="N30" s="187">
        <f>'RCM Advancement - Benefits'!D19</f>
        <v>0</v>
      </c>
      <c r="O30" s="187">
        <f>'RCM Advancement - Benefits'!E19</f>
        <v>0</v>
      </c>
      <c r="P30" s="187">
        <f>'RCM Advancement - Benefits'!F19</f>
        <v>0</v>
      </c>
      <c r="Q30" s="187">
        <f>'RCM Advancement - Benefits'!G19</f>
        <v>0</v>
      </c>
      <c r="R30" s="188"/>
      <c r="S30" s="187">
        <f>SUMPRODUCT('RCM Current'!$I$29:$L$29,'RCM Current'!$I$25:$L$25)</f>
        <v>0</v>
      </c>
      <c r="T30" s="187"/>
      <c r="U30" s="187">
        <f>'RCM Advancement - Benefits'!I19</f>
        <v>0</v>
      </c>
      <c r="V30" s="187">
        <f>'RCM Advancement - Benefits'!J19</f>
        <v>0</v>
      </c>
      <c r="W30" s="187">
        <f>'RCM Advancement - Benefits'!K19</f>
        <v>0</v>
      </c>
      <c r="X30" s="187">
        <f>'RCM Advancement - Benefits'!L19</f>
        <v>0</v>
      </c>
      <c r="Y30" s="187">
        <f>'RCM Advancement - Benefits'!M19</f>
        <v>0</v>
      </c>
      <c r="Z30" s="186"/>
      <c r="AA30" s="187">
        <f>SUMPRODUCT('RCM Current'!$O$29:$R$29,'RCM Current'!$O$25:$R$25)</f>
        <v>0</v>
      </c>
      <c r="AB30" s="187"/>
      <c r="AC30" s="187">
        <f>'RCM Advancement - Benefits'!O19</f>
        <v>0</v>
      </c>
      <c r="AD30" s="187">
        <f>'RCM Advancement - Benefits'!P19</f>
        <v>0</v>
      </c>
      <c r="AE30" s="187">
        <f>'RCM Advancement - Benefits'!Q19</f>
        <v>0</v>
      </c>
      <c r="AF30" s="187">
        <f>'RCM Advancement - Benefits'!R19</f>
        <v>0</v>
      </c>
      <c r="AG30" s="187">
        <f>'RCM Advancement - Benefits'!S19</f>
        <v>0</v>
      </c>
    </row>
    <row r="31" spans="1:33" s="189" customFormat="1">
      <c r="A31" s="185"/>
      <c r="B31" s="186" t="s">
        <v>174</v>
      </c>
      <c r="C31" s="187">
        <f>K31  + 'Maturity Level Summary'!$D$9  *
IF('Maturity Level Summary'!$D$9&gt;=0,  (S31-K31),  (K31-AA31))</f>
        <v>0</v>
      </c>
      <c r="D31" s="187"/>
      <c r="E31" s="187">
        <f>M31  + 'Maturity Level Summary'!$I$9  *
IF('Maturity Level Summary'!$I$9&gt;=0,  (U31-M31),  (M31-AC31))</f>
        <v>0</v>
      </c>
      <c r="F31" s="187">
        <f>N31  + 'Maturity Level Summary'!$I$9  *
IF('Maturity Level Summary'!$I$9&gt;=0,  (V31-N31),  (N31-AD31))</f>
        <v>0</v>
      </c>
      <c r="G31" s="187">
        <f>O31  + 'Maturity Level Summary'!$I$9  *
IF('Maturity Level Summary'!$I$9&gt;=0,  (W31-O31),  (O31-AE31))</f>
        <v>0</v>
      </c>
      <c r="H31" s="187">
        <f>P31  + 'Maturity Level Summary'!$I$9  *
IF('Maturity Level Summary'!$I$9&gt;=0,  (X31-P31),  (P31-AF31))</f>
        <v>0</v>
      </c>
      <c r="I31" s="187">
        <f>Q31  + 'Maturity Level Summary'!$I$9  *
IF('Maturity Level Summary'!$I$9&gt;=0,  (Y31-Q31),  (Q31-AG31))</f>
        <v>0</v>
      </c>
      <c r="J31" s="188"/>
      <c r="K31" s="187">
        <f>SUMPRODUCT('RCM Current'!$C$52:$F$52,'RCM Current'!$C$55:$F$55)+SUMPRODUCT('RCM Current'!$C$42:$F$42,'RCM Current'!$C$45:$F$45)+SUMPRODUCT('RCM Current'!$C$35:$F$35,'RCM Current'!$C$38:$F$38)</f>
        <v>0</v>
      </c>
      <c r="L31" s="187"/>
      <c r="M31" s="187">
        <f>'RCM Future - Costs'!G36</f>
        <v>0</v>
      </c>
      <c r="N31" s="187">
        <f>M31+'RCM Higher Level Analytics'!$H$18*'RCM Higher Level Analytics'!$H$25</f>
        <v>0</v>
      </c>
      <c r="O31" s="187">
        <f>N31+'RCM Higher Level Analytics'!$H$19*'RCM Higher Level Analytics'!$H$25</f>
        <v>0</v>
      </c>
      <c r="P31" s="187">
        <f>O31+'RCM Higher Level Analytics'!$H$20*'RCM Higher Level Analytics'!$H$25</f>
        <v>0</v>
      </c>
      <c r="Q31" s="187">
        <f>P31+'RCM Higher Level Analytics'!$H$21*'RCM Higher Level Analytics'!$H$25</f>
        <v>0</v>
      </c>
      <c r="R31" s="188"/>
      <c r="S31" s="187">
        <f>SUMPRODUCT('RCM Current'!$I$52:$L$52,'RCM Current'!$I$55:$L$55)+SUMPRODUCT('RCM Current'!$I$42:$L$42,'RCM Current'!$I$45:$L$45)+SUMPRODUCT('RCM Current'!$I$35:$L$35,'RCM Current'!$I$38:$L$38)</f>
        <v>0</v>
      </c>
      <c r="T31" s="187"/>
      <c r="U31" s="187">
        <f>'RCM Future - Costs'!M36</f>
        <v>0</v>
      </c>
      <c r="V31" s="187">
        <f>U31+'RCM Higher Level Analytics'!$O$18*'RCM Higher Level Analytics'!$O$25</f>
        <v>0</v>
      </c>
      <c r="W31" s="187">
        <f>V31+'RCM Higher Level Analytics'!$O$19*'RCM Higher Level Analytics'!$O$25</f>
        <v>0</v>
      </c>
      <c r="X31" s="187">
        <f>W31+'RCM Higher Level Analytics'!$O$20*'RCM Higher Level Analytics'!$O$25</f>
        <v>0</v>
      </c>
      <c r="Y31" s="187">
        <f>X31+'RCM Higher Level Analytics'!$O$21*'RCM Higher Level Analytics'!$O$25</f>
        <v>0</v>
      </c>
      <c r="Z31" s="186"/>
      <c r="AA31" s="187">
        <f>SUMPRODUCT('RCM Current'!$O$52:$R$52,'RCM Current'!$O$55:$R$55)+SUMPRODUCT('RCM Current'!$O$42:$R$42,'RCM Current'!$O$45:$R$45)+SUMPRODUCT('RCM Current'!$O$35:$R$35,'RCM Current'!$O$38:$R$38)</f>
        <v>0</v>
      </c>
      <c r="AB31" s="187"/>
      <c r="AC31" s="187">
        <f>'RCM Future - Costs'!S36</f>
        <v>0</v>
      </c>
      <c r="AD31" s="187">
        <f>AC31+'RCM Higher Level Analytics'!$V$18*'RCM Higher Level Analytics'!$V$25</f>
        <v>0</v>
      </c>
      <c r="AE31" s="187">
        <f>AD31+'RCM Higher Level Analytics'!$V$19*'RCM Higher Level Analytics'!$V$25</f>
        <v>0</v>
      </c>
      <c r="AF31" s="187">
        <f>AE31+'RCM Higher Level Analytics'!$V$20*'RCM Higher Level Analytics'!$V$25</f>
        <v>0</v>
      </c>
      <c r="AG31" s="187">
        <f>AF31+'RCM Higher Level Analytics'!$V$21*'RCM Higher Level Analytics'!$V$25</f>
        <v>0</v>
      </c>
    </row>
    <row r="32" spans="1:33" s="189" customFormat="1">
      <c r="A32" s="185" t="str">
        <f>"RCM "&amp;'Asset Info'!$F$10</f>
        <v>RCM RSSB</v>
      </c>
      <c r="B32" s="186" t="s">
        <v>199</v>
      </c>
      <c r="C32" s="187">
        <f>K32  + 'Maturity Level Summary'!$D$9  *
IF('Maturity Level Summary'!$D$9&gt;=0,  (S32-K32),  (K32-AA32))</f>
        <v>0</v>
      </c>
      <c r="D32" s="187"/>
      <c r="E32" s="187">
        <f>M32  + 'Maturity Level Summary'!$I$9  *
IF('Maturity Level Summary'!$I$9&gt;=0,  (U32-M32),  (M32-AC32))</f>
        <v>0</v>
      </c>
      <c r="F32" s="187">
        <f>N32  + 'Maturity Level Summary'!$I$9  *
IF('Maturity Level Summary'!$I$9&gt;=0,  (V32-N32),  (N32-AD32))</f>
        <v>0</v>
      </c>
      <c r="G32" s="187">
        <f>O32  + 'Maturity Level Summary'!$I$9  *
IF('Maturity Level Summary'!$I$9&gt;=0,  (W32-O32),  (O32-AE32))</f>
        <v>0</v>
      </c>
      <c r="H32" s="187">
        <f>P32  + 'Maturity Level Summary'!$I$9  *
IF('Maturity Level Summary'!$I$9&gt;=0,  (X32-P32),  (P32-AF32))</f>
        <v>0</v>
      </c>
      <c r="I32" s="187">
        <f>Q32  + 'Maturity Level Summary'!$I$9  *
IF('Maturity Level Summary'!$I$9&gt;=0,  (Y32-Q32),  (Q32-AG32))</f>
        <v>0</v>
      </c>
      <c r="J32" s="188"/>
      <c r="K32" s="187">
        <f>SUMPRODUCT('RCM Current'!$C$30:$F$30,'RCM Current'!$C$25:$F$25)</f>
        <v>0</v>
      </c>
      <c r="L32" s="187"/>
      <c r="M32" s="187">
        <f>'RCM Advancement - Benefits'!C20</f>
        <v>0</v>
      </c>
      <c r="N32" s="187">
        <f>'RCM Advancement - Benefits'!D20</f>
        <v>0</v>
      </c>
      <c r="O32" s="187">
        <f>'RCM Advancement - Benefits'!E20</f>
        <v>0</v>
      </c>
      <c r="P32" s="187">
        <f>'RCM Advancement - Benefits'!F20</f>
        <v>0</v>
      </c>
      <c r="Q32" s="187">
        <f>'RCM Advancement - Benefits'!G20</f>
        <v>0</v>
      </c>
      <c r="R32" s="188"/>
      <c r="S32" s="187">
        <f>SUMPRODUCT('RCM Current'!$I$30:$L$30,'RCM Current'!$I$25:$L$25)</f>
        <v>0</v>
      </c>
      <c r="T32" s="187"/>
      <c r="U32" s="187">
        <f>'RCM Advancement - Benefits'!I20</f>
        <v>0</v>
      </c>
      <c r="V32" s="187">
        <f>'RCM Advancement - Benefits'!J20</f>
        <v>0</v>
      </c>
      <c r="W32" s="187">
        <f>'RCM Advancement - Benefits'!K20</f>
        <v>0</v>
      </c>
      <c r="X32" s="187">
        <f>'RCM Advancement - Benefits'!L20</f>
        <v>0</v>
      </c>
      <c r="Y32" s="187">
        <f>'RCM Advancement - Benefits'!M20</f>
        <v>0</v>
      </c>
      <c r="Z32" s="186"/>
      <c r="AA32" s="187">
        <f>SUMPRODUCT('RCM Current'!$O$30:$R$30,'RCM Current'!$O$25:$R$25)</f>
        <v>0</v>
      </c>
      <c r="AB32" s="187"/>
      <c r="AC32" s="187">
        <f>'RCM Advancement - Benefits'!O20</f>
        <v>0</v>
      </c>
      <c r="AD32" s="187">
        <f>'RCM Advancement - Benefits'!P20</f>
        <v>0</v>
      </c>
      <c r="AE32" s="187">
        <f>'RCM Advancement - Benefits'!Q20</f>
        <v>0</v>
      </c>
      <c r="AF32" s="187">
        <f>'RCM Advancement - Benefits'!R20</f>
        <v>0</v>
      </c>
      <c r="AG32" s="187">
        <f>'RCM Advancement - Benefits'!S20</f>
        <v>0</v>
      </c>
    </row>
    <row r="33" spans="1:33" s="189" customFormat="1">
      <c r="A33" s="190"/>
      <c r="B33" s="186" t="s">
        <v>174</v>
      </c>
      <c r="C33" s="187">
        <f>K33  + 'Maturity Level Summary'!$D$9  *
IF('Maturity Level Summary'!$D$9&gt;=0,  (S33-K33),  (K33-AA33))</f>
        <v>0</v>
      </c>
      <c r="D33" s="187"/>
      <c r="E33" s="187">
        <f>M33  + 'Maturity Level Summary'!$I$9  *
IF('Maturity Level Summary'!$I$9&gt;=0,  (U33-M33),  (M33-AC33))</f>
        <v>12500</v>
      </c>
      <c r="F33" s="187">
        <f>N33  + 'Maturity Level Summary'!$I$9  *
IF('Maturity Level Summary'!$I$9&gt;=0,  (V33-N33),  (N33-AD33))</f>
        <v>16910</v>
      </c>
      <c r="G33" s="187">
        <f>O33  + 'Maturity Level Summary'!$I$9  *
IF('Maturity Level Summary'!$I$9&gt;=0,  (W33-O33),  (O33-AE33))</f>
        <v>18350</v>
      </c>
      <c r="H33" s="187">
        <f>P33  + 'Maturity Level Summary'!$I$9  *
IF('Maturity Level Summary'!$I$9&gt;=0,  (X33-P33),  (P33-AF33))</f>
        <v>22490</v>
      </c>
      <c r="I33" s="187">
        <f>Q33  + 'Maturity Level Summary'!$I$9  *
IF('Maturity Level Summary'!$I$9&gt;=0,  (Y33-Q33),  (Q33-AG33))</f>
        <v>26000</v>
      </c>
      <c r="J33" s="188"/>
      <c r="K33" s="187">
        <f>SUMPRODUCT('RCM Current'!$C$52:$F$52,'RCM Current'!$C$56:$F$56)+SUMPRODUCT('RCM Current'!$C$42:$F$42,'RCM Current'!$C$56:$F$56)+SUMPRODUCT('RCM Current'!$C$35:$F$35,'RCM Current'!$C$39:$F$39)</f>
        <v>0</v>
      </c>
      <c r="L33" s="187"/>
      <c r="M33" s="187">
        <f>'RCM Future - Costs'!G37</f>
        <v>12500</v>
      </c>
      <c r="N33" s="187">
        <f>M33+'RCM Higher Level Analytics'!$H$18*'RCM Higher Level Analytics'!$H$26</f>
        <v>16910</v>
      </c>
      <c r="O33" s="187">
        <f>N33+'RCM Higher Level Analytics'!$H$19*'RCM Higher Level Analytics'!$H$26</f>
        <v>18350</v>
      </c>
      <c r="P33" s="187">
        <f>O33+'RCM Higher Level Analytics'!$H$20*'RCM Higher Level Analytics'!$H$26</f>
        <v>22490</v>
      </c>
      <c r="Q33" s="187">
        <f>P33+'RCM Higher Level Analytics'!$H$21*'RCM Higher Level Analytics'!$H$26</f>
        <v>26000</v>
      </c>
      <c r="R33" s="188"/>
      <c r="S33" s="187">
        <f>SUMPRODUCT('RCM Current'!$I$52:$L$52,'RCM Current'!$I$56:$L$56)+SUMPRODUCT('RCM Current'!$I$42:$L$42,'RCM Current'!$I$56:$L$56)+SUMPRODUCT('RCM Current'!$I$35:$L$35,'RCM Current'!$I$39:$L$39)</f>
        <v>0</v>
      </c>
      <c r="T33" s="187"/>
      <c r="U33" s="187">
        <f>'RCM Future - Costs'!M37</f>
        <v>12875</v>
      </c>
      <c r="V33" s="187">
        <f>U33+'RCM Higher Level Analytics'!$O$18*'RCM Higher Level Analytics'!$O$26</f>
        <v>17505.5</v>
      </c>
      <c r="W33" s="187">
        <f>V33+'RCM Higher Level Analytics'!$O$19*'RCM Higher Level Analytics'!$O$26</f>
        <v>19017.5</v>
      </c>
      <c r="X33" s="187">
        <f>W33+'RCM Higher Level Analytics'!$O$20*'RCM Higher Level Analytics'!$O$26</f>
        <v>23364.5</v>
      </c>
      <c r="Y33" s="187">
        <f>X33+'RCM Higher Level Analytics'!$O$21*'RCM Higher Level Analytics'!$O$26</f>
        <v>27050</v>
      </c>
      <c r="Z33" s="186"/>
      <c r="AA33" s="187">
        <f>SUMPRODUCT('RCM Current'!$O$52:$R$52,'RCM Current'!$O$56:$R$56)+SUMPRODUCT('RCM Current'!$O$42:$R$42,'RCM Current'!$O$56:$R$56)+SUMPRODUCT('RCM Current'!$O$35:$R$35,'RCM Current'!$O$39:$R$39)</f>
        <v>0</v>
      </c>
      <c r="AB33" s="187"/>
      <c r="AC33" s="187">
        <f>'RCM Future - Costs'!S37</f>
        <v>12125</v>
      </c>
      <c r="AD33" s="187">
        <f>AC33+'RCM Higher Level Analytics'!$V$18*'RCM Higher Level Analytics'!$V$26</f>
        <v>16314.5</v>
      </c>
      <c r="AE33" s="187">
        <f>AD33+'RCM Higher Level Analytics'!$V$19*'RCM Higher Level Analytics'!$V$26</f>
        <v>17682.5</v>
      </c>
      <c r="AF33" s="187">
        <f>AE33+'RCM Higher Level Analytics'!$V$20*'RCM Higher Level Analytics'!$V$26</f>
        <v>21615.5</v>
      </c>
      <c r="AG33" s="187">
        <f>AF33+'RCM Higher Level Analytics'!$V$21*'RCM Higher Level Analytics'!$V$26</f>
        <v>24950</v>
      </c>
    </row>
    <row r="34" spans="1:33" s="2" customFormat="1">
      <c r="A34" s="122" t="s">
        <v>29</v>
      </c>
      <c r="B34" s="22"/>
      <c r="C34" s="116">
        <f>SUM(C10:C33)</f>
        <v>9949362.3499999996</v>
      </c>
      <c r="D34" s="116"/>
      <c r="E34" s="116">
        <f>SUM(E10:E33)</f>
        <v>9945144.5700000003</v>
      </c>
      <c r="F34" s="116">
        <f>SUM(F10:F33)</f>
        <v>9755313.9020000007</v>
      </c>
      <c r="G34" s="116">
        <f>SUM(G10:G33)</f>
        <v>9649083.2339999992</v>
      </c>
      <c r="H34" s="116">
        <f>SUM(H10:H33)</f>
        <v>9423291.2300000004</v>
      </c>
      <c r="I34" s="116">
        <f>SUM(I10:I33)</f>
        <v>8967491.2300000004</v>
      </c>
      <c r="J34" s="117"/>
      <c r="K34" s="116">
        <f>SUM(K10:K33)</f>
        <v>9949362.3499999996</v>
      </c>
      <c r="L34" s="116"/>
      <c r="M34" s="116">
        <f>SUM(M10:M33)</f>
        <v>9945144.5700000003</v>
      </c>
      <c r="N34" s="116">
        <f>SUM(N10:N33)</f>
        <v>9755313.9020000007</v>
      </c>
      <c r="O34" s="116">
        <f>SUM(O10:O33)</f>
        <v>9649083.2339999992</v>
      </c>
      <c r="P34" s="116">
        <f>SUM(P10:P33)</f>
        <v>9423291.2300000004</v>
      </c>
      <c r="Q34" s="116">
        <f>SUM(Q10:Q33)</f>
        <v>8967491.2300000004</v>
      </c>
      <c r="R34" s="117"/>
      <c r="S34" s="116">
        <f>SUM(S10:S33)</f>
        <v>11467253.841093751</v>
      </c>
      <c r="T34" s="116"/>
      <c r="U34" s="116">
        <f>SUM(U10:U33)</f>
        <v>11461896.560856249</v>
      </c>
      <c r="V34" s="116">
        <f>SUM(V10:V33)</f>
        <v>11242735.231869999</v>
      </c>
      <c r="W34" s="116">
        <f>SUM(W10:W33)</f>
        <v>11121145.152883749</v>
      </c>
      <c r="X34" s="116">
        <f>SUM(X10:X33)</f>
        <v>10863711.165925</v>
      </c>
      <c r="Y34" s="116">
        <f>SUM(Y10:Y33)</f>
        <v>10336164.915925</v>
      </c>
      <c r="Z34" s="22"/>
      <c r="AA34" s="116">
        <f>SUM(AA10:AA33)</f>
        <v>8552938.4301562496</v>
      </c>
      <c r="AB34" s="116"/>
      <c r="AC34" s="116">
        <f t="shared" ref="AC34:AG34" si="0">SUM(AC10:AC33)</f>
        <v>8549915.7696062494</v>
      </c>
      <c r="AD34" s="116">
        <f t="shared" si="0"/>
        <v>8387584.1768699996</v>
      </c>
      <c r="AE34" s="116">
        <f t="shared" si="0"/>
        <v>8295813.8341337498</v>
      </c>
      <c r="AF34" s="116">
        <f t="shared" si="0"/>
        <v>8099899.0559250005</v>
      </c>
      <c r="AG34" s="116">
        <f t="shared" si="0"/>
        <v>7711182.8059250005</v>
      </c>
    </row>
    <row r="35" spans="1:33" s="2" customFormat="1" outlineLevel="1">
      <c r="A35" s="222"/>
      <c r="B35" s="222" t="str">
        <f>'Asset Info'!$C$10</f>
        <v>Crossrail</v>
      </c>
      <c r="C35" s="114">
        <f>SUM(C10:C12,C22,C26:C27)</f>
        <v>70006.75</v>
      </c>
      <c r="D35" s="114"/>
      <c r="E35" s="114">
        <f t="shared" ref="E35:AG35" si="1">SUM(E10:E12,E22,E26:E27)</f>
        <v>66506.75</v>
      </c>
      <c r="F35" s="114">
        <f t="shared" si="1"/>
        <v>64406.75</v>
      </c>
      <c r="G35" s="114">
        <f t="shared" si="1"/>
        <v>62306.75</v>
      </c>
      <c r="H35" s="114">
        <f t="shared" si="1"/>
        <v>56006.75</v>
      </c>
      <c r="I35" s="114">
        <f t="shared" si="1"/>
        <v>56006.75</v>
      </c>
      <c r="J35" s="114"/>
      <c r="K35" s="114">
        <f t="shared" si="1"/>
        <v>70006.75</v>
      </c>
      <c r="L35" s="114"/>
      <c r="M35" s="114">
        <f t="shared" si="1"/>
        <v>66506.75</v>
      </c>
      <c r="N35" s="114">
        <f t="shared" si="1"/>
        <v>64406.75</v>
      </c>
      <c r="O35" s="114">
        <f t="shared" si="1"/>
        <v>62306.75</v>
      </c>
      <c r="P35" s="114">
        <f t="shared" si="1"/>
        <v>56006.75</v>
      </c>
      <c r="Q35" s="114">
        <f t="shared" si="1"/>
        <v>56006.75</v>
      </c>
      <c r="R35" s="114"/>
      <c r="S35" s="114">
        <f t="shared" si="1"/>
        <v>80627.961093749997</v>
      </c>
      <c r="T35" s="114"/>
      <c r="U35" s="114">
        <f t="shared" si="1"/>
        <v>76797.59765625</v>
      </c>
      <c r="V35" s="114">
        <f t="shared" si="1"/>
        <v>74499.918750000012</v>
      </c>
      <c r="W35" s="114">
        <f t="shared" si="1"/>
        <v>72202.239843750009</v>
      </c>
      <c r="X35" s="114">
        <f t="shared" si="1"/>
        <v>65309.203125000007</v>
      </c>
      <c r="Y35" s="114">
        <f t="shared" si="1"/>
        <v>65309.203125000007</v>
      </c>
      <c r="Z35" s="114"/>
      <c r="AA35" s="114">
        <f t="shared" si="1"/>
        <v>60360.610156249997</v>
      </c>
      <c r="AB35" s="114"/>
      <c r="AC35" s="114">
        <f t="shared" si="1"/>
        <v>57192.81640625</v>
      </c>
      <c r="AD35" s="114">
        <f t="shared" si="1"/>
        <v>55291.643749999996</v>
      </c>
      <c r="AE35" s="114">
        <f t="shared" si="1"/>
        <v>53390.471093749999</v>
      </c>
      <c r="AF35" s="114">
        <f t="shared" si="1"/>
        <v>47686.953125</v>
      </c>
      <c r="AG35" s="114">
        <f t="shared" si="1"/>
        <v>47686.953125</v>
      </c>
    </row>
    <row r="36" spans="1:33" s="2" customFormat="1" outlineLevel="1">
      <c r="A36" s="222"/>
      <c r="B36" s="222" t="str">
        <f>'Asset Info'!$D$10</f>
        <v>NR Western</v>
      </c>
      <c r="C36" s="114">
        <f>SUM(C13:C15,C23,C28:C29)</f>
        <v>9879355.5999999996</v>
      </c>
      <c r="D36" s="114"/>
      <c r="E36" s="114">
        <f t="shared" ref="E36:AG36" si="2">SUM(E13:E15,E23,E28:E29)</f>
        <v>9866137.8200000003</v>
      </c>
      <c r="F36" s="114">
        <f t="shared" si="2"/>
        <v>9673997.1520000007</v>
      </c>
      <c r="G36" s="114">
        <f t="shared" si="2"/>
        <v>9568426.4839999992</v>
      </c>
      <c r="H36" s="114">
        <f t="shared" si="2"/>
        <v>9344794.4800000004</v>
      </c>
      <c r="I36" s="114">
        <f t="shared" si="2"/>
        <v>8885484.4800000004</v>
      </c>
      <c r="J36" s="114"/>
      <c r="K36" s="114">
        <f t="shared" si="2"/>
        <v>9879355.5999999996</v>
      </c>
      <c r="L36" s="114"/>
      <c r="M36" s="114">
        <f t="shared" si="2"/>
        <v>9866137.8200000003</v>
      </c>
      <c r="N36" s="114">
        <f t="shared" si="2"/>
        <v>9673997.1520000007</v>
      </c>
      <c r="O36" s="114">
        <f t="shared" si="2"/>
        <v>9568426.4839999992</v>
      </c>
      <c r="P36" s="114">
        <f t="shared" si="2"/>
        <v>9344794.4800000004</v>
      </c>
      <c r="Q36" s="114">
        <f t="shared" si="2"/>
        <v>8885484.4800000004</v>
      </c>
      <c r="R36" s="114"/>
      <c r="S36" s="114">
        <f t="shared" si="2"/>
        <v>11386625.880000001</v>
      </c>
      <c r="T36" s="114"/>
      <c r="U36" s="114">
        <f t="shared" si="2"/>
        <v>11372223.963199999</v>
      </c>
      <c r="V36" s="114">
        <f t="shared" si="2"/>
        <v>11150729.81312</v>
      </c>
      <c r="W36" s="114">
        <f t="shared" si="2"/>
        <v>11029925.413039999</v>
      </c>
      <c r="X36" s="114">
        <f t="shared" si="2"/>
        <v>10775037.4628</v>
      </c>
      <c r="Y36" s="114">
        <f t="shared" si="2"/>
        <v>10243805.7128</v>
      </c>
      <c r="Z36" s="114"/>
      <c r="AA36" s="114">
        <f t="shared" si="2"/>
        <v>8470015.3200000003</v>
      </c>
      <c r="AB36" s="114"/>
      <c r="AC36" s="114">
        <f t="shared" si="2"/>
        <v>8458035.4531999994</v>
      </c>
      <c r="AD36" s="114">
        <f t="shared" si="2"/>
        <v>8293415.5331199998</v>
      </c>
      <c r="AE36" s="114">
        <f t="shared" si="2"/>
        <v>8202178.3630400002</v>
      </c>
      <c r="AF36" s="114">
        <f t="shared" si="2"/>
        <v>8008034.1028000005</v>
      </c>
      <c r="AG36" s="114">
        <f t="shared" si="2"/>
        <v>7615983.3528000005</v>
      </c>
    </row>
    <row r="37" spans="1:33" s="2" customFormat="1" outlineLevel="1">
      <c r="A37" s="222"/>
      <c r="B37" s="222" t="str">
        <f>'Asset Info'!$E$10</f>
        <v>Balfour Beatty</v>
      </c>
      <c r="C37" s="114">
        <f>SUM(C16:C18,C24,C30:C31)</f>
        <v>0</v>
      </c>
      <c r="D37" s="114"/>
      <c r="E37" s="114">
        <f t="shared" ref="E37:AG37" si="3">SUM(E16:E18,E24,E30:E31)</f>
        <v>0</v>
      </c>
      <c r="F37" s="114">
        <f t="shared" si="3"/>
        <v>0</v>
      </c>
      <c r="G37" s="114">
        <f t="shared" si="3"/>
        <v>0</v>
      </c>
      <c r="H37" s="114">
        <f t="shared" si="3"/>
        <v>0</v>
      </c>
      <c r="I37" s="114">
        <f t="shared" si="3"/>
        <v>0</v>
      </c>
      <c r="J37" s="114"/>
      <c r="K37" s="114">
        <f t="shared" si="3"/>
        <v>0</v>
      </c>
      <c r="L37" s="114"/>
      <c r="M37" s="114">
        <f t="shared" si="3"/>
        <v>0</v>
      </c>
      <c r="N37" s="114">
        <f t="shared" si="3"/>
        <v>0</v>
      </c>
      <c r="O37" s="114">
        <f t="shared" si="3"/>
        <v>0</v>
      </c>
      <c r="P37" s="114">
        <f t="shared" si="3"/>
        <v>0</v>
      </c>
      <c r="Q37" s="114">
        <f t="shared" si="3"/>
        <v>0</v>
      </c>
      <c r="R37" s="114"/>
      <c r="S37" s="114">
        <f t="shared" si="3"/>
        <v>0</v>
      </c>
      <c r="T37" s="114"/>
      <c r="U37" s="114">
        <f t="shared" si="3"/>
        <v>0</v>
      </c>
      <c r="V37" s="114">
        <f t="shared" si="3"/>
        <v>0</v>
      </c>
      <c r="W37" s="114">
        <f t="shared" si="3"/>
        <v>0</v>
      </c>
      <c r="X37" s="114">
        <f t="shared" si="3"/>
        <v>0</v>
      </c>
      <c r="Y37" s="114">
        <f t="shared" si="3"/>
        <v>0</v>
      </c>
      <c r="Z37" s="114"/>
      <c r="AA37" s="114">
        <f t="shared" si="3"/>
        <v>0</v>
      </c>
      <c r="AB37" s="114"/>
      <c r="AC37" s="114">
        <f t="shared" si="3"/>
        <v>0</v>
      </c>
      <c r="AD37" s="114">
        <f t="shared" si="3"/>
        <v>0</v>
      </c>
      <c r="AE37" s="114">
        <f t="shared" si="3"/>
        <v>0</v>
      </c>
      <c r="AF37" s="114">
        <f t="shared" si="3"/>
        <v>0</v>
      </c>
      <c r="AG37" s="114">
        <f t="shared" si="3"/>
        <v>0</v>
      </c>
    </row>
    <row r="38" spans="1:33" s="2" customFormat="1" outlineLevel="1">
      <c r="A38" s="222"/>
      <c r="B38" s="222" t="str">
        <f>'Asset Info'!$F$10</f>
        <v>RSSB</v>
      </c>
      <c r="C38" s="114">
        <f>SUM(C19:C21,C25,C32:C33)</f>
        <v>0</v>
      </c>
      <c r="D38" s="114"/>
      <c r="E38" s="114">
        <f t="shared" ref="E38:AG38" si="4">SUM(E19:E21,E25,E32:E33)</f>
        <v>12500</v>
      </c>
      <c r="F38" s="114">
        <f t="shared" si="4"/>
        <v>16910</v>
      </c>
      <c r="G38" s="114">
        <f t="shared" si="4"/>
        <v>18350</v>
      </c>
      <c r="H38" s="114">
        <f t="shared" si="4"/>
        <v>22490</v>
      </c>
      <c r="I38" s="114">
        <f t="shared" si="4"/>
        <v>26000</v>
      </c>
      <c r="J38" s="114"/>
      <c r="K38" s="114">
        <f t="shared" si="4"/>
        <v>0</v>
      </c>
      <c r="L38" s="114"/>
      <c r="M38" s="114">
        <f t="shared" si="4"/>
        <v>12500</v>
      </c>
      <c r="N38" s="114">
        <f t="shared" si="4"/>
        <v>16910</v>
      </c>
      <c r="O38" s="114">
        <f t="shared" si="4"/>
        <v>18350</v>
      </c>
      <c r="P38" s="114">
        <f t="shared" si="4"/>
        <v>22490</v>
      </c>
      <c r="Q38" s="114">
        <f t="shared" si="4"/>
        <v>26000</v>
      </c>
      <c r="R38" s="114"/>
      <c r="S38" s="114">
        <f t="shared" si="4"/>
        <v>0</v>
      </c>
      <c r="T38" s="114"/>
      <c r="U38" s="114">
        <f t="shared" si="4"/>
        <v>12875</v>
      </c>
      <c r="V38" s="114">
        <f t="shared" si="4"/>
        <v>17505.5</v>
      </c>
      <c r="W38" s="114">
        <f t="shared" si="4"/>
        <v>19017.5</v>
      </c>
      <c r="X38" s="114">
        <f t="shared" si="4"/>
        <v>23364.5</v>
      </c>
      <c r="Y38" s="114">
        <f t="shared" si="4"/>
        <v>27050</v>
      </c>
      <c r="Z38" s="114"/>
      <c r="AA38" s="114">
        <f t="shared" si="4"/>
        <v>22562.5</v>
      </c>
      <c r="AB38" s="114"/>
      <c r="AC38" s="114">
        <f t="shared" si="4"/>
        <v>34687.5</v>
      </c>
      <c r="AD38" s="114">
        <f t="shared" si="4"/>
        <v>38877</v>
      </c>
      <c r="AE38" s="114">
        <f t="shared" si="4"/>
        <v>40245</v>
      </c>
      <c r="AF38" s="114">
        <f t="shared" si="4"/>
        <v>44178</v>
      </c>
      <c r="AG38" s="114">
        <f t="shared" si="4"/>
        <v>47512.5</v>
      </c>
    </row>
    <row r="39" spans="1:33" s="2" customFormat="1">
      <c r="A39" s="122"/>
      <c r="B39" s="22"/>
      <c r="C39" s="116"/>
      <c r="D39" s="116"/>
      <c r="E39" s="116"/>
      <c r="F39" s="116"/>
      <c r="G39" s="116"/>
      <c r="H39" s="116"/>
      <c r="I39" s="116"/>
      <c r="J39" s="117"/>
      <c r="K39" s="116"/>
      <c r="L39" s="116"/>
      <c r="M39" s="116"/>
      <c r="N39" s="116"/>
      <c r="O39" s="116"/>
      <c r="P39" s="116"/>
      <c r="Q39" s="116"/>
      <c r="R39" s="117"/>
      <c r="S39" s="116"/>
      <c r="T39" s="116"/>
      <c r="U39" s="116"/>
      <c r="V39" s="116"/>
      <c r="W39" s="116"/>
      <c r="X39" s="116"/>
      <c r="Y39" s="116"/>
      <c r="Z39" s="22"/>
      <c r="AA39" s="116"/>
      <c r="AB39" s="116"/>
      <c r="AC39" s="116"/>
      <c r="AD39" s="116"/>
      <c r="AE39" s="116"/>
      <c r="AF39" s="116"/>
      <c r="AG39" s="116"/>
    </row>
    <row r="40" spans="1:33">
      <c r="A40" s="122" t="s">
        <v>179</v>
      </c>
      <c r="B40" s="21"/>
      <c r="C40" s="114"/>
      <c r="D40" s="114"/>
      <c r="E40" s="116">
        <f>M40  + 'Maturity Level Summary'!$I$10  *
IF('Maturity Level Summary'!$I$10&gt;=0,  (U40-M40),  (M40-AC40))</f>
        <v>70000</v>
      </c>
      <c r="F40" s="116">
        <f>N40  + 'Maturity Level Summary'!$I$10  *
IF('Maturity Level Summary'!$I$10&gt;=0,  (V40-N40),  (N40-AD40))</f>
        <v>49000</v>
      </c>
      <c r="G40" s="116">
        <f>O40  + 'Maturity Level Summary'!$I$10  *
IF('Maturity Level Summary'!$I$10&gt;=0,  (W40-O40),  (O40-AE40))</f>
        <v>16000</v>
      </c>
      <c r="H40" s="116">
        <f>P40  + 'Maturity Level Summary'!$I$10  *
IF('Maturity Level Summary'!$I$10&gt;=0,  (X40-P40),  (P40-AF40))</f>
        <v>46000</v>
      </c>
      <c r="I40" s="116">
        <f>Q40  + 'Maturity Level Summary'!$I$10  *
IF('Maturity Level Summary'!$I$10&gt;=0,  (Y40-Q40),  (Q40-AG40))</f>
        <v>39000</v>
      </c>
      <c r="J40" s="115"/>
      <c r="K40" s="114"/>
      <c r="L40" s="114"/>
      <c r="M40" s="116">
        <f>'RCM Future - Costs'!G24</f>
        <v>70000</v>
      </c>
      <c r="N40" s="116">
        <f t="array" ref="N40:Q40">TRANSPOSE('RCM Higher Level Analytics'!G18:G21)</f>
        <v>49000</v>
      </c>
      <c r="O40" s="116">
        <v>16000</v>
      </c>
      <c r="P40" s="116">
        <v>46000</v>
      </c>
      <c r="Q40" s="116">
        <v>39000</v>
      </c>
      <c r="R40" s="115"/>
      <c r="S40" s="114"/>
      <c r="T40" s="114"/>
      <c r="U40" s="116">
        <f>'RCM Future - Costs'!M24</f>
        <v>73500</v>
      </c>
      <c r="V40" s="116">
        <f t="array" ref="V40:Y40">TRANSPOSE('RCM Higher Level Analytics'!N18:N21)</f>
        <v>51450</v>
      </c>
      <c r="W40" s="116">
        <v>16800</v>
      </c>
      <c r="X40" s="116">
        <v>48300</v>
      </c>
      <c r="Y40" s="116">
        <v>40950</v>
      </c>
      <c r="Z40" s="21"/>
      <c r="AA40" s="114"/>
      <c r="AB40" s="114"/>
      <c r="AC40" s="116">
        <f>'RCM Future - Costs'!S24</f>
        <v>66500</v>
      </c>
      <c r="AD40" s="116">
        <f t="array" ref="AD40:AG40">TRANSPOSE('RCM Higher Level Analytics'!U18:U21)</f>
        <v>46550</v>
      </c>
      <c r="AE40" s="116">
        <v>15200</v>
      </c>
      <c r="AF40" s="116">
        <v>43700</v>
      </c>
      <c r="AG40" s="116">
        <v>37050</v>
      </c>
    </row>
    <row r="41" spans="1:33" s="199" customFormat="1" outlineLevel="1">
      <c r="A41" s="123" t="str">
        <f>$A$40&amp;" "&amp;'Asset Info'!$C$10</f>
        <v>Investment Capex Crossrail</v>
      </c>
      <c r="B41" s="21"/>
      <c r="C41" s="114"/>
      <c r="D41" s="114"/>
      <c r="E41" s="114">
        <f>M41  + 'Maturity Level Summary'!$I$10  *
IF('Maturity Level Summary'!$I$10&gt;=0,  (U41-M41),  (M41-AC41))</f>
        <v>0</v>
      </c>
      <c r="F41" s="114">
        <f>N41  + 'Maturity Level Summary'!$I$10  *
IF('Maturity Level Summary'!$I$10&gt;=0,  (V41-N41),  (N41-AD41))</f>
        <v>0</v>
      </c>
      <c r="G41" s="114">
        <f>O41  + 'Maturity Level Summary'!$I$10  *
IF('Maturity Level Summary'!$I$10&gt;=0,  (W41-O41),  (O41-AE41))</f>
        <v>0</v>
      </c>
      <c r="H41" s="114">
        <f>P41  + 'Maturity Level Summary'!$I$10  *
IF('Maturity Level Summary'!$I$10&gt;=0,  (X41-P41),  (P41-AF41))</f>
        <v>0</v>
      </c>
      <c r="I41" s="114">
        <f>Q41  + 'Maturity Level Summary'!$I$10  *
IF('Maturity Level Summary'!$I$10&gt;=0,  (Y41-Q41),  (Q41-AG41))</f>
        <v>0</v>
      </c>
      <c r="J41" s="115"/>
      <c r="K41" s="114"/>
      <c r="L41" s="114"/>
      <c r="M41" s="114">
        <f>M$40*'RCM Higher Level Analytics'!$G23</f>
        <v>0</v>
      </c>
      <c r="N41" s="114">
        <f>N$40*'RCM Higher Level Analytics'!$G23</f>
        <v>0</v>
      </c>
      <c r="O41" s="114">
        <f>O$40*'RCM Higher Level Analytics'!$G23</f>
        <v>0</v>
      </c>
      <c r="P41" s="114">
        <f>P$40*'RCM Higher Level Analytics'!$G23</f>
        <v>0</v>
      </c>
      <c r="Q41" s="114">
        <f>Q$40*'RCM Higher Level Analytics'!$G23</f>
        <v>0</v>
      </c>
      <c r="R41" s="115"/>
      <c r="S41" s="114"/>
      <c r="T41" s="114"/>
      <c r="U41" s="114">
        <f>U$40*'RCM Higher Level Analytics'!$N23</f>
        <v>0</v>
      </c>
      <c r="V41" s="114">
        <f>V$40*'RCM Higher Level Analytics'!$N23</f>
        <v>0</v>
      </c>
      <c r="W41" s="114">
        <f>W$40*'RCM Higher Level Analytics'!$N23</f>
        <v>0</v>
      </c>
      <c r="X41" s="114">
        <f>X$40*'RCM Higher Level Analytics'!$N23</f>
        <v>0</v>
      </c>
      <c r="Y41" s="114">
        <f>Y$40*'RCM Higher Level Analytics'!$N23</f>
        <v>0</v>
      </c>
      <c r="Z41" s="21"/>
      <c r="AA41" s="114"/>
      <c r="AB41" s="114"/>
      <c r="AC41" s="114">
        <f>AC$40*'RCM Higher Level Analytics'!$U23</f>
        <v>0</v>
      </c>
      <c r="AD41" s="114">
        <f>AD$40*'RCM Higher Level Analytics'!$U23</f>
        <v>0</v>
      </c>
      <c r="AE41" s="114">
        <f>AE$40*'RCM Higher Level Analytics'!$U23</f>
        <v>0</v>
      </c>
      <c r="AF41" s="114">
        <f>AF$40*'RCM Higher Level Analytics'!$U23</f>
        <v>0</v>
      </c>
      <c r="AG41" s="114">
        <f>AG$40*'RCM Higher Level Analytics'!$U23</f>
        <v>0</v>
      </c>
    </row>
    <row r="42" spans="1:33" s="199" customFormat="1" outlineLevel="1">
      <c r="A42" s="123" t="str">
        <f>$A$40&amp;" "&amp;'Asset Info'!$D$10</f>
        <v>Investment Capex NR Western</v>
      </c>
      <c r="B42" s="21"/>
      <c r="C42" s="114"/>
      <c r="D42" s="114"/>
      <c r="E42" s="114">
        <f>M42  + 'Maturity Level Summary'!$I$10  *
IF('Maturity Level Summary'!$I$10&gt;=0,  (U42-M42),  (M42-AC42))</f>
        <v>49000</v>
      </c>
      <c r="F42" s="114">
        <f>N42  + 'Maturity Level Summary'!$I$10  *
IF('Maturity Level Summary'!$I$10&gt;=0,  (V42-N42),  (N42-AD42))</f>
        <v>34300</v>
      </c>
      <c r="G42" s="114">
        <f>O42  + 'Maturity Level Summary'!$I$10  *
IF('Maturity Level Summary'!$I$10&gt;=0,  (W42-O42),  (O42-AE42))</f>
        <v>11200</v>
      </c>
      <c r="H42" s="114">
        <f>P42  + 'Maturity Level Summary'!$I$10  *
IF('Maturity Level Summary'!$I$10&gt;=0,  (X42-P42),  (P42-AF42))</f>
        <v>32199.999999999996</v>
      </c>
      <c r="I42" s="114">
        <f>Q42  + 'Maturity Level Summary'!$I$10  *
IF('Maturity Level Summary'!$I$10&gt;=0,  (Y42-Q42),  (Q42-AG42))</f>
        <v>27300</v>
      </c>
      <c r="J42" s="115"/>
      <c r="K42" s="114"/>
      <c r="L42" s="114"/>
      <c r="M42" s="114">
        <f>M$40*'RCM Higher Level Analytics'!$G24</f>
        <v>49000</v>
      </c>
      <c r="N42" s="114">
        <f>N$40*'RCM Higher Level Analytics'!$G24</f>
        <v>34300</v>
      </c>
      <c r="O42" s="114">
        <f>O$40*'RCM Higher Level Analytics'!$G24</f>
        <v>11200</v>
      </c>
      <c r="P42" s="114">
        <f>P$40*'RCM Higher Level Analytics'!$G24</f>
        <v>32199.999999999996</v>
      </c>
      <c r="Q42" s="114">
        <f>Q$40*'RCM Higher Level Analytics'!$G24</f>
        <v>27300</v>
      </c>
      <c r="R42" s="115"/>
      <c r="S42" s="114"/>
      <c r="T42" s="114"/>
      <c r="U42" s="114">
        <f>U$40*'RCM Higher Level Analytics'!$N24</f>
        <v>51450</v>
      </c>
      <c r="V42" s="114">
        <f>V$40*'RCM Higher Level Analytics'!$N24</f>
        <v>36015</v>
      </c>
      <c r="W42" s="114">
        <f>W$40*'RCM Higher Level Analytics'!$N24</f>
        <v>11760</v>
      </c>
      <c r="X42" s="114">
        <f>X$40*'RCM Higher Level Analytics'!$N24</f>
        <v>33810</v>
      </c>
      <c r="Y42" s="114">
        <f>Y$40*'RCM Higher Level Analytics'!$N24</f>
        <v>28665</v>
      </c>
      <c r="Z42" s="21"/>
      <c r="AA42" s="114"/>
      <c r="AB42" s="114"/>
      <c r="AC42" s="114">
        <f>AC$40*'RCM Higher Level Analytics'!$U24</f>
        <v>46550</v>
      </c>
      <c r="AD42" s="114">
        <f>AD$40*'RCM Higher Level Analytics'!$U24</f>
        <v>32584.999999999996</v>
      </c>
      <c r="AE42" s="114">
        <f>AE$40*'RCM Higher Level Analytics'!$U24</f>
        <v>10640</v>
      </c>
      <c r="AF42" s="114">
        <f>AF$40*'RCM Higher Level Analytics'!$U24</f>
        <v>30589.999999999996</v>
      </c>
      <c r="AG42" s="114">
        <f>AG$40*'RCM Higher Level Analytics'!$U24</f>
        <v>25935</v>
      </c>
    </row>
    <row r="43" spans="1:33" s="199" customFormat="1" outlineLevel="1">
      <c r="A43" s="123" t="str">
        <f>$A$40&amp;" "&amp;'Asset Info'!$E$10</f>
        <v>Investment Capex Balfour Beatty</v>
      </c>
      <c r="B43" s="21"/>
      <c r="C43" s="114"/>
      <c r="D43" s="114"/>
      <c r="E43" s="114">
        <f>M43  + 'Maturity Level Summary'!$I$10  *
IF('Maturity Level Summary'!$I$10&gt;=0,  (U43-M43),  (M43-AC43))</f>
        <v>0</v>
      </c>
      <c r="F43" s="114">
        <f>N43  + 'Maturity Level Summary'!$I$10  *
IF('Maturity Level Summary'!$I$10&gt;=0,  (V43-N43),  (N43-AD43))</f>
        <v>0</v>
      </c>
      <c r="G43" s="114">
        <f>O43  + 'Maturity Level Summary'!$I$10  *
IF('Maturity Level Summary'!$I$10&gt;=0,  (W43-O43),  (O43-AE43))</f>
        <v>0</v>
      </c>
      <c r="H43" s="114">
        <f>P43  + 'Maturity Level Summary'!$I$10  *
IF('Maturity Level Summary'!$I$10&gt;=0,  (X43-P43),  (P43-AF43))</f>
        <v>0</v>
      </c>
      <c r="I43" s="114">
        <f>Q43  + 'Maturity Level Summary'!$I$10  *
IF('Maturity Level Summary'!$I$10&gt;=0,  (Y43-Q43),  (Q43-AG43))</f>
        <v>0</v>
      </c>
      <c r="J43" s="115"/>
      <c r="K43" s="114"/>
      <c r="L43" s="114"/>
      <c r="M43" s="114">
        <f>M$40*'RCM Higher Level Analytics'!$G25</f>
        <v>0</v>
      </c>
      <c r="N43" s="114">
        <f>N$40*'RCM Higher Level Analytics'!$G25</f>
        <v>0</v>
      </c>
      <c r="O43" s="114">
        <f>O$40*'RCM Higher Level Analytics'!$G25</f>
        <v>0</v>
      </c>
      <c r="P43" s="114">
        <f>P$40*'RCM Higher Level Analytics'!$G25</f>
        <v>0</v>
      </c>
      <c r="Q43" s="114">
        <f>Q$40*'RCM Higher Level Analytics'!$G25</f>
        <v>0</v>
      </c>
      <c r="R43" s="115"/>
      <c r="S43" s="114"/>
      <c r="T43" s="114"/>
      <c r="U43" s="114">
        <f>U$40*'RCM Higher Level Analytics'!$N25</f>
        <v>0</v>
      </c>
      <c r="V43" s="114">
        <f>V$40*'RCM Higher Level Analytics'!$N25</f>
        <v>0</v>
      </c>
      <c r="W43" s="114">
        <f>W$40*'RCM Higher Level Analytics'!$N25</f>
        <v>0</v>
      </c>
      <c r="X43" s="114">
        <f>X$40*'RCM Higher Level Analytics'!$N25</f>
        <v>0</v>
      </c>
      <c r="Y43" s="114">
        <f>Y$40*'RCM Higher Level Analytics'!$N25</f>
        <v>0</v>
      </c>
      <c r="Z43" s="21"/>
      <c r="AA43" s="114"/>
      <c r="AB43" s="114"/>
      <c r="AC43" s="114">
        <f>AC$40*'RCM Higher Level Analytics'!$U25</f>
        <v>0</v>
      </c>
      <c r="AD43" s="114">
        <f>AD$40*'RCM Higher Level Analytics'!$U25</f>
        <v>0</v>
      </c>
      <c r="AE43" s="114">
        <f>AE$40*'RCM Higher Level Analytics'!$U25</f>
        <v>0</v>
      </c>
      <c r="AF43" s="114">
        <f>AF$40*'RCM Higher Level Analytics'!$U25</f>
        <v>0</v>
      </c>
      <c r="AG43" s="114">
        <f>AG$40*'RCM Higher Level Analytics'!$U25</f>
        <v>0</v>
      </c>
    </row>
    <row r="44" spans="1:33" s="199" customFormat="1" outlineLevel="1">
      <c r="A44" s="123" t="str">
        <f>$A$40&amp;" "&amp;'Asset Info'!$F$10</f>
        <v>Investment Capex RSSB</v>
      </c>
      <c r="B44" s="21"/>
      <c r="C44" s="114"/>
      <c r="D44" s="114"/>
      <c r="E44" s="114">
        <f>M44  + 'Maturity Level Summary'!$I$10  *
IF('Maturity Level Summary'!$I$10&gt;=0,  (U44-M44),  (M44-AC44))</f>
        <v>21000</v>
      </c>
      <c r="F44" s="114">
        <f>N44  + 'Maturity Level Summary'!$I$10  *
IF('Maturity Level Summary'!$I$10&gt;=0,  (V44-N44),  (N44-AD44))</f>
        <v>14700</v>
      </c>
      <c r="G44" s="114">
        <f>O44  + 'Maturity Level Summary'!$I$10  *
IF('Maturity Level Summary'!$I$10&gt;=0,  (W44-O44),  (O44-AE44))</f>
        <v>4800</v>
      </c>
      <c r="H44" s="114">
        <f>P44  + 'Maturity Level Summary'!$I$10  *
IF('Maturity Level Summary'!$I$10&gt;=0,  (X44-P44),  (P44-AF44))</f>
        <v>13800</v>
      </c>
      <c r="I44" s="114">
        <f>Q44  + 'Maturity Level Summary'!$I$10  *
IF('Maturity Level Summary'!$I$10&gt;=0,  (Y44-Q44),  (Q44-AG44))</f>
        <v>11700</v>
      </c>
      <c r="J44" s="115"/>
      <c r="K44" s="114"/>
      <c r="L44" s="114"/>
      <c r="M44" s="114">
        <f>M$40*'RCM Higher Level Analytics'!$G26</f>
        <v>21000</v>
      </c>
      <c r="N44" s="114">
        <f>N$40*'RCM Higher Level Analytics'!$G26</f>
        <v>14700</v>
      </c>
      <c r="O44" s="114">
        <f>O$40*'RCM Higher Level Analytics'!$G26</f>
        <v>4800</v>
      </c>
      <c r="P44" s="114">
        <f>P$40*'RCM Higher Level Analytics'!$G26</f>
        <v>13800</v>
      </c>
      <c r="Q44" s="114">
        <f>Q$40*'RCM Higher Level Analytics'!$G26</f>
        <v>11700</v>
      </c>
      <c r="R44" s="115"/>
      <c r="S44" s="114"/>
      <c r="T44" s="114"/>
      <c r="U44" s="114">
        <f>U$40*'RCM Higher Level Analytics'!$N26</f>
        <v>22050</v>
      </c>
      <c r="V44" s="114">
        <f>V$40*'RCM Higher Level Analytics'!$N26</f>
        <v>15435</v>
      </c>
      <c r="W44" s="114">
        <f>W$40*'RCM Higher Level Analytics'!$N26</f>
        <v>5040</v>
      </c>
      <c r="X44" s="114">
        <f>X$40*'RCM Higher Level Analytics'!$N26</f>
        <v>14490</v>
      </c>
      <c r="Y44" s="114">
        <f>Y$40*'RCM Higher Level Analytics'!$N26</f>
        <v>12285</v>
      </c>
      <c r="Z44" s="21"/>
      <c r="AA44" s="114"/>
      <c r="AB44" s="114"/>
      <c r="AC44" s="114">
        <f>AC$40*'RCM Higher Level Analytics'!$U26</f>
        <v>19950</v>
      </c>
      <c r="AD44" s="114">
        <f>AD$40*'RCM Higher Level Analytics'!$U26</f>
        <v>13965</v>
      </c>
      <c r="AE44" s="114">
        <f>AE$40*'RCM Higher Level Analytics'!$U26</f>
        <v>4560</v>
      </c>
      <c r="AF44" s="114">
        <f>AF$40*'RCM Higher Level Analytics'!$U26</f>
        <v>13110</v>
      </c>
      <c r="AG44" s="114">
        <f>AG$40*'RCM Higher Level Analytics'!$U26</f>
        <v>11115</v>
      </c>
    </row>
    <row r="45" spans="1:33">
      <c r="A45" s="75"/>
      <c r="B45" s="21"/>
      <c r="C45" s="114"/>
      <c r="D45" s="114"/>
      <c r="E45" s="21"/>
      <c r="F45" s="21"/>
      <c r="G45" s="21"/>
      <c r="H45" s="21"/>
      <c r="I45" s="21"/>
      <c r="J45" s="115"/>
      <c r="K45" s="114"/>
      <c r="L45" s="114"/>
      <c r="M45" s="21"/>
      <c r="N45" s="21"/>
      <c r="O45" s="21"/>
      <c r="P45" s="21"/>
      <c r="Q45" s="21"/>
      <c r="R45" s="115"/>
      <c r="S45" s="114"/>
      <c r="T45" s="114"/>
      <c r="U45" s="21"/>
      <c r="V45" s="21"/>
      <c r="W45" s="21"/>
      <c r="X45" s="21"/>
      <c r="Y45" s="21"/>
      <c r="Z45" s="21"/>
      <c r="AA45" s="114"/>
      <c r="AB45" s="114"/>
      <c r="AC45" s="21"/>
      <c r="AD45" s="21"/>
      <c r="AE45" s="21"/>
      <c r="AF45" s="21"/>
      <c r="AG45" s="21"/>
    </row>
    <row r="46" spans="1:33">
      <c r="A46" s="75"/>
      <c r="B46" s="21"/>
      <c r="C46" s="21"/>
      <c r="D46" s="21"/>
      <c r="E46" s="110" t="s">
        <v>181</v>
      </c>
      <c r="F46" s="111"/>
      <c r="G46" s="111"/>
      <c r="H46" s="111"/>
      <c r="I46" s="111"/>
      <c r="J46" s="21"/>
      <c r="K46" s="21"/>
      <c r="L46" s="21"/>
      <c r="M46" s="110" t="s">
        <v>211</v>
      </c>
      <c r="N46" s="111"/>
      <c r="O46" s="111"/>
      <c r="P46" s="111"/>
      <c r="Q46" s="111"/>
      <c r="R46" s="21"/>
      <c r="S46" s="21"/>
      <c r="T46" s="21"/>
      <c r="U46" s="110" t="s">
        <v>181</v>
      </c>
      <c r="V46" s="111"/>
      <c r="W46" s="111"/>
      <c r="X46" s="111"/>
      <c r="Y46" s="111"/>
      <c r="Z46" s="21"/>
      <c r="AA46" s="21"/>
      <c r="AB46" s="21"/>
      <c r="AC46" s="110" t="s">
        <v>181</v>
      </c>
      <c r="AD46" s="111"/>
      <c r="AE46" s="111"/>
      <c r="AF46" s="111"/>
      <c r="AG46" s="111"/>
    </row>
    <row r="47" spans="1:33">
      <c r="A47" s="122" t="s">
        <v>173</v>
      </c>
      <c r="B47" s="21" t="s">
        <v>68</v>
      </c>
      <c r="C47" s="21"/>
      <c r="D47" s="21"/>
      <c r="E47" s="114">
        <f>SUMIF($B$10:$B$21,$B47,$C$10:$C$21)-SUMIF($B$10:$B$21,$B47,E$10:E$21)</f>
        <v>8917.7799999999988</v>
      </c>
      <c r="F47" s="114">
        <f t="shared" ref="F47:I49" si="5">SUMIF($B$10:$B$21,$B47,$C$10:$C$21)-SUMIF($B$10:$B$21,$B47,F$10:F$21)</f>
        <v>14268.448000000004</v>
      </c>
      <c r="G47" s="114">
        <f t="shared" si="5"/>
        <v>19619.116000000009</v>
      </c>
      <c r="H47" s="114">
        <f t="shared" si="5"/>
        <v>35671.119999999995</v>
      </c>
      <c r="I47" s="114">
        <f t="shared" si="5"/>
        <v>35671.119999999995</v>
      </c>
      <c r="J47" s="22"/>
      <c r="K47" s="21"/>
      <c r="L47" s="21"/>
      <c r="M47" s="114">
        <f>SUMIF($B$10:$B$21,$B47,$K$10:$K$21)-SUMIF($B$10:$B$21,$B47,M$10:M$21)</f>
        <v>8917.7799999999988</v>
      </c>
      <c r="N47" s="114">
        <f t="shared" ref="N47:Q49" si="6">SUMIF($B$10:$B$21,$B47,$K$10:$K$21)-SUMIF($B$10:$B$21,$B47,N$10:N$21)</f>
        <v>14268.448000000004</v>
      </c>
      <c r="O47" s="114">
        <f t="shared" si="6"/>
        <v>19619.116000000009</v>
      </c>
      <c r="P47" s="114">
        <f t="shared" si="6"/>
        <v>35671.119999999995</v>
      </c>
      <c r="Q47" s="114">
        <f t="shared" si="6"/>
        <v>35671.119999999995</v>
      </c>
      <c r="R47" s="22"/>
      <c r="S47" s="21"/>
      <c r="T47" s="21"/>
      <c r="U47" s="114">
        <f>SUMIF($B$10:$B$21,$B47,$S$10:$S$21)-SUMIF($B$10:$B$21,$B47,U$10:U$21)</f>
        <v>8895.4855500000122</v>
      </c>
      <c r="V47" s="114">
        <f t="shared" ref="V47:Y49" si="7">SUMIF($B$10:$B$21,$B47,$S$10:$S$21)-SUMIF($B$10:$B$21,$B47,V$10:V$21)</f>
        <v>14232.77687999999</v>
      </c>
      <c r="W47" s="114">
        <f t="shared" si="7"/>
        <v>19570.068209999998</v>
      </c>
      <c r="X47" s="114">
        <f t="shared" si="7"/>
        <v>35581.94219999999</v>
      </c>
      <c r="Y47" s="114">
        <f t="shared" si="7"/>
        <v>35581.94219999999</v>
      </c>
      <c r="Z47" s="21"/>
      <c r="AA47" s="21"/>
      <c r="AB47" s="21"/>
      <c r="AC47" s="114">
        <f>SUMIF($B$10:$B$21,$B47,$AA$10:$AA$21)-SUMIF($B$10:$B$21,$B47,AC$10:AC$21)</f>
        <v>8895.4855500000122</v>
      </c>
      <c r="AD47" s="114">
        <f t="shared" ref="AD47:AG49" si="8">SUMIF($B$10:$B$21,$B47,$AA$10:$AA$21)-SUMIF($B$10:$B$21,$B47,AD$10:AD$21)</f>
        <v>14232.77687999999</v>
      </c>
      <c r="AE47" s="114">
        <f t="shared" si="8"/>
        <v>19570.068209999998</v>
      </c>
      <c r="AF47" s="114">
        <f t="shared" si="8"/>
        <v>35581.94219999999</v>
      </c>
      <c r="AG47" s="114">
        <f t="shared" si="8"/>
        <v>35581.94219999999</v>
      </c>
    </row>
    <row r="48" spans="1:33">
      <c r="A48" s="123"/>
      <c r="B48" s="21" t="s">
        <v>69</v>
      </c>
      <c r="C48" s="21"/>
      <c r="D48" s="21"/>
      <c r="E48" s="114">
        <f t="shared" ref="E48:E49" si="9">SUMIF($B$10:$B$21,$B48,$C$10:$C$21)-SUMIF($B$10:$B$21,$B48,E$10:E$21)</f>
        <v>18550</v>
      </c>
      <c r="F48" s="114">
        <f t="shared" si="5"/>
        <v>29680</v>
      </c>
      <c r="G48" s="114">
        <f t="shared" si="5"/>
        <v>40810</v>
      </c>
      <c r="H48" s="114">
        <f t="shared" si="5"/>
        <v>74200</v>
      </c>
      <c r="I48" s="114">
        <f t="shared" si="5"/>
        <v>74200</v>
      </c>
      <c r="J48" s="21"/>
      <c r="K48" s="21"/>
      <c r="L48" s="21"/>
      <c r="M48" s="114">
        <f t="shared" ref="M48:M49" si="10">SUMIF($B$10:$B$21,$B48,$K$10:$K$21)-SUMIF($B$10:$B$21,$B48,M$10:M$21)</f>
        <v>18550</v>
      </c>
      <c r="N48" s="114">
        <f t="shared" si="6"/>
        <v>29680</v>
      </c>
      <c r="O48" s="114">
        <f t="shared" si="6"/>
        <v>40810</v>
      </c>
      <c r="P48" s="114">
        <f t="shared" si="6"/>
        <v>74200</v>
      </c>
      <c r="Q48" s="114">
        <f t="shared" si="6"/>
        <v>74200</v>
      </c>
      <c r="R48" s="21"/>
      <c r="S48" s="21"/>
      <c r="T48" s="21"/>
      <c r="U48" s="114">
        <f t="shared" ref="U48:U49" si="11">SUMIF($B$10:$B$21,$B48,$S$10:$S$21)-SUMIF($B$10:$B$21,$B48,U$10:U$21)</f>
        <v>20377.989843750023</v>
      </c>
      <c r="V48" s="114">
        <f t="shared" si="7"/>
        <v>32604.783749999944</v>
      </c>
      <c r="W48" s="114">
        <f t="shared" si="7"/>
        <v>44831.57765625004</v>
      </c>
      <c r="X48" s="114">
        <f t="shared" si="7"/>
        <v>81511.959374999977</v>
      </c>
      <c r="Y48" s="114">
        <f t="shared" si="7"/>
        <v>81511.959374999977</v>
      </c>
      <c r="Z48" s="21"/>
      <c r="AA48" s="21"/>
      <c r="AB48" s="21"/>
      <c r="AC48" s="114">
        <f t="shared" ref="AC48:AC49" si="12">SUMIF($B$10:$B$21,$B48,$AA$10:$AA$21)-SUMIF($B$10:$B$21,$B48,AC$10:AC$21)</f>
        <v>16719.658593749977</v>
      </c>
      <c r="AD48" s="114">
        <f t="shared" si="8"/>
        <v>26751.453749999986</v>
      </c>
      <c r="AE48" s="114">
        <f t="shared" si="8"/>
        <v>36783.248906249995</v>
      </c>
      <c r="AF48" s="114">
        <f t="shared" si="8"/>
        <v>66878.634374999994</v>
      </c>
      <c r="AG48" s="114">
        <f t="shared" si="8"/>
        <v>66878.634374999994</v>
      </c>
    </row>
    <row r="49" spans="1:33">
      <c r="A49" s="123"/>
      <c r="B49" s="21" t="s">
        <v>3</v>
      </c>
      <c r="C49" s="21"/>
      <c r="D49" s="21"/>
      <c r="E49" s="114">
        <f t="shared" si="9"/>
        <v>1750</v>
      </c>
      <c r="F49" s="114">
        <f t="shared" si="5"/>
        <v>2800</v>
      </c>
      <c r="G49" s="114">
        <f t="shared" si="5"/>
        <v>3850</v>
      </c>
      <c r="H49" s="114">
        <f t="shared" si="5"/>
        <v>7000</v>
      </c>
      <c r="I49" s="114">
        <f t="shared" si="5"/>
        <v>7000</v>
      </c>
      <c r="J49" s="22"/>
      <c r="K49" s="21"/>
      <c r="L49" s="21"/>
      <c r="M49" s="114">
        <f t="shared" si="10"/>
        <v>1750</v>
      </c>
      <c r="N49" s="114">
        <f t="shared" si="6"/>
        <v>2800</v>
      </c>
      <c r="O49" s="114">
        <f t="shared" si="6"/>
        <v>3850</v>
      </c>
      <c r="P49" s="114">
        <f t="shared" si="6"/>
        <v>7000</v>
      </c>
      <c r="Q49" s="114">
        <f t="shared" si="6"/>
        <v>7000</v>
      </c>
      <c r="R49" s="22"/>
      <c r="S49" s="21"/>
      <c r="T49" s="21"/>
      <c r="U49" s="114">
        <f t="shared" si="11"/>
        <v>1832.90625</v>
      </c>
      <c r="V49" s="114">
        <f t="shared" si="7"/>
        <v>2932.6499999999942</v>
      </c>
      <c r="W49" s="114">
        <f t="shared" si="7"/>
        <v>4032.3937500000029</v>
      </c>
      <c r="X49" s="114">
        <f t="shared" si="7"/>
        <v>7331.625</v>
      </c>
      <c r="Y49" s="114">
        <f t="shared" si="7"/>
        <v>7331.625</v>
      </c>
      <c r="Z49" s="21"/>
      <c r="AA49" s="21"/>
      <c r="AB49" s="21"/>
      <c r="AC49" s="114">
        <f t="shared" si="12"/>
        <v>1658.34375</v>
      </c>
      <c r="AD49" s="114">
        <f t="shared" si="8"/>
        <v>2653.3499999999985</v>
      </c>
      <c r="AE49" s="114">
        <f t="shared" si="8"/>
        <v>3648.3562500000007</v>
      </c>
      <c r="AF49" s="114">
        <f t="shared" si="8"/>
        <v>6633.375</v>
      </c>
      <c r="AG49" s="114">
        <f t="shared" si="8"/>
        <v>6633.375</v>
      </c>
    </row>
    <row r="50" spans="1:33" outlineLevel="1">
      <c r="A50" s="123" t="str">
        <f>$A$47&amp;" "&amp;'Asset Info'!C10</f>
        <v>Risk Crossrail</v>
      </c>
      <c r="B50" s="21" t="s">
        <v>68</v>
      </c>
      <c r="C50" s="21"/>
      <c r="D50" s="21"/>
      <c r="E50" s="114">
        <f>$C10-E10</f>
        <v>0</v>
      </c>
      <c r="F50" s="114">
        <f t="shared" ref="F50:I50" si="13">$C10-F10</f>
        <v>0</v>
      </c>
      <c r="G50" s="114">
        <f t="shared" si="13"/>
        <v>0</v>
      </c>
      <c r="H50" s="114">
        <f t="shared" si="13"/>
        <v>0</v>
      </c>
      <c r="I50" s="114">
        <f t="shared" si="13"/>
        <v>0</v>
      </c>
      <c r="J50" s="22"/>
      <c r="K50" s="21"/>
      <c r="L50" s="21"/>
      <c r="M50" s="114">
        <f>$K10-M10</f>
        <v>0</v>
      </c>
      <c r="N50" s="114">
        <f t="shared" ref="N50:Q50" si="14">$K10-N10</f>
        <v>0</v>
      </c>
      <c r="O50" s="114">
        <f t="shared" si="14"/>
        <v>0</v>
      </c>
      <c r="P50" s="114">
        <f t="shared" si="14"/>
        <v>0</v>
      </c>
      <c r="Q50" s="114">
        <f t="shared" si="14"/>
        <v>0</v>
      </c>
      <c r="R50" s="22"/>
      <c r="S50" s="21"/>
      <c r="T50" s="21"/>
      <c r="U50" s="114">
        <f>$S10-U10</f>
        <v>0</v>
      </c>
      <c r="V50" s="114">
        <f t="shared" ref="V50:Y50" si="15">$S10-V10</f>
        <v>0</v>
      </c>
      <c r="W50" s="114">
        <f t="shared" si="15"/>
        <v>0</v>
      </c>
      <c r="X50" s="114">
        <f t="shared" si="15"/>
        <v>0</v>
      </c>
      <c r="Y50" s="114">
        <f t="shared" si="15"/>
        <v>0</v>
      </c>
      <c r="Z50" s="21"/>
      <c r="AA50" s="21"/>
      <c r="AB50" s="21"/>
      <c r="AC50" s="114">
        <f>$AA10-AC10</f>
        <v>0</v>
      </c>
      <c r="AD50" s="114">
        <f t="shared" ref="AD50:AG50" si="16">$AA10-AD10</f>
        <v>0</v>
      </c>
      <c r="AE50" s="114">
        <f t="shared" si="16"/>
        <v>0</v>
      </c>
      <c r="AF50" s="114">
        <f t="shared" si="16"/>
        <v>0</v>
      </c>
      <c r="AG50" s="114">
        <f t="shared" si="16"/>
        <v>0</v>
      </c>
    </row>
    <row r="51" spans="1:33" outlineLevel="1">
      <c r="A51" s="123"/>
      <c r="B51" s="21" t="s">
        <v>69</v>
      </c>
      <c r="C51" s="21"/>
      <c r="D51" s="21"/>
      <c r="E51" s="114">
        <f t="shared" ref="E51:I51" si="17">$C11-E11</f>
        <v>3250</v>
      </c>
      <c r="F51" s="114">
        <f t="shared" si="17"/>
        <v>5200</v>
      </c>
      <c r="G51" s="114">
        <f t="shared" si="17"/>
        <v>7150</v>
      </c>
      <c r="H51" s="114">
        <f t="shared" si="17"/>
        <v>13000</v>
      </c>
      <c r="I51" s="114">
        <f t="shared" si="17"/>
        <v>13000</v>
      </c>
      <c r="J51" s="22"/>
      <c r="K51" s="21"/>
      <c r="L51" s="21"/>
      <c r="M51" s="114">
        <f t="shared" ref="M51:Q51" si="18">$K11-M11</f>
        <v>3250</v>
      </c>
      <c r="N51" s="114">
        <f t="shared" si="18"/>
        <v>5200</v>
      </c>
      <c r="O51" s="114">
        <f t="shared" si="18"/>
        <v>7150</v>
      </c>
      <c r="P51" s="114">
        <f t="shared" si="18"/>
        <v>13000</v>
      </c>
      <c r="Q51" s="114">
        <f t="shared" si="18"/>
        <v>13000</v>
      </c>
      <c r="R51" s="22"/>
      <c r="S51" s="21"/>
      <c r="T51" s="21"/>
      <c r="U51" s="114">
        <f t="shared" ref="U51:Y51" si="19">$S11-U11</f>
        <v>3567.62109375</v>
      </c>
      <c r="V51" s="114">
        <f t="shared" si="19"/>
        <v>5708.1937499999913</v>
      </c>
      <c r="W51" s="114">
        <f t="shared" si="19"/>
        <v>7848.7664062499971</v>
      </c>
      <c r="X51" s="114">
        <f t="shared" si="19"/>
        <v>14270.484374999993</v>
      </c>
      <c r="Y51" s="114">
        <f t="shared" si="19"/>
        <v>14270.484374999993</v>
      </c>
      <c r="Z51" s="21"/>
      <c r="AA51" s="21"/>
      <c r="AB51" s="21"/>
      <c r="AC51" s="114">
        <f t="shared" ref="AC51:AG51" si="20">$AA11-AC11</f>
        <v>2931.71484375</v>
      </c>
      <c r="AD51" s="114">
        <f t="shared" si="20"/>
        <v>4690.7437500000015</v>
      </c>
      <c r="AE51" s="114">
        <f t="shared" si="20"/>
        <v>6449.7726562500029</v>
      </c>
      <c r="AF51" s="114">
        <f t="shared" si="20"/>
        <v>11726.859375</v>
      </c>
      <c r="AG51" s="114">
        <f t="shared" si="20"/>
        <v>11726.859375</v>
      </c>
    </row>
    <row r="52" spans="1:33" outlineLevel="1">
      <c r="A52" s="123"/>
      <c r="B52" s="21" t="s">
        <v>3</v>
      </c>
      <c r="C52" s="21"/>
      <c r="D52" s="21"/>
      <c r="E52" s="114">
        <f t="shared" ref="E52:I52" si="21">$C12-E12</f>
        <v>250</v>
      </c>
      <c r="F52" s="114">
        <f t="shared" si="21"/>
        <v>400</v>
      </c>
      <c r="G52" s="114">
        <f t="shared" si="21"/>
        <v>550</v>
      </c>
      <c r="H52" s="114">
        <f t="shared" si="21"/>
        <v>1000</v>
      </c>
      <c r="I52" s="114">
        <f t="shared" si="21"/>
        <v>1000</v>
      </c>
      <c r="J52" s="22"/>
      <c r="K52" s="21"/>
      <c r="L52" s="21"/>
      <c r="M52" s="114">
        <f t="shared" ref="M52:Q52" si="22">$K12-M12</f>
        <v>250</v>
      </c>
      <c r="N52" s="114">
        <f t="shared" si="22"/>
        <v>400</v>
      </c>
      <c r="O52" s="114">
        <f t="shared" si="22"/>
        <v>550</v>
      </c>
      <c r="P52" s="114">
        <f t="shared" si="22"/>
        <v>1000</v>
      </c>
      <c r="Q52" s="114">
        <f t="shared" si="22"/>
        <v>1000</v>
      </c>
      <c r="R52" s="22"/>
      <c r="S52" s="21"/>
      <c r="T52" s="21"/>
      <c r="U52" s="114">
        <f t="shared" ref="U52:Y52" si="23">$S12-U12</f>
        <v>261.84375</v>
      </c>
      <c r="V52" s="114">
        <f t="shared" si="23"/>
        <v>418.94999999999982</v>
      </c>
      <c r="W52" s="114">
        <f t="shared" si="23"/>
        <v>576.05625000000055</v>
      </c>
      <c r="X52" s="114">
        <f t="shared" si="23"/>
        <v>1047.375</v>
      </c>
      <c r="Y52" s="114">
        <f t="shared" si="23"/>
        <v>1047.375</v>
      </c>
      <c r="Z52" s="21"/>
      <c r="AA52" s="21"/>
      <c r="AB52" s="21"/>
      <c r="AC52" s="114">
        <f t="shared" ref="AC52:AG52" si="24">$AA12-AC12</f>
        <v>236.90625</v>
      </c>
      <c r="AD52" s="114">
        <f t="shared" si="24"/>
        <v>379.05000000000018</v>
      </c>
      <c r="AE52" s="114">
        <f t="shared" si="24"/>
        <v>521.19375000000036</v>
      </c>
      <c r="AF52" s="114">
        <f t="shared" si="24"/>
        <v>947.625</v>
      </c>
      <c r="AG52" s="114">
        <f t="shared" si="24"/>
        <v>947.625</v>
      </c>
    </row>
    <row r="53" spans="1:33" outlineLevel="1">
      <c r="A53" s="123" t="str">
        <f>$A$47&amp;" "&amp;'Asset Info'!D10</f>
        <v>Risk NR Western</v>
      </c>
      <c r="B53" s="21" t="s">
        <v>68</v>
      </c>
      <c r="C53" s="21"/>
      <c r="D53" s="21"/>
      <c r="E53" s="114">
        <f t="shared" ref="E53:I53" si="25">$C13-E13</f>
        <v>8917.7799999999988</v>
      </c>
      <c r="F53" s="114">
        <f t="shared" si="25"/>
        <v>14268.448000000004</v>
      </c>
      <c r="G53" s="114">
        <f t="shared" si="25"/>
        <v>19619.116000000009</v>
      </c>
      <c r="H53" s="114">
        <f t="shared" si="25"/>
        <v>35671.119999999995</v>
      </c>
      <c r="I53" s="114">
        <f t="shared" si="25"/>
        <v>35671.119999999995</v>
      </c>
      <c r="J53" s="22"/>
      <c r="K53" s="21"/>
      <c r="L53" s="21"/>
      <c r="M53" s="114">
        <f t="shared" ref="M53:Q53" si="26">$K13-M13</f>
        <v>8917.7799999999988</v>
      </c>
      <c r="N53" s="114">
        <f t="shared" si="26"/>
        <v>14268.448000000004</v>
      </c>
      <c r="O53" s="114">
        <f t="shared" si="26"/>
        <v>19619.116000000009</v>
      </c>
      <c r="P53" s="114">
        <f t="shared" si="26"/>
        <v>35671.119999999995</v>
      </c>
      <c r="Q53" s="114">
        <f t="shared" si="26"/>
        <v>35671.119999999995</v>
      </c>
      <c r="R53" s="22"/>
      <c r="S53" s="21"/>
      <c r="T53" s="21"/>
      <c r="U53" s="114">
        <f t="shared" ref="U53:Y53" si="27">$S13-U13</f>
        <v>8895.4855500000122</v>
      </c>
      <c r="V53" s="114">
        <f t="shared" si="27"/>
        <v>14232.77687999999</v>
      </c>
      <c r="W53" s="114">
        <f t="shared" si="27"/>
        <v>19570.068209999998</v>
      </c>
      <c r="X53" s="114">
        <f t="shared" si="27"/>
        <v>35581.94219999999</v>
      </c>
      <c r="Y53" s="114">
        <f t="shared" si="27"/>
        <v>35581.94219999999</v>
      </c>
      <c r="Z53" s="21"/>
      <c r="AA53" s="21"/>
      <c r="AB53" s="21"/>
      <c r="AC53" s="114">
        <f t="shared" ref="AC53:AG53" si="28">$AA13-AC13</f>
        <v>8895.4855500000122</v>
      </c>
      <c r="AD53" s="114">
        <f t="shared" si="28"/>
        <v>14232.77687999999</v>
      </c>
      <c r="AE53" s="114">
        <f t="shared" si="28"/>
        <v>19570.068209999998</v>
      </c>
      <c r="AF53" s="114">
        <f t="shared" si="28"/>
        <v>35581.94219999999</v>
      </c>
      <c r="AG53" s="114">
        <f t="shared" si="28"/>
        <v>35581.94219999999</v>
      </c>
    </row>
    <row r="54" spans="1:33" outlineLevel="1">
      <c r="A54" s="123"/>
      <c r="B54" s="21" t="s">
        <v>69</v>
      </c>
      <c r="C54" s="21"/>
      <c r="D54" s="21"/>
      <c r="E54" s="114">
        <f t="shared" ref="E54:I54" si="29">$C14-E14</f>
        <v>15300</v>
      </c>
      <c r="F54" s="114">
        <f t="shared" si="29"/>
        <v>24480</v>
      </c>
      <c r="G54" s="114">
        <f t="shared" si="29"/>
        <v>33660</v>
      </c>
      <c r="H54" s="114">
        <f t="shared" si="29"/>
        <v>61200</v>
      </c>
      <c r="I54" s="114">
        <f t="shared" si="29"/>
        <v>61200</v>
      </c>
      <c r="J54" s="22"/>
      <c r="K54" s="21"/>
      <c r="L54" s="21"/>
      <c r="M54" s="114">
        <f t="shared" ref="M54:Q54" si="30">$K14-M14</f>
        <v>15300</v>
      </c>
      <c r="N54" s="114">
        <f t="shared" si="30"/>
        <v>24480</v>
      </c>
      <c r="O54" s="114">
        <f t="shared" si="30"/>
        <v>33660</v>
      </c>
      <c r="P54" s="114">
        <f t="shared" si="30"/>
        <v>61200</v>
      </c>
      <c r="Q54" s="114">
        <f t="shared" si="30"/>
        <v>61200</v>
      </c>
      <c r="R54" s="22"/>
      <c r="S54" s="21"/>
      <c r="T54" s="21"/>
      <c r="U54" s="114">
        <f t="shared" ref="U54:Y54" si="31">$S14-U14</f>
        <v>16810.368750000023</v>
      </c>
      <c r="V54" s="114">
        <f t="shared" si="31"/>
        <v>26896.589999999967</v>
      </c>
      <c r="W54" s="114">
        <f t="shared" si="31"/>
        <v>36982.811250000028</v>
      </c>
      <c r="X54" s="114">
        <f t="shared" si="31"/>
        <v>67241.474999999977</v>
      </c>
      <c r="Y54" s="114">
        <f t="shared" si="31"/>
        <v>67241.474999999977</v>
      </c>
      <c r="Z54" s="21"/>
      <c r="AA54" s="21"/>
      <c r="AB54" s="21"/>
      <c r="AC54" s="114">
        <f t="shared" ref="AC54:AG54" si="32">$AA14-AC14</f>
        <v>13787.943750000006</v>
      </c>
      <c r="AD54" s="114">
        <f t="shared" si="32"/>
        <v>22060.709999999992</v>
      </c>
      <c r="AE54" s="114">
        <f t="shared" si="32"/>
        <v>30333.476250000007</v>
      </c>
      <c r="AF54" s="114">
        <f t="shared" si="32"/>
        <v>55151.774999999994</v>
      </c>
      <c r="AG54" s="114">
        <f t="shared" si="32"/>
        <v>55151.774999999994</v>
      </c>
    </row>
    <row r="55" spans="1:33" outlineLevel="1">
      <c r="A55" s="123"/>
      <c r="B55" s="21" t="s">
        <v>3</v>
      </c>
      <c r="C55" s="21"/>
      <c r="D55" s="21"/>
      <c r="E55" s="114">
        <f t="shared" ref="E55:I55" si="33">$C15-E15</f>
        <v>1500</v>
      </c>
      <c r="F55" s="114">
        <f t="shared" si="33"/>
        <v>2400</v>
      </c>
      <c r="G55" s="114">
        <f t="shared" si="33"/>
        <v>3300</v>
      </c>
      <c r="H55" s="114">
        <f t="shared" si="33"/>
        <v>6000</v>
      </c>
      <c r="I55" s="114">
        <f t="shared" si="33"/>
        <v>6000</v>
      </c>
      <c r="J55" s="22"/>
      <c r="K55" s="21"/>
      <c r="L55" s="21"/>
      <c r="M55" s="114">
        <f t="shared" ref="M55:Q55" si="34">$K15-M15</f>
        <v>1500</v>
      </c>
      <c r="N55" s="114">
        <f t="shared" si="34"/>
        <v>2400</v>
      </c>
      <c r="O55" s="114">
        <f t="shared" si="34"/>
        <v>3300</v>
      </c>
      <c r="P55" s="114">
        <f t="shared" si="34"/>
        <v>6000</v>
      </c>
      <c r="Q55" s="114">
        <f t="shared" si="34"/>
        <v>6000</v>
      </c>
      <c r="R55" s="22"/>
      <c r="S55" s="21"/>
      <c r="T55" s="21"/>
      <c r="U55" s="114">
        <f t="shared" ref="U55:Y55" si="35">$S15-U15</f>
        <v>1571.0625</v>
      </c>
      <c r="V55" s="114">
        <f t="shared" si="35"/>
        <v>2513.6999999999971</v>
      </c>
      <c r="W55" s="114">
        <f t="shared" si="35"/>
        <v>3456.3375000000015</v>
      </c>
      <c r="X55" s="114">
        <f t="shared" si="35"/>
        <v>6284.25</v>
      </c>
      <c r="Y55" s="114">
        <f t="shared" si="35"/>
        <v>6284.25</v>
      </c>
      <c r="Z55" s="21"/>
      <c r="AA55" s="21"/>
      <c r="AB55" s="21"/>
      <c r="AC55" s="114">
        <f t="shared" ref="AC55:AG55" si="36">$AA15-AC15</f>
        <v>1421.4375</v>
      </c>
      <c r="AD55" s="114">
        <f t="shared" si="36"/>
        <v>2274.2999999999993</v>
      </c>
      <c r="AE55" s="114">
        <f t="shared" si="36"/>
        <v>3127.1625000000022</v>
      </c>
      <c r="AF55" s="114">
        <f t="shared" si="36"/>
        <v>5685.75</v>
      </c>
      <c r="AG55" s="114">
        <f t="shared" si="36"/>
        <v>5685.75</v>
      </c>
    </row>
    <row r="56" spans="1:33" outlineLevel="1">
      <c r="A56" s="123" t="str">
        <f>$A$47&amp;" "&amp;'Asset Info'!E10</f>
        <v>Risk Balfour Beatty</v>
      </c>
      <c r="B56" s="21" t="s">
        <v>68</v>
      </c>
      <c r="C56" s="21"/>
      <c r="D56" s="21"/>
      <c r="E56" s="114">
        <f t="shared" ref="E56:I56" si="37">$C16-E16</f>
        <v>0</v>
      </c>
      <c r="F56" s="114">
        <f t="shared" si="37"/>
        <v>0</v>
      </c>
      <c r="G56" s="114">
        <f t="shared" si="37"/>
        <v>0</v>
      </c>
      <c r="H56" s="114">
        <f t="shared" si="37"/>
        <v>0</v>
      </c>
      <c r="I56" s="114">
        <f t="shared" si="37"/>
        <v>0</v>
      </c>
      <c r="J56" s="22"/>
      <c r="K56" s="21"/>
      <c r="L56" s="21"/>
      <c r="M56" s="114">
        <f t="shared" ref="M56:Q56" si="38">$K16-M16</f>
        <v>0</v>
      </c>
      <c r="N56" s="114">
        <f t="shared" si="38"/>
        <v>0</v>
      </c>
      <c r="O56" s="114">
        <f t="shared" si="38"/>
        <v>0</v>
      </c>
      <c r="P56" s="114">
        <f t="shared" si="38"/>
        <v>0</v>
      </c>
      <c r="Q56" s="114">
        <f t="shared" si="38"/>
        <v>0</v>
      </c>
      <c r="R56" s="22"/>
      <c r="S56" s="21"/>
      <c r="T56" s="21"/>
      <c r="U56" s="114">
        <f t="shared" ref="U56:Y56" si="39">$S16-U16</f>
        <v>0</v>
      </c>
      <c r="V56" s="114">
        <f t="shared" si="39"/>
        <v>0</v>
      </c>
      <c r="W56" s="114">
        <f t="shared" si="39"/>
        <v>0</v>
      </c>
      <c r="X56" s="114">
        <f t="shared" si="39"/>
        <v>0</v>
      </c>
      <c r="Y56" s="114">
        <f t="shared" si="39"/>
        <v>0</v>
      </c>
      <c r="Z56" s="21"/>
      <c r="AA56" s="21"/>
      <c r="AB56" s="21"/>
      <c r="AC56" s="114">
        <f t="shared" ref="AC56:AG56" si="40">$AA16-AC16</f>
        <v>0</v>
      </c>
      <c r="AD56" s="114">
        <f t="shared" si="40"/>
        <v>0</v>
      </c>
      <c r="AE56" s="114">
        <f t="shared" si="40"/>
        <v>0</v>
      </c>
      <c r="AF56" s="114">
        <f t="shared" si="40"/>
        <v>0</v>
      </c>
      <c r="AG56" s="114">
        <f t="shared" si="40"/>
        <v>0</v>
      </c>
    </row>
    <row r="57" spans="1:33" outlineLevel="1">
      <c r="A57" s="123"/>
      <c r="B57" s="21" t="s">
        <v>69</v>
      </c>
      <c r="C57" s="21"/>
      <c r="D57" s="21"/>
      <c r="E57" s="114">
        <f t="shared" ref="E57:I57" si="41">$C17-E17</f>
        <v>0</v>
      </c>
      <c r="F57" s="114">
        <f t="shared" si="41"/>
        <v>0</v>
      </c>
      <c r="G57" s="114">
        <f t="shared" si="41"/>
        <v>0</v>
      </c>
      <c r="H57" s="114">
        <f t="shared" si="41"/>
        <v>0</v>
      </c>
      <c r="I57" s="114">
        <f t="shared" si="41"/>
        <v>0</v>
      </c>
      <c r="J57" s="22"/>
      <c r="K57" s="21"/>
      <c r="L57" s="21"/>
      <c r="M57" s="114">
        <f t="shared" ref="M57:Q57" si="42">$K17-M17</f>
        <v>0</v>
      </c>
      <c r="N57" s="114">
        <f t="shared" si="42"/>
        <v>0</v>
      </c>
      <c r="O57" s="114">
        <f t="shared" si="42"/>
        <v>0</v>
      </c>
      <c r="P57" s="114">
        <f t="shared" si="42"/>
        <v>0</v>
      </c>
      <c r="Q57" s="114">
        <f t="shared" si="42"/>
        <v>0</v>
      </c>
      <c r="R57" s="22"/>
      <c r="S57" s="21"/>
      <c r="T57" s="21"/>
      <c r="U57" s="114">
        <f t="shared" ref="U57:Y57" si="43">$S17-U17</f>
        <v>0</v>
      </c>
      <c r="V57" s="114">
        <f t="shared" si="43"/>
        <v>0</v>
      </c>
      <c r="W57" s="114">
        <f t="shared" si="43"/>
        <v>0</v>
      </c>
      <c r="X57" s="114">
        <f t="shared" si="43"/>
        <v>0</v>
      </c>
      <c r="Y57" s="114">
        <f t="shared" si="43"/>
        <v>0</v>
      </c>
      <c r="Z57" s="21"/>
      <c r="AA57" s="21"/>
      <c r="AB57" s="21"/>
      <c r="AC57" s="114">
        <f t="shared" ref="AC57:AG57" si="44">$AA17-AC17</f>
        <v>0</v>
      </c>
      <c r="AD57" s="114">
        <f t="shared" si="44"/>
        <v>0</v>
      </c>
      <c r="AE57" s="114">
        <f t="shared" si="44"/>
        <v>0</v>
      </c>
      <c r="AF57" s="114">
        <f t="shared" si="44"/>
        <v>0</v>
      </c>
      <c r="AG57" s="114">
        <f t="shared" si="44"/>
        <v>0</v>
      </c>
    </row>
    <row r="58" spans="1:33" outlineLevel="1">
      <c r="A58" s="123"/>
      <c r="B58" s="21" t="s">
        <v>3</v>
      </c>
      <c r="C58" s="21"/>
      <c r="D58" s="21"/>
      <c r="E58" s="114">
        <f t="shared" ref="E58:I58" si="45">$C18-E18</f>
        <v>0</v>
      </c>
      <c r="F58" s="114">
        <f t="shared" si="45"/>
        <v>0</v>
      </c>
      <c r="G58" s="114">
        <f t="shared" si="45"/>
        <v>0</v>
      </c>
      <c r="H58" s="114">
        <f t="shared" si="45"/>
        <v>0</v>
      </c>
      <c r="I58" s="114">
        <f t="shared" si="45"/>
        <v>0</v>
      </c>
      <c r="J58" s="22"/>
      <c r="K58" s="21"/>
      <c r="L58" s="21"/>
      <c r="M58" s="114">
        <f t="shared" ref="M58:Q58" si="46">$K18-M18</f>
        <v>0</v>
      </c>
      <c r="N58" s="114">
        <f t="shared" si="46"/>
        <v>0</v>
      </c>
      <c r="O58" s="114">
        <f t="shared" si="46"/>
        <v>0</v>
      </c>
      <c r="P58" s="114">
        <f t="shared" si="46"/>
        <v>0</v>
      </c>
      <c r="Q58" s="114">
        <f t="shared" si="46"/>
        <v>0</v>
      </c>
      <c r="R58" s="22"/>
      <c r="S58" s="21"/>
      <c r="T58" s="21"/>
      <c r="U58" s="114">
        <f t="shared" ref="U58:Y58" si="47">$S18-U18</f>
        <v>0</v>
      </c>
      <c r="V58" s="114">
        <f t="shared" si="47"/>
        <v>0</v>
      </c>
      <c r="W58" s="114">
        <f t="shared" si="47"/>
        <v>0</v>
      </c>
      <c r="X58" s="114">
        <f t="shared" si="47"/>
        <v>0</v>
      </c>
      <c r="Y58" s="114">
        <f t="shared" si="47"/>
        <v>0</v>
      </c>
      <c r="Z58" s="21"/>
      <c r="AA58" s="21"/>
      <c r="AB58" s="21"/>
      <c r="AC58" s="114">
        <f t="shared" ref="AC58:AG58" si="48">$AA18-AC18</f>
        <v>0</v>
      </c>
      <c r="AD58" s="114">
        <f t="shared" si="48"/>
        <v>0</v>
      </c>
      <c r="AE58" s="114">
        <f t="shared" si="48"/>
        <v>0</v>
      </c>
      <c r="AF58" s="114">
        <f t="shared" si="48"/>
        <v>0</v>
      </c>
      <c r="AG58" s="114">
        <f t="shared" si="48"/>
        <v>0</v>
      </c>
    </row>
    <row r="59" spans="1:33" outlineLevel="1">
      <c r="A59" s="123" t="str">
        <f>$A$47&amp;" "&amp;'Asset Info'!F10</f>
        <v>Risk RSSB</v>
      </c>
      <c r="B59" s="21" t="s">
        <v>68</v>
      </c>
      <c r="C59" s="21"/>
      <c r="D59" s="21"/>
      <c r="E59" s="114">
        <f t="shared" ref="E59:I59" si="49">$C19-E19</f>
        <v>0</v>
      </c>
      <c r="F59" s="114">
        <f t="shared" si="49"/>
        <v>0</v>
      </c>
      <c r="G59" s="114">
        <f t="shared" si="49"/>
        <v>0</v>
      </c>
      <c r="H59" s="114">
        <f t="shared" si="49"/>
        <v>0</v>
      </c>
      <c r="I59" s="114">
        <f t="shared" si="49"/>
        <v>0</v>
      </c>
      <c r="J59" s="22"/>
      <c r="K59" s="21"/>
      <c r="L59" s="21"/>
      <c r="M59" s="114">
        <f t="shared" ref="M59:Q59" si="50">$K19-M19</f>
        <v>0</v>
      </c>
      <c r="N59" s="114">
        <f t="shared" si="50"/>
        <v>0</v>
      </c>
      <c r="O59" s="114">
        <f t="shared" si="50"/>
        <v>0</v>
      </c>
      <c r="P59" s="114">
        <f t="shared" si="50"/>
        <v>0</v>
      </c>
      <c r="Q59" s="114">
        <f t="shared" si="50"/>
        <v>0</v>
      </c>
      <c r="R59" s="22"/>
      <c r="S59" s="21"/>
      <c r="T59" s="21"/>
      <c r="U59" s="114">
        <f t="shared" ref="U59:Y59" si="51">$S19-U19</f>
        <v>0</v>
      </c>
      <c r="V59" s="114">
        <f t="shared" si="51"/>
        <v>0</v>
      </c>
      <c r="W59" s="114">
        <f t="shared" si="51"/>
        <v>0</v>
      </c>
      <c r="X59" s="114">
        <f t="shared" si="51"/>
        <v>0</v>
      </c>
      <c r="Y59" s="114">
        <f t="shared" si="51"/>
        <v>0</v>
      </c>
      <c r="Z59" s="21"/>
      <c r="AA59" s="21"/>
      <c r="AB59" s="21"/>
      <c r="AC59" s="114">
        <f t="shared" ref="AC59:AG59" si="52">$AA19-AC19</f>
        <v>0</v>
      </c>
      <c r="AD59" s="114">
        <f t="shared" si="52"/>
        <v>0</v>
      </c>
      <c r="AE59" s="114">
        <f t="shared" si="52"/>
        <v>0</v>
      </c>
      <c r="AF59" s="114">
        <f t="shared" si="52"/>
        <v>0</v>
      </c>
      <c r="AG59" s="114">
        <f t="shared" si="52"/>
        <v>0</v>
      </c>
    </row>
    <row r="60" spans="1:33" outlineLevel="1">
      <c r="A60" s="123"/>
      <c r="B60" s="21" t="s">
        <v>69</v>
      </c>
      <c r="C60" s="21"/>
      <c r="D60" s="21"/>
      <c r="E60" s="114">
        <f t="shared" ref="E60:I60" si="53">$C20-E20</f>
        <v>0</v>
      </c>
      <c r="F60" s="114">
        <f t="shared" si="53"/>
        <v>0</v>
      </c>
      <c r="G60" s="114">
        <f t="shared" si="53"/>
        <v>0</v>
      </c>
      <c r="H60" s="114">
        <f t="shared" si="53"/>
        <v>0</v>
      </c>
      <c r="I60" s="114">
        <f t="shared" si="53"/>
        <v>0</v>
      </c>
      <c r="J60" s="22"/>
      <c r="K60" s="21"/>
      <c r="L60" s="21"/>
      <c r="M60" s="114">
        <f t="shared" ref="M60:Q60" si="54">$K20-M20</f>
        <v>0</v>
      </c>
      <c r="N60" s="114">
        <f t="shared" si="54"/>
        <v>0</v>
      </c>
      <c r="O60" s="114">
        <f t="shared" si="54"/>
        <v>0</v>
      </c>
      <c r="P60" s="114">
        <f t="shared" si="54"/>
        <v>0</v>
      </c>
      <c r="Q60" s="114">
        <f t="shared" si="54"/>
        <v>0</v>
      </c>
      <c r="R60" s="22"/>
      <c r="S60" s="21"/>
      <c r="T60" s="21"/>
      <c r="U60" s="114">
        <f t="shared" ref="U60:Y60" si="55">$S20-U20</f>
        <v>0</v>
      </c>
      <c r="V60" s="114">
        <f t="shared" si="55"/>
        <v>0</v>
      </c>
      <c r="W60" s="114">
        <f t="shared" si="55"/>
        <v>0</v>
      </c>
      <c r="X60" s="114">
        <f t="shared" si="55"/>
        <v>0</v>
      </c>
      <c r="Y60" s="114">
        <f t="shared" si="55"/>
        <v>0</v>
      </c>
      <c r="Z60" s="21"/>
      <c r="AA60" s="21"/>
      <c r="AB60" s="21"/>
      <c r="AC60" s="114">
        <f t="shared" ref="AC60:AG60" si="56">$AA20-AC20</f>
        <v>0</v>
      </c>
      <c r="AD60" s="114">
        <f t="shared" si="56"/>
        <v>0</v>
      </c>
      <c r="AE60" s="114">
        <f t="shared" si="56"/>
        <v>0</v>
      </c>
      <c r="AF60" s="114">
        <f t="shared" si="56"/>
        <v>0</v>
      </c>
      <c r="AG60" s="114">
        <f t="shared" si="56"/>
        <v>0</v>
      </c>
    </row>
    <row r="61" spans="1:33" outlineLevel="1">
      <c r="A61" s="123"/>
      <c r="B61" s="21" t="s">
        <v>3</v>
      </c>
      <c r="C61" s="21"/>
      <c r="D61" s="21"/>
      <c r="E61" s="114">
        <f t="shared" ref="E61:I61" si="57">$C21-E21</f>
        <v>0</v>
      </c>
      <c r="F61" s="114">
        <f t="shared" si="57"/>
        <v>0</v>
      </c>
      <c r="G61" s="114">
        <f t="shared" si="57"/>
        <v>0</v>
      </c>
      <c r="H61" s="114">
        <f t="shared" si="57"/>
        <v>0</v>
      </c>
      <c r="I61" s="114">
        <f t="shared" si="57"/>
        <v>0</v>
      </c>
      <c r="J61" s="22"/>
      <c r="K61" s="21"/>
      <c r="L61" s="21"/>
      <c r="M61" s="114">
        <f t="shared" ref="M61:Q61" si="58">$K21-M21</f>
        <v>0</v>
      </c>
      <c r="N61" s="114">
        <f t="shared" si="58"/>
        <v>0</v>
      </c>
      <c r="O61" s="114">
        <f t="shared" si="58"/>
        <v>0</v>
      </c>
      <c r="P61" s="114">
        <f t="shared" si="58"/>
        <v>0</v>
      </c>
      <c r="Q61" s="114">
        <f t="shared" si="58"/>
        <v>0</v>
      </c>
      <c r="R61" s="22"/>
      <c r="S61" s="21"/>
      <c r="T61" s="21"/>
      <c r="U61" s="114">
        <f t="shared" ref="U61:Y61" si="59">$S21-U21</f>
        <v>0</v>
      </c>
      <c r="V61" s="114">
        <f t="shared" si="59"/>
        <v>0</v>
      </c>
      <c r="W61" s="114">
        <f t="shared" si="59"/>
        <v>0</v>
      </c>
      <c r="X61" s="114">
        <f t="shared" si="59"/>
        <v>0</v>
      </c>
      <c r="Y61" s="114">
        <f t="shared" si="59"/>
        <v>0</v>
      </c>
      <c r="Z61" s="21"/>
      <c r="AA61" s="21"/>
      <c r="AB61" s="21"/>
      <c r="AC61" s="114">
        <f t="shared" ref="AC61:AG61" si="60">$AA21-AC21</f>
        <v>0</v>
      </c>
      <c r="AD61" s="114">
        <f t="shared" si="60"/>
        <v>0</v>
      </c>
      <c r="AE61" s="114">
        <f t="shared" si="60"/>
        <v>0</v>
      </c>
      <c r="AF61" s="114">
        <f t="shared" si="60"/>
        <v>0</v>
      </c>
      <c r="AG61" s="114">
        <f t="shared" si="60"/>
        <v>0</v>
      </c>
    </row>
    <row r="62" spans="1:33" s="199" customFormat="1">
      <c r="A62" s="122" t="s">
        <v>198</v>
      </c>
      <c r="B62" s="21" t="s">
        <v>233</v>
      </c>
      <c r="C62" s="21"/>
      <c r="D62" s="21"/>
      <c r="E62" s="114">
        <f>SUM(E63:E66)</f>
        <v>0</v>
      </c>
      <c r="F62" s="114">
        <f t="shared" ref="F62:I62" si="61">SUM(F63:F66)</f>
        <v>187000</v>
      </c>
      <c r="G62" s="114">
        <f t="shared" si="61"/>
        <v>280500</v>
      </c>
      <c r="H62" s="114">
        <f t="shared" si="61"/>
        <v>467500</v>
      </c>
      <c r="I62" s="114">
        <f t="shared" si="61"/>
        <v>935000</v>
      </c>
      <c r="J62" s="21"/>
      <c r="K62" s="21"/>
      <c r="L62" s="21"/>
      <c r="M62" s="114">
        <f>SUM(M63:M66)</f>
        <v>0</v>
      </c>
      <c r="N62" s="114">
        <f t="shared" ref="N62" si="62">SUM(N63:N66)</f>
        <v>187000</v>
      </c>
      <c r="O62" s="114">
        <f t="shared" ref="O62" si="63">SUM(O63:O66)</f>
        <v>280500</v>
      </c>
      <c r="P62" s="114">
        <f t="shared" ref="P62" si="64">SUM(P63:P66)</f>
        <v>467500</v>
      </c>
      <c r="Q62" s="114">
        <f t="shared" ref="Q62" si="65">SUM(Q63:Q66)</f>
        <v>935000</v>
      </c>
      <c r="R62" s="21"/>
      <c r="S62" s="21"/>
      <c r="T62" s="21"/>
      <c r="U62" s="114">
        <f>SUM(U63:U66)</f>
        <v>0</v>
      </c>
      <c r="V62" s="114">
        <f t="shared" ref="V62" si="66">SUM(V63:V66)</f>
        <v>215932.5</v>
      </c>
      <c r="W62" s="114">
        <f t="shared" ref="W62" si="67">SUM(W63:W66)</f>
        <v>323898.75</v>
      </c>
      <c r="X62" s="114">
        <f t="shared" ref="X62" si="68">SUM(X63:X66)</f>
        <v>539831.25</v>
      </c>
      <c r="Y62" s="114">
        <f t="shared" ref="Y62" si="69">SUM(Y63:Y66)</f>
        <v>1079662.5</v>
      </c>
      <c r="Z62" s="21"/>
      <c r="AA62" s="21"/>
      <c r="AB62" s="21"/>
      <c r="AC62" s="114">
        <f>SUM(AC63:AC66)</f>
        <v>0</v>
      </c>
      <c r="AD62" s="114">
        <f t="shared" ref="AD62" si="70">SUM(AD63:AD66)</f>
        <v>159932.5</v>
      </c>
      <c r="AE62" s="114">
        <f t="shared" ref="AE62" si="71">SUM(AE63:AE66)</f>
        <v>239898.75</v>
      </c>
      <c r="AF62" s="114">
        <f t="shared" ref="AF62" si="72">SUM(AF63:AF66)</f>
        <v>399831.25</v>
      </c>
      <c r="AG62" s="114">
        <f t="shared" ref="AG62" si="73">SUM(AG63:AG66)</f>
        <v>799662.5</v>
      </c>
    </row>
    <row r="63" spans="1:33" outlineLevel="1">
      <c r="A63" s="123" t="str">
        <f>$A$62&amp;" "&amp;'Asset Info'!$C$10</f>
        <v>Whole Life Costs Crossrail</v>
      </c>
      <c r="B63" s="21" t="s">
        <v>233</v>
      </c>
      <c r="C63" s="21"/>
      <c r="D63" s="21"/>
      <c r="E63" s="114">
        <f t="shared" ref="E63:I66" si="74">$C22-E22</f>
        <v>0</v>
      </c>
      <c r="F63" s="114">
        <f t="shared" si="74"/>
        <v>0</v>
      </c>
      <c r="G63" s="114">
        <f t="shared" si="74"/>
        <v>0</v>
      </c>
      <c r="H63" s="114">
        <f t="shared" si="74"/>
        <v>0</v>
      </c>
      <c r="I63" s="114">
        <f t="shared" si="74"/>
        <v>0</v>
      </c>
      <c r="J63" s="22"/>
      <c r="K63" s="21"/>
      <c r="L63" s="21"/>
      <c r="M63" s="114">
        <f t="shared" ref="M63:Q66" si="75">$K22-M22</f>
        <v>0</v>
      </c>
      <c r="N63" s="114">
        <f t="shared" si="75"/>
        <v>0</v>
      </c>
      <c r="O63" s="114">
        <f t="shared" si="75"/>
        <v>0</v>
      </c>
      <c r="P63" s="114">
        <f t="shared" si="75"/>
        <v>0</v>
      </c>
      <c r="Q63" s="114">
        <f t="shared" si="75"/>
        <v>0</v>
      </c>
      <c r="R63" s="22"/>
      <c r="S63" s="21"/>
      <c r="T63" s="21"/>
      <c r="U63" s="114">
        <f t="shared" ref="U63:Y66" si="76">$S22-U22</f>
        <v>0</v>
      </c>
      <c r="V63" s="114">
        <f t="shared" si="76"/>
        <v>0</v>
      </c>
      <c r="W63" s="114">
        <f t="shared" si="76"/>
        <v>0</v>
      </c>
      <c r="X63" s="114">
        <f t="shared" si="76"/>
        <v>0</v>
      </c>
      <c r="Y63" s="114">
        <f t="shared" si="76"/>
        <v>0</v>
      </c>
      <c r="Z63" s="21"/>
      <c r="AA63" s="21"/>
      <c r="AB63" s="21"/>
      <c r="AC63" s="114">
        <f t="shared" ref="AC63:AG66" si="77">$AA22-AC22</f>
        <v>0</v>
      </c>
      <c r="AD63" s="114">
        <f t="shared" si="77"/>
        <v>0</v>
      </c>
      <c r="AE63" s="114">
        <f t="shared" si="77"/>
        <v>0</v>
      </c>
      <c r="AF63" s="114">
        <f t="shared" si="77"/>
        <v>0</v>
      </c>
      <c r="AG63" s="114">
        <f t="shared" si="77"/>
        <v>0</v>
      </c>
    </row>
    <row r="64" spans="1:33" outlineLevel="1">
      <c r="A64" s="123" t="str">
        <f>$A$62&amp;" "&amp;'Asset Info'!$D$10</f>
        <v>Whole Life Costs NR Western</v>
      </c>
      <c r="B64" s="21" t="s">
        <v>233</v>
      </c>
      <c r="C64" s="21"/>
      <c r="D64" s="21"/>
      <c r="E64" s="114">
        <f t="shared" si="74"/>
        <v>0</v>
      </c>
      <c r="F64" s="114">
        <f t="shared" si="74"/>
        <v>187000</v>
      </c>
      <c r="G64" s="114">
        <f t="shared" si="74"/>
        <v>280500</v>
      </c>
      <c r="H64" s="114">
        <f t="shared" si="74"/>
        <v>467500</v>
      </c>
      <c r="I64" s="114">
        <f t="shared" si="74"/>
        <v>935000</v>
      </c>
      <c r="J64" s="22"/>
      <c r="K64" s="21"/>
      <c r="L64" s="21"/>
      <c r="M64" s="114">
        <f t="shared" si="75"/>
        <v>0</v>
      </c>
      <c r="N64" s="114">
        <f t="shared" si="75"/>
        <v>187000</v>
      </c>
      <c r="O64" s="114">
        <f t="shared" si="75"/>
        <v>280500</v>
      </c>
      <c r="P64" s="114">
        <f t="shared" si="75"/>
        <v>467500</v>
      </c>
      <c r="Q64" s="114">
        <f t="shared" si="75"/>
        <v>935000</v>
      </c>
      <c r="R64" s="22"/>
      <c r="S64" s="21"/>
      <c r="T64" s="21"/>
      <c r="U64" s="114">
        <f t="shared" si="76"/>
        <v>0</v>
      </c>
      <c r="V64" s="114">
        <f t="shared" si="76"/>
        <v>215932.5</v>
      </c>
      <c r="W64" s="114">
        <f t="shared" si="76"/>
        <v>323898.75</v>
      </c>
      <c r="X64" s="114">
        <f t="shared" si="76"/>
        <v>539831.25</v>
      </c>
      <c r="Y64" s="114">
        <f t="shared" si="76"/>
        <v>1079662.5</v>
      </c>
      <c r="Z64" s="21"/>
      <c r="AA64" s="21"/>
      <c r="AB64" s="21"/>
      <c r="AC64" s="114">
        <f t="shared" si="77"/>
        <v>0</v>
      </c>
      <c r="AD64" s="114">
        <f t="shared" si="77"/>
        <v>159932.5</v>
      </c>
      <c r="AE64" s="114">
        <f t="shared" si="77"/>
        <v>239898.75</v>
      </c>
      <c r="AF64" s="114">
        <f t="shared" si="77"/>
        <v>399831.25</v>
      </c>
      <c r="AG64" s="114">
        <f t="shared" si="77"/>
        <v>799662.5</v>
      </c>
    </row>
    <row r="65" spans="1:33" outlineLevel="1">
      <c r="A65" s="123" t="str">
        <f>$A$62&amp;" "&amp;'Asset Info'!$E$10</f>
        <v>Whole Life Costs Balfour Beatty</v>
      </c>
      <c r="B65" s="21" t="s">
        <v>233</v>
      </c>
      <c r="C65" s="21"/>
      <c r="D65" s="21"/>
      <c r="E65" s="114">
        <f t="shared" si="74"/>
        <v>0</v>
      </c>
      <c r="F65" s="114">
        <f t="shared" si="74"/>
        <v>0</v>
      </c>
      <c r="G65" s="114">
        <f t="shared" si="74"/>
        <v>0</v>
      </c>
      <c r="H65" s="114">
        <f t="shared" si="74"/>
        <v>0</v>
      </c>
      <c r="I65" s="114">
        <f t="shared" si="74"/>
        <v>0</v>
      </c>
      <c r="J65" s="21"/>
      <c r="K65" s="21"/>
      <c r="L65" s="21"/>
      <c r="M65" s="114">
        <f t="shared" si="75"/>
        <v>0</v>
      </c>
      <c r="N65" s="114">
        <f t="shared" si="75"/>
        <v>0</v>
      </c>
      <c r="O65" s="114">
        <f t="shared" si="75"/>
        <v>0</v>
      </c>
      <c r="P65" s="114">
        <f t="shared" si="75"/>
        <v>0</v>
      </c>
      <c r="Q65" s="114">
        <f t="shared" si="75"/>
        <v>0</v>
      </c>
      <c r="R65" s="21"/>
      <c r="S65" s="21"/>
      <c r="T65" s="21"/>
      <c r="U65" s="114">
        <f t="shared" si="76"/>
        <v>0</v>
      </c>
      <c r="V65" s="114">
        <f t="shared" si="76"/>
        <v>0</v>
      </c>
      <c r="W65" s="114">
        <f t="shared" si="76"/>
        <v>0</v>
      </c>
      <c r="X65" s="114">
        <f t="shared" si="76"/>
        <v>0</v>
      </c>
      <c r="Y65" s="114">
        <f t="shared" si="76"/>
        <v>0</v>
      </c>
      <c r="Z65" s="21"/>
      <c r="AA65" s="21"/>
      <c r="AB65" s="21"/>
      <c r="AC65" s="114">
        <f t="shared" si="77"/>
        <v>0</v>
      </c>
      <c r="AD65" s="114">
        <f t="shared" si="77"/>
        <v>0</v>
      </c>
      <c r="AE65" s="114">
        <f t="shared" si="77"/>
        <v>0</v>
      </c>
      <c r="AF65" s="114">
        <f t="shared" si="77"/>
        <v>0</v>
      </c>
      <c r="AG65" s="114">
        <f t="shared" si="77"/>
        <v>0</v>
      </c>
    </row>
    <row r="66" spans="1:33" outlineLevel="1">
      <c r="A66" s="123" t="str">
        <f>$A$62&amp;" "&amp;'Asset Info'!$F$10</f>
        <v>Whole Life Costs RSSB</v>
      </c>
      <c r="B66" s="21" t="s">
        <v>233</v>
      </c>
      <c r="C66" s="21"/>
      <c r="D66" s="21"/>
      <c r="E66" s="114">
        <f t="shared" si="74"/>
        <v>0</v>
      </c>
      <c r="F66" s="114">
        <f t="shared" si="74"/>
        <v>0</v>
      </c>
      <c r="G66" s="114">
        <f t="shared" si="74"/>
        <v>0</v>
      </c>
      <c r="H66" s="114">
        <f t="shared" si="74"/>
        <v>0</v>
      </c>
      <c r="I66" s="114">
        <f t="shared" si="74"/>
        <v>0</v>
      </c>
      <c r="J66" s="21"/>
      <c r="K66" s="21"/>
      <c r="L66" s="21"/>
      <c r="M66" s="114">
        <f t="shared" si="75"/>
        <v>0</v>
      </c>
      <c r="N66" s="114">
        <f t="shared" si="75"/>
        <v>0</v>
      </c>
      <c r="O66" s="114">
        <f t="shared" si="75"/>
        <v>0</v>
      </c>
      <c r="P66" s="114">
        <f t="shared" si="75"/>
        <v>0</v>
      </c>
      <c r="Q66" s="114">
        <f t="shared" si="75"/>
        <v>0</v>
      </c>
      <c r="R66" s="21"/>
      <c r="S66" s="21"/>
      <c r="T66" s="21"/>
      <c r="U66" s="114">
        <f t="shared" si="76"/>
        <v>0</v>
      </c>
      <c r="V66" s="114">
        <f t="shared" si="76"/>
        <v>0</v>
      </c>
      <c r="W66" s="114">
        <f t="shared" si="76"/>
        <v>0</v>
      </c>
      <c r="X66" s="114">
        <f t="shared" si="76"/>
        <v>0</v>
      </c>
      <c r="Y66" s="114">
        <f t="shared" si="76"/>
        <v>0</v>
      </c>
      <c r="Z66" s="21"/>
      <c r="AA66" s="21"/>
      <c r="AB66" s="21"/>
      <c r="AC66" s="114">
        <f t="shared" si="77"/>
        <v>0</v>
      </c>
      <c r="AD66" s="114">
        <f t="shared" si="77"/>
        <v>0</v>
      </c>
      <c r="AE66" s="114">
        <f t="shared" si="77"/>
        <v>0</v>
      </c>
      <c r="AF66" s="114">
        <f t="shared" si="77"/>
        <v>0</v>
      </c>
      <c r="AG66" s="114">
        <f t="shared" si="77"/>
        <v>0</v>
      </c>
    </row>
    <row r="67" spans="1:33">
      <c r="A67" s="122" t="s">
        <v>154</v>
      </c>
      <c r="B67" s="21" t="s">
        <v>199</v>
      </c>
      <c r="C67" s="21"/>
      <c r="D67" s="21"/>
      <c r="E67" s="114">
        <f>SUMIF($B$26:$B$33,$B67,$C$26:$C$33)-SUMIF($B$26:$B$33,$B67,E$26:E$33)</f>
        <v>0</v>
      </c>
      <c r="F67" s="114">
        <f t="shared" ref="F67:I68" si="78">SUMIF($B$26:$B$33,$B67,$C$26:$C$33)-SUMIF($B$26:$B$33,$B67,F$26:F$33)</f>
        <v>0</v>
      </c>
      <c r="G67" s="114">
        <f t="shared" si="78"/>
        <v>0</v>
      </c>
      <c r="H67" s="114">
        <f t="shared" si="78"/>
        <v>0</v>
      </c>
      <c r="I67" s="114">
        <f t="shared" si="78"/>
        <v>0</v>
      </c>
      <c r="J67" s="21"/>
      <c r="K67" s="21"/>
      <c r="L67" s="21"/>
      <c r="M67" s="114">
        <f>SUMIF($B$26:$B$33,$B67,$K$26:$K$33)-SUMIF($B$26:$B$33,$B67,M$26:M$33)</f>
        <v>0</v>
      </c>
      <c r="N67" s="114">
        <f t="shared" ref="N67:Q68" si="79">SUMIF($B$26:$B$33,$B67,$K$26:$K$33)-SUMIF($B$26:$B$33,$B67,N$26:N$33)</f>
        <v>0</v>
      </c>
      <c r="O67" s="114">
        <f t="shared" si="79"/>
        <v>0</v>
      </c>
      <c r="P67" s="114">
        <f t="shared" si="79"/>
        <v>0</v>
      </c>
      <c r="Q67" s="114">
        <f t="shared" si="79"/>
        <v>0</v>
      </c>
      <c r="R67" s="21"/>
      <c r="S67" s="21"/>
      <c r="T67" s="21"/>
      <c r="U67" s="114">
        <f>SUMIF($B$26:$B$33,$B67,$S$26:$S$33)-SUMIF($B$26:$B$33,$B67,U$26:U$33)</f>
        <v>0.89859374999999986</v>
      </c>
      <c r="V67" s="114">
        <f t="shared" ref="V67:Y68" si="80">SUMIF($B$26:$B$33,$B67,$S$26:$S$33)-SUMIF($B$26:$B$33,$B67,V$26:V$33)</f>
        <v>0.89859374999999986</v>
      </c>
      <c r="W67" s="114">
        <f t="shared" si="80"/>
        <v>0.89859374999999986</v>
      </c>
      <c r="X67" s="114">
        <f t="shared" si="80"/>
        <v>0.89859374999999986</v>
      </c>
      <c r="Y67" s="114">
        <f t="shared" si="80"/>
        <v>0.89859374999999986</v>
      </c>
      <c r="Z67" s="21"/>
      <c r="AA67" s="21"/>
      <c r="AB67" s="21"/>
      <c r="AC67" s="114">
        <f>SUMIF($B$26:$B$33,$B67,$AA$26:$AA$33)-SUMIF($B$26:$B$33,$B67,AC$26:AC$33)</f>
        <v>-0.82734375000000071</v>
      </c>
      <c r="AD67" s="114">
        <f t="shared" ref="AD67:AG68" si="81">SUMIF($B$26:$B$33,$B67,$AA$26:$AA$33)-SUMIF($B$26:$B$33,$B67,AD$26:AD$33)</f>
        <v>-0.82734375000000071</v>
      </c>
      <c r="AE67" s="114">
        <f t="shared" si="81"/>
        <v>-0.82734375000000071</v>
      </c>
      <c r="AF67" s="114">
        <f t="shared" si="81"/>
        <v>-0.82734375000000071</v>
      </c>
      <c r="AG67" s="114">
        <f t="shared" si="81"/>
        <v>-0.82734375000000071</v>
      </c>
    </row>
    <row r="68" spans="1:33">
      <c r="A68" s="123"/>
      <c r="B68" s="21" t="s">
        <v>174</v>
      </c>
      <c r="C68" s="21"/>
      <c r="D68" s="21"/>
      <c r="E68" s="114">
        <f>SUMIF($B$26:$B$33,$B68,$C$26:$C$33)-SUMIF($B$26:$B$33,$B68,E$26:E$33)</f>
        <v>-25000</v>
      </c>
      <c r="F68" s="114">
        <f t="shared" si="78"/>
        <v>-39700</v>
      </c>
      <c r="G68" s="114">
        <f t="shared" si="78"/>
        <v>-44500</v>
      </c>
      <c r="H68" s="114">
        <f t="shared" si="78"/>
        <v>-58300</v>
      </c>
      <c r="I68" s="114">
        <f t="shared" si="78"/>
        <v>-70000</v>
      </c>
      <c r="J68" s="21"/>
      <c r="K68" s="21"/>
      <c r="L68" s="21"/>
      <c r="M68" s="114">
        <f>SUMIF($B$26:$B$33,$B68,$K$26:$K$33)-SUMIF($B$26:$B$33,$B68,M$26:M$33)</f>
        <v>-25000</v>
      </c>
      <c r="N68" s="114">
        <f t="shared" si="79"/>
        <v>-39700</v>
      </c>
      <c r="O68" s="114">
        <f t="shared" si="79"/>
        <v>-44500</v>
      </c>
      <c r="P68" s="114">
        <f t="shared" si="79"/>
        <v>-58300</v>
      </c>
      <c r="Q68" s="114">
        <f t="shared" si="79"/>
        <v>-70000</v>
      </c>
      <c r="R68" s="21"/>
      <c r="S68" s="21"/>
      <c r="T68" s="21"/>
      <c r="U68" s="114">
        <f>SUMIF($B$26:$B$33,$B68,$S$26:$S$33)-SUMIF($B$26:$B$33,$B68,U$26:U$33)</f>
        <v>-25750</v>
      </c>
      <c r="V68" s="114">
        <f t="shared" si="80"/>
        <v>-41185</v>
      </c>
      <c r="W68" s="114">
        <f t="shared" si="80"/>
        <v>-46225</v>
      </c>
      <c r="X68" s="114">
        <f t="shared" si="80"/>
        <v>-60715</v>
      </c>
      <c r="Y68" s="114">
        <f t="shared" si="80"/>
        <v>-73000</v>
      </c>
      <c r="Z68" s="21"/>
      <c r="AA68" s="21"/>
      <c r="AB68" s="21"/>
      <c r="AC68" s="114">
        <f>SUMIF($B$26:$B$33,$B68,$AA$26:$AA$33)-SUMIF($B$26:$B$33,$B68,AC$26:AC$33)</f>
        <v>-24250</v>
      </c>
      <c r="AD68" s="114">
        <f t="shared" si="81"/>
        <v>-38215</v>
      </c>
      <c r="AE68" s="114">
        <f t="shared" si="81"/>
        <v>-42775</v>
      </c>
      <c r="AF68" s="114">
        <f t="shared" si="81"/>
        <v>-55885</v>
      </c>
      <c r="AG68" s="114">
        <f t="shared" si="81"/>
        <v>-67000</v>
      </c>
    </row>
    <row r="69" spans="1:33" outlineLevel="1">
      <c r="A69" s="123" t="str">
        <f>$A$67&amp;" "&amp;'Asset Info'!C10</f>
        <v>RCM Crossrail</v>
      </c>
      <c r="B69" s="21" t="s">
        <v>199</v>
      </c>
      <c r="C69" s="21"/>
      <c r="D69" s="21"/>
      <c r="E69" s="114">
        <f>$C26-E26</f>
        <v>0</v>
      </c>
      <c r="F69" s="114">
        <f t="shared" ref="F69:I69" si="82">$C26-F26</f>
        <v>0</v>
      </c>
      <c r="G69" s="114">
        <f t="shared" si="82"/>
        <v>0</v>
      </c>
      <c r="H69" s="114">
        <f t="shared" si="82"/>
        <v>0</v>
      </c>
      <c r="I69" s="114">
        <f t="shared" si="82"/>
        <v>0</v>
      </c>
      <c r="J69" s="21"/>
      <c r="K69" s="21"/>
      <c r="L69" s="21"/>
      <c r="M69" s="114">
        <f>$K26-M26</f>
        <v>0</v>
      </c>
      <c r="N69" s="114">
        <f t="shared" ref="N69:Q69" si="83">$K26-N26</f>
        <v>0</v>
      </c>
      <c r="O69" s="114">
        <f t="shared" si="83"/>
        <v>0</v>
      </c>
      <c r="P69" s="114">
        <f t="shared" si="83"/>
        <v>0</v>
      </c>
      <c r="Q69" s="114">
        <f t="shared" si="83"/>
        <v>0</v>
      </c>
      <c r="R69" s="21"/>
      <c r="S69" s="21"/>
      <c r="T69" s="21"/>
      <c r="U69" s="114">
        <f>$S26-U26</f>
        <v>0.89859374999999986</v>
      </c>
      <c r="V69" s="114">
        <f t="shared" ref="V69:Y69" si="84">$S26-V26</f>
        <v>0.89859374999999986</v>
      </c>
      <c r="W69" s="114">
        <f t="shared" si="84"/>
        <v>0.89859374999999986</v>
      </c>
      <c r="X69" s="114">
        <f t="shared" si="84"/>
        <v>0.89859374999999986</v>
      </c>
      <c r="Y69" s="114">
        <f t="shared" si="84"/>
        <v>0.89859374999999986</v>
      </c>
      <c r="Z69" s="21"/>
      <c r="AA69" s="21"/>
      <c r="AB69" s="21"/>
      <c r="AC69" s="114">
        <f>$AA26-AC26</f>
        <v>-0.82734375000000071</v>
      </c>
      <c r="AD69" s="114">
        <f t="shared" ref="AD69:AG69" si="85">$AA26-AD26</f>
        <v>-0.82734375000000071</v>
      </c>
      <c r="AE69" s="114">
        <f t="shared" si="85"/>
        <v>-0.82734375000000071</v>
      </c>
      <c r="AF69" s="114">
        <f t="shared" si="85"/>
        <v>-0.82734375000000071</v>
      </c>
      <c r="AG69" s="114">
        <f t="shared" si="85"/>
        <v>-0.82734375000000071</v>
      </c>
    </row>
    <row r="70" spans="1:33" outlineLevel="1">
      <c r="A70" s="123"/>
      <c r="B70" s="21" t="s">
        <v>174</v>
      </c>
      <c r="C70" s="21"/>
      <c r="D70" s="21"/>
      <c r="E70" s="114">
        <f t="shared" ref="E70:I70" si="86">$C27-E27</f>
        <v>0</v>
      </c>
      <c r="F70" s="114">
        <f t="shared" si="86"/>
        <v>0</v>
      </c>
      <c r="G70" s="114">
        <f t="shared" si="86"/>
        <v>0</v>
      </c>
      <c r="H70" s="114">
        <f t="shared" si="86"/>
        <v>0</v>
      </c>
      <c r="I70" s="114">
        <f t="shared" si="86"/>
        <v>0</v>
      </c>
      <c r="J70" s="21"/>
      <c r="K70" s="21"/>
      <c r="L70" s="21"/>
      <c r="M70" s="114">
        <f t="shared" ref="M70:Q70" si="87">$K27-M27</f>
        <v>0</v>
      </c>
      <c r="N70" s="114">
        <f t="shared" si="87"/>
        <v>0</v>
      </c>
      <c r="O70" s="114">
        <f t="shared" si="87"/>
        <v>0</v>
      </c>
      <c r="P70" s="114">
        <f t="shared" si="87"/>
        <v>0</v>
      </c>
      <c r="Q70" s="114">
        <f t="shared" si="87"/>
        <v>0</v>
      </c>
      <c r="R70" s="21"/>
      <c r="S70" s="21"/>
      <c r="T70" s="21"/>
      <c r="U70" s="114">
        <f t="shared" ref="U70:Y70" si="88">$S27-U27</f>
        <v>0</v>
      </c>
      <c r="V70" s="114">
        <f t="shared" si="88"/>
        <v>0</v>
      </c>
      <c r="W70" s="114">
        <f t="shared" si="88"/>
        <v>0</v>
      </c>
      <c r="X70" s="114">
        <f t="shared" si="88"/>
        <v>0</v>
      </c>
      <c r="Y70" s="114">
        <f t="shared" si="88"/>
        <v>0</v>
      </c>
      <c r="Z70" s="21"/>
      <c r="AA70" s="21"/>
      <c r="AB70" s="21"/>
      <c r="AC70" s="114">
        <f t="shared" ref="AC70:AG70" si="89">$AA27-AC27</f>
        <v>0</v>
      </c>
      <c r="AD70" s="114">
        <f t="shared" si="89"/>
        <v>0</v>
      </c>
      <c r="AE70" s="114">
        <f t="shared" si="89"/>
        <v>0</v>
      </c>
      <c r="AF70" s="114">
        <f t="shared" si="89"/>
        <v>0</v>
      </c>
      <c r="AG70" s="114">
        <f t="shared" si="89"/>
        <v>0</v>
      </c>
    </row>
    <row r="71" spans="1:33" outlineLevel="1">
      <c r="A71" s="123" t="str">
        <f>$A$67&amp;" "&amp;'Asset Info'!D10</f>
        <v>RCM NR Western</v>
      </c>
      <c r="B71" s="21" t="s">
        <v>199</v>
      </c>
      <c r="C71" s="21"/>
      <c r="D71" s="21"/>
      <c r="E71" s="114">
        <f t="shared" ref="E71:I71" si="90">$C28-E28</f>
        <v>0</v>
      </c>
      <c r="F71" s="114">
        <f t="shared" si="90"/>
        <v>0</v>
      </c>
      <c r="G71" s="114">
        <f t="shared" si="90"/>
        <v>0</v>
      </c>
      <c r="H71" s="114">
        <f t="shared" si="90"/>
        <v>0</v>
      </c>
      <c r="I71" s="114">
        <f t="shared" si="90"/>
        <v>0</v>
      </c>
      <c r="J71" s="21"/>
      <c r="K71" s="21"/>
      <c r="L71" s="21"/>
      <c r="M71" s="114">
        <f t="shared" ref="M71:Q71" si="91">$K28-M28</f>
        <v>0</v>
      </c>
      <c r="N71" s="114">
        <f t="shared" si="91"/>
        <v>0</v>
      </c>
      <c r="O71" s="114">
        <f t="shared" si="91"/>
        <v>0</v>
      </c>
      <c r="P71" s="114">
        <f t="shared" si="91"/>
        <v>0</v>
      </c>
      <c r="Q71" s="114">
        <f t="shared" si="91"/>
        <v>0</v>
      </c>
      <c r="R71" s="21"/>
      <c r="S71" s="21"/>
      <c r="T71" s="21"/>
      <c r="U71" s="114">
        <f t="shared" ref="U71:Y71" si="92">$S28-U28</f>
        <v>0</v>
      </c>
      <c r="V71" s="114">
        <f t="shared" si="92"/>
        <v>0</v>
      </c>
      <c r="W71" s="114">
        <f t="shared" si="92"/>
        <v>0</v>
      </c>
      <c r="X71" s="114">
        <f t="shared" si="92"/>
        <v>0</v>
      </c>
      <c r="Y71" s="114">
        <f t="shared" si="92"/>
        <v>0</v>
      </c>
      <c r="Z71" s="21"/>
      <c r="AA71" s="21"/>
      <c r="AB71" s="21"/>
      <c r="AC71" s="114">
        <f t="shared" ref="AC71:AG71" si="93">$AA28-AC28</f>
        <v>0</v>
      </c>
      <c r="AD71" s="114">
        <f t="shared" si="93"/>
        <v>0</v>
      </c>
      <c r="AE71" s="114">
        <f t="shared" si="93"/>
        <v>0</v>
      </c>
      <c r="AF71" s="114">
        <f t="shared" si="93"/>
        <v>0</v>
      </c>
      <c r="AG71" s="114">
        <f t="shared" si="93"/>
        <v>0</v>
      </c>
    </row>
    <row r="72" spans="1:33" outlineLevel="1">
      <c r="A72" s="123"/>
      <c r="B72" s="21" t="s">
        <v>174</v>
      </c>
      <c r="C72" s="21"/>
      <c r="D72" s="21"/>
      <c r="E72" s="114">
        <f t="shared" ref="E72:I72" si="94">$C29-E29</f>
        <v>-12500</v>
      </c>
      <c r="F72" s="114">
        <f t="shared" si="94"/>
        <v>-22790</v>
      </c>
      <c r="G72" s="114">
        <f t="shared" si="94"/>
        <v>-26150</v>
      </c>
      <c r="H72" s="114">
        <f t="shared" si="94"/>
        <v>-35810</v>
      </c>
      <c r="I72" s="114">
        <f t="shared" si="94"/>
        <v>-44000</v>
      </c>
      <c r="J72" s="21"/>
      <c r="K72" s="21"/>
      <c r="L72" s="21"/>
      <c r="M72" s="114">
        <f t="shared" ref="M72:Q72" si="95">$K29-M29</f>
        <v>-12500</v>
      </c>
      <c r="N72" s="114">
        <f t="shared" si="95"/>
        <v>-22790</v>
      </c>
      <c r="O72" s="114">
        <f t="shared" si="95"/>
        <v>-26150</v>
      </c>
      <c r="P72" s="114">
        <f t="shared" si="95"/>
        <v>-35810</v>
      </c>
      <c r="Q72" s="114">
        <f t="shared" si="95"/>
        <v>-44000</v>
      </c>
      <c r="R72" s="21"/>
      <c r="S72" s="21"/>
      <c r="T72" s="21"/>
      <c r="U72" s="114">
        <f t="shared" ref="U72:Y72" si="96">$S29-U29</f>
        <v>-12875</v>
      </c>
      <c r="V72" s="114">
        <f t="shared" si="96"/>
        <v>-23679.5</v>
      </c>
      <c r="W72" s="114">
        <f t="shared" si="96"/>
        <v>-27207.5</v>
      </c>
      <c r="X72" s="114">
        <f t="shared" si="96"/>
        <v>-37350.5</v>
      </c>
      <c r="Y72" s="114">
        <f t="shared" si="96"/>
        <v>-45950</v>
      </c>
      <c r="Z72" s="21"/>
      <c r="AA72" s="21"/>
      <c r="AB72" s="21"/>
      <c r="AC72" s="114">
        <f t="shared" ref="AC72:AG72" si="97">$AA29-AC29</f>
        <v>-12125</v>
      </c>
      <c r="AD72" s="114">
        <f t="shared" si="97"/>
        <v>-21900.5</v>
      </c>
      <c r="AE72" s="114">
        <f t="shared" si="97"/>
        <v>-25092.5</v>
      </c>
      <c r="AF72" s="114">
        <f t="shared" si="97"/>
        <v>-34269.5</v>
      </c>
      <c r="AG72" s="114">
        <f t="shared" si="97"/>
        <v>-42050</v>
      </c>
    </row>
    <row r="73" spans="1:33" outlineLevel="1">
      <c r="A73" s="123" t="str">
        <f>$A$67&amp;" "&amp;'Asset Info'!E10</f>
        <v>RCM Balfour Beatty</v>
      </c>
      <c r="B73" s="21" t="s">
        <v>199</v>
      </c>
      <c r="C73" s="21"/>
      <c r="D73" s="21"/>
      <c r="E73" s="114">
        <f t="shared" ref="E73:I73" si="98">$C30-E30</f>
        <v>0</v>
      </c>
      <c r="F73" s="114">
        <f t="shared" si="98"/>
        <v>0</v>
      </c>
      <c r="G73" s="114">
        <f t="shared" si="98"/>
        <v>0</v>
      </c>
      <c r="H73" s="114">
        <f t="shared" si="98"/>
        <v>0</v>
      </c>
      <c r="I73" s="114">
        <f t="shared" si="98"/>
        <v>0</v>
      </c>
      <c r="J73" s="21"/>
      <c r="K73" s="21"/>
      <c r="L73" s="21"/>
      <c r="M73" s="114">
        <f t="shared" ref="M73:Q73" si="99">$K30-M30</f>
        <v>0</v>
      </c>
      <c r="N73" s="114">
        <f t="shared" si="99"/>
        <v>0</v>
      </c>
      <c r="O73" s="114">
        <f t="shared" si="99"/>
        <v>0</v>
      </c>
      <c r="P73" s="114">
        <f t="shared" si="99"/>
        <v>0</v>
      </c>
      <c r="Q73" s="114">
        <f t="shared" si="99"/>
        <v>0</v>
      </c>
      <c r="R73" s="21"/>
      <c r="S73" s="21"/>
      <c r="T73" s="21"/>
      <c r="U73" s="114">
        <f t="shared" ref="U73:Y73" si="100">$S30-U30</f>
        <v>0</v>
      </c>
      <c r="V73" s="114">
        <f t="shared" si="100"/>
        <v>0</v>
      </c>
      <c r="W73" s="114">
        <f t="shared" si="100"/>
        <v>0</v>
      </c>
      <c r="X73" s="114">
        <f t="shared" si="100"/>
        <v>0</v>
      </c>
      <c r="Y73" s="114">
        <f t="shared" si="100"/>
        <v>0</v>
      </c>
      <c r="Z73" s="21"/>
      <c r="AA73" s="21"/>
      <c r="AB73" s="21"/>
      <c r="AC73" s="114">
        <f t="shared" ref="AC73:AG73" si="101">$AA30-AC30</f>
        <v>0</v>
      </c>
      <c r="AD73" s="114">
        <f t="shared" si="101"/>
        <v>0</v>
      </c>
      <c r="AE73" s="114">
        <f t="shared" si="101"/>
        <v>0</v>
      </c>
      <c r="AF73" s="114">
        <f t="shared" si="101"/>
        <v>0</v>
      </c>
      <c r="AG73" s="114">
        <f t="shared" si="101"/>
        <v>0</v>
      </c>
    </row>
    <row r="74" spans="1:33" outlineLevel="1">
      <c r="A74" s="123"/>
      <c r="B74" s="21" t="s">
        <v>174</v>
      </c>
      <c r="C74" s="21"/>
      <c r="D74" s="21"/>
      <c r="E74" s="114">
        <f t="shared" ref="E74:I74" si="102">$C31-E31</f>
        <v>0</v>
      </c>
      <c r="F74" s="114">
        <f t="shared" si="102"/>
        <v>0</v>
      </c>
      <c r="G74" s="114">
        <f t="shared" si="102"/>
        <v>0</v>
      </c>
      <c r="H74" s="114">
        <f t="shared" si="102"/>
        <v>0</v>
      </c>
      <c r="I74" s="114">
        <f t="shared" si="102"/>
        <v>0</v>
      </c>
      <c r="J74" s="21"/>
      <c r="K74" s="21"/>
      <c r="L74" s="21"/>
      <c r="M74" s="114">
        <f t="shared" ref="M74:Q74" si="103">$K31-M31</f>
        <v>0</v>
      </c>
      <c r="N74" s="114">
        <f t="shared" si="103"/>
        <v>0</v>
      </c>
      <c r="O74" s="114">
        <f t="shared" si="103"/>
        <v>0</v>
      </c>
      <c r="P74" s="114">
        <f t="shared" si="103"/>
        <v>0</v>
      </c>
      <c r="Q74" s="114">
        <f t="shared" si="103"/>
        <v>0</v>
      </c>
      <c r="R74" s="21"/>
      <c r="S74" s="21"/>
      <c r="T74" s="21"/>
      <c r="U74" s="114">
        <f t="shared" ref="U74:Y74" si="104">$S31-U31</f>
        <v>0</v>
      </c>
      <c r="V74" s="114">
        <f t="shared" si="104"/>
        <v>0</v>
      </c>
      <c r="W74" s="114">
        <f t="shared" si="104"/>
        <v>0</v>
      </c>
      <c r="X74" s="114">
        <f t="shared" si="104"/>
        <v>0</v>
      </c>
      <c r="Y74" s="114">
        <f t="shared" si="104"/>
        <v>0</v>
      </c>
      <c r="Z74" s="21"/>
      <c r="AA74" s="21"/>
      <c r="AB74" s="21"/>
      <c r="AC74" s="114">
        <f t="shared" ref="AC74:AG74" si="105">$AA31-AC31</f>
        <v>0</v>
      </c>
      <c r="AD74" s="114">
        <f t="shared" si="105"/>
        <v>0</v>
      </c>
      <c r="AE74" s="114">
        <f t="shared" si="105"/>
        <v>0</v>
      </c>
      <c r="AF74" s="114">
        <f t="shared" si="105"/>
        <v>0</v>
      </c>
      <c r="AG74" s="114">
        <f t="shared" si="105"/>
        <v>0</v>
      </c>
    </row>
    <row r="75" spans="1:33" outlineLevel="1">
      <c r="A75" s="123" t="str">
        <f>$A$67&amp;" "&amp;'Asset Info'!F10</f>
        <v>RCM RSSB</v>
      </c>
      <c r="B75" s="21" t="s">
        <v>199</v>
      </c>
      <c r="C75" s="21"/>
      <c r="D75" s="21"/>
      <c r="E75" s="114">
        <f t="shared" ref="E75:I75" si="106">$C32-E32</f>
        <v>0</v>
      </c>
      <c r="F75" s="114">
        <f t="shared" si="106"/>
        <v>0</v>
      </c>
      <c r="G75" s="114">
        <f t="shared" si="106"/>
        <v>0</v>
      </c>
      <c r="H75" s="114">
        <f t="shared" si="106"/>
        <v>0</v>
      </c>
      <c r="I75" s="114">
        <f t="shared" si="106"/>
        <v>0</v>
      </c>
      <c r="J75" s="21"/>
      <c r="K75" s="21"/>
      <c r="L75" s="21"/>
      <c r="M75" s="114">
        <f t="shared" ref="M75:Q75" si="107">$K32-M32</f>
        <v>0</v>
      </c>
      <c r="N75" s="114">
        <f t="shared" si="107"/>
        <v>0</v>
      </c>
      <c r="O75" s="114">
        <f t="shared" si="107"/>
        <v>0</v>
      </c>
      <c r="P75" s="114">
        <f t="shared" si="107"/>
        <v>0</v>
      </c>
      <c r="Q75" s="114">
        <f t="shared" si="107"/>
        <v>0</v>
      </c>
      <c r="R75" s="21"/>
      <c r="S75" s="21"/>
      <c r="T75" s="21"/>
      <c r="U75" s="114">
        <f t="shared" ref="U75:Y75" si="108">$S32-U32</f>
        <v>0</v>
      </c>
      <c r="V75" s="114">
        <f t="shared" si="108"/>
        <v>0</v>
      </c>
      <c r="W75" s="114">
        <f t="shared" si="108"/>
        <v>0</v>
      </c>
      <c r="X75" s="114">
        <f t="shared" si="108"/>
        <v>0</v>
      </c>
      <c r="Y75" s="114">
        <f t="shared" si="108"/>
        <v>0</v>
      </c>
      <c r="Z75" s="21"/>
      <c r="AA75" s="21"/>
      <c r="AB75" s="21"/>
      <c r="AC75" s="114">
        <f t="shared" ref="AC75:AG75" si="109">$AA32-AC32</f>
        <v>0</v>
      </c>
      <c r="AD75" s="114">
        <f t="shared" si="109"/>
        <v>0</v>
      </c>
      <c r="AE75" s="114">
        <f t="shared" si="109"/>
        <v>0</v>
      </c>
      <c r="AF75" s="114">
        <f t="shared" si="109"/>
        <v>0</v>
      </c>
      <c r="AG75" s="114">
        <f t="shared" si="109"/>
        <v>0</v>
      </c>
    </row>
    <row r="76" spans="1:33" outlineLevel="1">
      <c r="A76" s="123"/>
      <c r="B76" s="21" t="s">
        <v>174</v>
      </c>
      <c r="C76" s="21"/>
      <c r="D76" s="21"/>
      <c r="E76" s="114">
        <f t="shared" ref="E76:I76" si="110">$C33-E33</f>
        <v>-12500</v>
      </c>
      <c r="F76" s="114">
        <f t="shared" si="110"/>
        <v>-16910</v>
      </c>
      <c r="G76" s="114">
        <f t="shared" si="110"/>
        <v>-18350</v>
      </c>
      <c r="H76" s="114">
        <f t="shared" si="110"/>
        <v>-22490</v>
      </c>
      <c r="I76" s="114">
        <f t="shared" si="110"/>
        <v>-26000</v>
      </c>
      <c r="J76" s="21"/>
      <c r="K76" s="21"/>
      <c r="L76" s="21"/>
      <c r="M76" s="114">
        <f t="shared" ref="M76:Q76" si="111">$K33-M33</f>
        <v>-12500</v>
      </c>
      <c r="N76" s="114">
        <f t="shared" si="111"/>
        <v>-16910</v>
      </c>
      <c r="O76" s="114">
        <f t="shared" si="111"/>
        <v>-18350</v>
      </c>
      <c r="P76" s="114">
        <f t="shared" si="111"/>
        <v>-22490</v>
      </c>
      <c r="Q76" s="114">
        <f t="shared" si="111"/>
        <v>-26000</v>
      </c>
      <c r="R76" s="21"/>
      <c r="S76" s="21"/>
      <c r="T76" s="21"/>
      <c r="U76" s="114">
        <f t="shared" ref="U76:Y76" si="112">$S33-U33</f>
        <v>-12875</v>
      </c>
      <c r="V76" s="114">
        <f t="shared" si="112"/>
        <v>-17505.5</v>
      </c>
      <c r="W76" s="114">
        <f t="shared" si="112"/>
        <v>-19017.5</v>
      </c>
      <c r="X76" s="114">
        <f t="shared" si="112"/>
        <v>-23364.5</v>
      </c>
      <c r="Y76" s="114">
        <f t="shared" si="112"/>
        <v>-27050</v>
      </c>
      <c r="Z76" s="21"/>
      <c r="AA76" s="21"/>
      <c r="AB76" s="21"/>
      <c r="AC76" s="114">
        <f t="shared" ref="AC76:AG76" si="113">$AA33-AC33</f>
        <v>-12125</v>
      </c>
      <c r="AD76" s="114">
        <f t="shared" si="113"/>
        <v>-16314.5</v>
      </c>
      <c r="AE76" s="114">
        <f t="shared" si="113"/>
        <v>-17682.5</v>
      </c>
      <c r="AF76" s="114">
        <f t="shared" si="113"/>
        <v>-21615.5</v>
      </c>
      <c r="AG76" s="114">
        <f t="shared" si="113"/>
        <v>-24950</v>
      </c>
    </row>
    <row r="77" spans="1:33">
      <c r="A77" s="122" t="s">
        <v>29</v>
      </c>
      <c r="B77" s="22"/>
      <c r="C77" s="21"/>
      <c r="D77" s="21"/>
      <c r="E77" s="116">
        <f>SUM(E47:E49,E63:E68)</f>
        <v>4217.7799999999988</v>
      </c>
      <c r="F77" s="116">
        <f t="shared" ref="F77:I77" si="114">SUM(F47:F49,F63:F68)</f>
        <v>194048.448</v>
      </c>
      <c r="G77" s="116">
        <f t="shared" si="114"/>
        <v>300279.11600000004</v>
      </c>
      <c r="H77" s="116">
        <f t="shared" si="114"/>
        <v>526071.12</v>
      </c>
      <c r="I77" s="116">
        <f t="shared" si="114"/>
        <v>981871.12000000011</v>
      </c>
      <c r="J77" s="21"/>
      <c r="K77" s="21"/>
      <c r="L77" s="21"/>
      <c r="M77" s="116">
        <f>SUM(M47:M68)</f>
        <v>33435.56</v>
      </c>
      <c r="N77" s="116">
        <f>SUM(N47:N68)</f>
        <v>427796.89600000001</v>
      </c>
      <c r="O77" s="116">
        <f>SUM(O47:O68)</f>
        <v>645058.23200000008</v>
      </c>
      <c r="P77" s="116">
        <f>SUM(P47:P68)</f>
        <v>1110442.24</v>
      </c>
      <c r="Q77" s="116">
        <f>SUM(Q47:Q68)</f>
        <v>2033742.2400000002</v>
      </c>
      <c r="R77" s="21"/>
      <c r="S77" s="21"/>
      <c r="T77" s="21"/>
      <c r="U77" s="116">
        <f>SUM(U47:U68)</f>
        <v>36463.661881250067</v>
      </c>
      <c r="V77" s="116">
        <f>SUM(V47:V68)</f>
        <v>490221.31985374982</v>
      </c>
      <c r="W77" s="116">
        <f>SUM(W47:W68)</f>
        <v>738441.47782625002</v>
      </c>
      <c r="X77" s="116">
        <f>SUM(X47:X68)</f>
        <v>1267799.4517437501</v>
      </c>
      <c r="Y77" s="116">
        <f>SUM(Y47:Y68)</f>
        <v>2335176.9517437499</v>
      </c>
      <c r="Z77" s="21"/>
      <c r="AA77" s="21"/>
      <c r="AB77" s="21"/>
      <c r="AC77" s="116">
        <f>SUM(AC47:AC68)</f>
        <v>30296.148443750004</v>
      </c>
      <c r="AD77" s="116">
        <f>SUM(AD47:AD68)</f>
        <v>368924.33391624998</v>
      </c>
      <c r="AE77" s="116">
        <f>SUM(AE47:AE68)</f>
        <v>557025.01938874996</v>
      </c>
      <c r="AF77" s="116">
        <f>SUM(AF47:AF68)</f>
        <v>961964.57580624986</v>
      </c>
      <c r="AG77" s="116">
        <f>SUM(AG47:AG68)</f>
        <v>1750512.0758062499</v>
      </c>
    </row>
    <row r="78" spans="1:33" s="199" customFormat="1" outlineLevel="1">
      <c r="A78" s="123"/>
      <c r="B78" s="123" t="str">
        <f>$A$77&amp;" benefit "&amp;'Asset Info'!$C$10</f>
        <v>TOTAL benefit Crossrail</v>
      </c>
      <c r="C78" s="21"/>
      <c r="D78" s="21"/>
      <c r="E78" s="114">
        <f>SUM(E50:E52,E63,E69:E70)</f>
        <v>3500</v>
      </c>
      <c r="F78" s="114">
        <f t="shared" ref="F78:I78" si="115">SUM(F50:F52,F63,F69:F70)</f>
        <v>5600</v>
      </c>
      <c r="G78" s="114">
        <f t="shared" si="115"/>
        <v>7700</v>
      </c>
      <c r="H78" s="114">
        <f t="shared" si="115"/>
        <v>14000</v>
      </c>
      <c r="I78" s="114">
        <f t="shared" si="115"/>
        <v>14000</v>
      </c>
      <c r="J78" s="21"/>
      <c r="K78" s="21"/>
      <c r="L78" s="21"/>
      <c r="M78" s="114">
        <f>SUM(M50:M52,M63,M69:M70)</f>
        <v>3500</v>
      </c>
      <c r="N78" s="114">
        <f t="shared" ref="N78:Q78" si="116">SUM(N50:N52,N63,N69:N70)</f>
        <v>5600</v>
      </c>
      <c r="O78" s="114">
        <f t="shared" si="116"/>
        <v>7700</v>
      </c>
      <c r="P78" s="114">
        <f t="shared" si="116"/>
        <v>14000</v>
      </c>
      <c r="Q78" s="114">
        <f t="shared" si="116"/>
        <v>14000</v>
      </c>
      <c r="R78" s="21"/>
      <c r="S78" s="21"/>
      <c r="T78" s="21"/>
      <c r="U78" s="114">
        <f>SUM(U50:U52,U63,U69:U70)</f>
        <v>3830.3634375000001</v>
      </c>
      <c r="V78" s="114">
        <f t="shared" ref="V78:Y78" si="117">SUM(V50:V52,V63,V69:V70)</f>
        <v>6128.0423437499912</v>
      </c>
      <c r="W78" s="114">
        <f t="shared" si="117"/>
        <v>8425.7212499999987</v>
      </c>
      <c r="X78" s="114">
        <f t="shared" si="117"/>
        <v>15318.757968749993</v>
      </c>
      <c r="Y78" s="114">
        <f t="shared" si="117"/>
        <v>15318.757968749993</v>
      </c>
      <c r="Z78" s="21"/>
      <c r="AA78" s="21"/>
      <c r="AB78" s="21"/>
      <c r="AC78" s="114">
        <f>SUM(AC50:AC52,AC63,AC69:AC70)</f>
        <v>3167.7937499999998</v>
      </c>
      <c r="AD78" s="114">
        <f t="shared" ref="AD78:AG78" si="118">SUM(AD50:AD52,AD63,AD69:AD70)</f>
        <v>5068.9664062500015</v>
      </c>
      <c r="AE78" s="114">
        <f t="shared" si="118"/>
        <v>6970.1390625000031</v>
      </c>
      <c r="AF78" s="114">
        <f t="shared" si="118"/>
        <v>12673.657031250001</v>
      </c>
      <c r="AG78" s="114">
        <f t="shared" si="118"/>
        <v>12673.657031250001</v>
      </c>
    </row>
    <row r="79" spans="1:33" s="199" customFormat="1" outlineLevel="1">
      <c r="A79" s="123"/>
      <c r="B79" s="123" t="str">
        <f>$A$77&amp;" benefit "&amp;'Asset Info'!$D$10</f>
        <v>TOTAL benefit NR Western</v>
      </c>
      <c r="C79" s="21"/>
      <c r="D79" s="21"/>
      <c r="E79" s="114">
        <f>SUM(E53:E55,E64,E71:E72)</f>
        <v>13217.779999999999</v>
      </c>
      <c r="F79" s="114">
        <f t="shared" ref="F79:I79" si="119">SUM(F53:F55,F64,F71:F72)</f>
        <v>205358.448</v>
      </c>
      <c r="G79" s="114">
        <f t="shared" si="119"/>
        <v>310929.11600000004</v>
      </c>
      <c r="H79" s="114">
        <f t="shared" si="119"/>
        <v>534561.12</v>
      </c>
      <c r="I79" s="114">
        <f t="shared" si="119"/>
        <v>993871.12</v>
      </c>
      <c r="J79" s="21"/>
      <c r="K79" s="21"/>
      <c r="L79" s="21"/>
      <c r="M79" s="114">
        <f>SUM(M53:M55,M64,M71:M72)</f>
        <v>13217.779999999999</v>
      </c>
      <c r="N79" s="114">
        <f t="shared" ref="N79:Q79" si="120">SUM(N53:N55,N64,N71:N72)</f>
        <v>205358.448</v>
      </c>
      <c r="O79" s="114">
        <f t="shared" si="120"/>
        <v>310929.11600000004</v>
      </c>
      <c r="P79" s="114">
        <f t="shared" si="120"/>
        <v>534561.12</v>
      </c>
      <c r="Q79" s="114">
        <f t="shared" si="120"/>
        <v>993871.12</v>
      </c>
      <c r="R79" s="21"/>
      <c r="S79" s="21"/>
      <c r="T79" s="21"/>
      <c r="U79" s="114">
        <f>SUM(U53:U55,U64,U71:U72)</f>
        <v>14401.916800000035</v>
      </c>
      <c r="V79" s="114">
        <f t="shared" ref="V79:Y79" si="121">SUM(V53:V55,V64,V71:V72)</f>
        <v>235896.06687999994</v>
      </c>
      <c r="W79" s="114">
        <f t="shared" si="121"/>
        <v>356700.46696000005</v>
      </c>
      <c r="X79" s="114">
        <f t="shared" si="121"/>
        <v>611588.41720000003</v>
      </c>
      <c r="Y79" s="114">
        <f t="shared" si="121"/>
        <v>1142820.1672</v>
      </c>
      <c r="Z79" s="21"/>
      <c r="AA79" s="21"/>
      <c r="AB79" s="21"/>
      <c r="AC79" s="114">
        <f>SUM(AC53:AC55,AC64,AC71:AC72)</f>
        <v>11979.866800000018</v>
      </c>
      <c r="AD79" s="114">
        <f t="shared" ref="AD79:AG79" si="122">SUM(AD53:AD55,AD64,AD71:AD72)</f>
        <v>176599.78687999997</v>
      </c>
      <c r="AE79" s="114">
        <f t="shared" si="122"/>
        <v>267836.95695999998</v>
      </c>
      <c r="AF79" s="114">
        <f t="shared" si="122"/>
        <v>461981.21719999996</v>
      </c>
      <c r="AG79" s="114">
        <f t="shared" si="122"/>
        <v>854031.96719999996</v>
      </c>
    </row>
    <row r="80" spans="1:33" s="199" customFormat="1" outlineLevel="1">
      <c r="A80" s="123"/>
      <c r="B80" s="123" t="str">
        <f>$A$77&amp;" benefit "&amp;'Asset Info'!$E$10</f>
        <v>TOTAL benefit Balfour Beatty</v>
      </c>
      <c r="C80" s="21"/>
      <c r="D80" s="21"/>
      <c r="E80" s="114">
        <f>SUM(E56:E58,E65,E73:E74)</f>
        <v>0</v>
      </c>
      <c r="F80" s="114">
        <f t="shared" ref="F80:I80" si="123">SUM(F56:F58,F65,F73:F74)</f>
        <v>0</v>
      </c>
      <c r="G80" s="114">
        <f t="shared" si="123"/>
        <v>0</v>
      </c>
      <c r="H80" s="114">
        <f t="shared" si="123"/>
        <v>0</v>
      </c>
      <c r="I80" s="114">
        <f t="shared" si="123"/>
        <v>0</v>
      </c>
      <c r="J80" s="21"/>
      <c r="K80" s="21"/>
      <c r="L80" s="21"/>
      <c r="M80" s="114">
        <f>SUM(M56:M58,M65,M73:M74)</f>
        <v>0</v>
      </c>
      <c r="N80" s="114">
        <f t="shared" ref="N80:Q80" si="124">SUM(N56:N58,N65,N73:N74)</f>
        <v>0</v>
      </c>
      <c r="O80" s="114">
        <f t="shared" si="124"/>
        <v>0</v>
      </c>
      <c r="P80" s="114">
        <f t="shared" si="124"/>
        <v>0</v>
      </c>
      <c r="Q80" s="114">
        <f t="shared" si="124"/>
        <v>0</v>
      </c>
      <c r="R80" s="21"/>
      <c r="S80" s="21"/>
      <c r="T80" s="21"/>
      <c r="U80" s="114">
        <f>SUM(U56:U58,U65,U73:U74)</f>
        <v>0</v>
      </c>
      <c r="V80" s="114">
        <f t="shared" ref="V80:Y80" si="125">SUM(V56:V58,V65,V73:V74)</f>
        <v>0</v>
      </c>
      <c r="W80" s="114">
        <f t="shared" si="125"/>
        <v>0</v>
      </c>
      <c r="X80" s="114">
        <f t="shared" si="125"/>
        <v>0</v>
      </c>
      <c r="Y80" s="114">
        <f t="shared" si="125"/>
        <v>0</v>
      </c>
      <c r="Z80" s="21"/>
      <c r="AA80" s="21"/>
      <c r="AB80" s="21"/>
      <c r="AC80" s="114">
        <f>SUM(AC56:AC58,AC65,AC73:AC74)</f>
        <v>0</v>
      </c>
      <c r="AD80" s="114">
        <f t="shared" ref="AD80:AG80" si="126">SUM(AD56:AD58,AD65,AD73:AD74)</f>
        <v>0</v>
      </c>
      <c r="AE80" s="114">
        <f t="shared" si="126"/>
        <v>0</v>
      </c>
      <c r="AF80" s="114">
        <f t="shared" si="126"/>
        <v>0</v>
      </c>
      <c r="AG80" s="114">
        <f t="shared" si="126"/>
        <v>0</v>
      </c>
    </row>
    <row r="81" spans="1:33" s="199" customFormat="1" outlineLevel="1">
      <c r="A81" s="123"/>
      <c r="B81" s="123" t="str">
        <f>$A$77&amp;" benefit "&amp;'Asset Info'!$F$10</f>
        <v>TOTAL benefit RSSB</v>
      </c>
      <c r="C81" s="21"/>
      <c r="D81" s="21"/>
      <c r="E81" s="114">
        <f>SUM(E59:E61,E66,E75:E76)</f>
        <v>-12500</v>
      </c>
      <c r="F81" s="114">
        <f t="shared" ref="F81:I81" si="127">SUM(F59:F61,F66,F75:F76)</f>
        <v>-16910</v>
      </c>
      <c r="G81" s="114">
        <f t="shared" si="127"/>
        <v>-18350</v>
      </c>
      <c r="H81" s="114">
        <f t="shared" si="127"/>
        <v>-22490</v>
      </c>
      <c r="I81" s="114">
        <f t="shared" si="127"/>
        <v>-26000</v>
      </c>
      <c r="J81" s="21"/>
      <c r="K81" s="21"/>
      <c r="L81" s="21"/>
      <c r="M81" s="114">
        <f>SUM(M59:M61,M66,M75:M76)</f>
        <v>-12500</v>
      </c>
      <c r="N81" s="114">
        <f t="shared" ref="N81:Q81" si="128">SUM(N59:N61,N66,N75:N76)</f>
        <v>-16910</v>
      </c>
      <c r="O81" s="114">
        <f t="shared" si="128"/>
        <v>-18350</v>
      </c>
      <c r="P81" s="114">
        <f t="shared" si="128"/>
        <v>-22490</v>
      </c>
      <c r="Q81" s="114">
        <f t="shared" si="128"/>
        <v>-26000</v>
      </c>
      <c r="R81" s="21"/>
      <c r="S81" s="21"/>
      <c r="T81" s="21"/>
      <c r="U81" s="114">
        <f>SUM(U59:U61,U66,U75:U76)</f>
        <v>-12875</v>
      </c>
      <c r="V81" s="114">
        <f t="shared" ref="V81:Y81" si="129">SUM(V59:V61,V66,V75:V76)</f>
        <v>-17505.5</v>
      </c>
      <c r="W81" s="114">
        <f t="shared" si="129"/>
        <v>-19017.5</v>
      </c>
      <c r="X81" s="114">
        <f t="shared" si="129"/>
        <v>-23364.5</v>
      </c>
      <c r="Y81" s="114">
        <f t="shared" si="129"/>
        <v>-27050</v>
      </c>
      <c r="Z81" s="21"/>
      <c r="AA81" s="21"/>
      <c r="AB81" s="21"/>
      <c r="AC81" s="114">
        <f>SUM(AC59:AC61,AC66,AC75:AC76)</f>
        <v>-12125</v>
      </c>
      <c r="AD81" s="114">
        <f t="shared" ref="AD81:AG81" si="130">SUM(AD59:AD61,AD66,AD75:AD76)</f>
        <v>-16314.5</v>
      </c>
      <c r="AE81" s="114">
        <f t="shared" si="130"/>
        <v>-17682.5</v>
      </c>
      <c r="AF81" s="114">
        <f t="shared" si="130"/>
        <v>-21615.5</v>
      </c>
      <c r="AG81" s="114">
        <f t="shared" si="130"/>
        <v>-24950</v>
      </c>
    </row>
    <row r="82" spans="1:33">
      <c r="A82" s="75"/>
      <c r="B82" s="21"/>
      <c r="C82" s="21"/>
      <c r="D82" s="21"/>
      <c r="E82" s="116"/>
      <c r="F82" s="116"/>
      <c r="G82" s="116"/>
      <c r="H82" s="116"/>
      <c r="I82" s="116"/>
      <c r="J82" s="21"/>
      <c r="K82" s="21"/>
      <c r="L82" s="21"/>
      <c r="M82" s="116"/>
      <c r="N82" s="116"/>
      <c r="O82" s="116"/>
      <c r="P82" s="116"/>
      <c r="Q82" s="116"/>
      <c r="R82" s="21"/>
      <c r="S82" s="21"/>
      <c r="T82" s="21"/>
      <c r="U82" s="116"/>
      <c r="V82" s="116"/>
      <c r="W82" s="116"/>
      <c r="X82" s="116"/>
      <c r="Y82" s="116"/>
      <c r="Z82" s="21"/>
      <c r="AA82" s="21"/>
      <c r="AB82" s="21"/>
      <c r="AC82" s="116"/>
      <c r="AD82" s="116"/>
      <c r="AE82" s="116"/>
      <c r="AF82" s="116"/>
      <c r="AG82" s="116"/>
    </row>
    <row r="83" spans="1:33">
      <c r="A83" s="75"/>
      <c r="B83" s="21"/>
      <c r="C83" s="21"/>
      <c r="D83" s="21"/>
      <c r="E83" s="110" t="s">
        <v>180</v>
      </c>
      <c r="F83" s="118"/>
      <c r="G83" s="118"/>
      <c r="H83" s="118"/>
      <c r="I83" s="118"/>
      <c r="J83" s="21"/>
      <c r="K83" s="21"/>
      <c r="L83" s="21"/>
      <c r="M83" s="110" t="s">
        <v>212</v>
      </c>
      <c r="N83" s="118"/>
      <c r="O83" s="118"/>
      <c r="P83" s="118"/>
      <c r="Q83" s="118"/>
      <c r="R83" s="21"/>
      <c r="S83" s="21"/>
      <c r="T83" s="21"/>
      <c r="U83" s="110" t="s">
        <v>180</v>
      </c>
      <c r="V83" s="118"/>
      <c r="W83" s="118"/>
      <c r="X83" s="118"/>
      <c r="Y83" s="118"/>
      <c r="Z83" s="21"/>
      <c r="AA83" s="21"/>
      <c r="AB83" s="21"/>
      <c r="AC83" s="110" t="s">
        <v>180</v>
      </c>
      <c r="AD83" s="118"/>
      <c r="AE83" s="118"/>
      <c r="AF83" s="118"/>
      <c r="AG83" s="118"/>
    </row>
    <row r="84" spans="1:33">
      <c r="A84" s="122" t="s">
        <v>29</v>
      </c>
      <c r="B84" s="21"/>
      <c r="C84" s="21"/>
      <c r="D84" s="21"/>
      <c r="E84" s="116">
        <f>E77</f>
        <v>4217.7799999999988</v>
      </c>
      <c r="F84" s="116">
        <f>F77-E77</f>
        <v>189830.66800000001</v>
      </c>
      <c r="G84" s="116">
        <f>G77-F77</f>
        <v>106230.66800000003</v>
      </c>
      <c r="H84" s="116">
        <f>H77-G77</f>
        <v>225792.00399999996</v>
      </c>
      <c r="I84" s="116">
        <f>I77-H77</f>
        <v>455800.00000000012</v>
      </c>
      <c r="J84" s="21"/>
      <c r="K84" s="21"/>
      <c r="L84" s="21"/>
      <c r="M84" s="116">
        <f>M77</f>
        <v>33435.56</v>
      </c>
      <c r="N84" s="116">
        <f>N77-M77</f>
        <v>394361.33600000001</v>
      </c>
      <c r="O84" s="116">
        <f>O77-N77</f>
        <v>217261.33600000007</v>
      </c>
      <c r="P84" s="116">
        <f>P77-O77</f>
        <v>465384.00799999991</v>
      </c>
      <c r="Q84" s="116">
        <f>Q77-P77</f>
        <v>923300.00000000023</v>
      </c>
      <c r="R84" s="21"/>
      <c r="S84" s="21"/>
      <c r="T84" s="21"/>
      <c r="U84" s="116">
        <f>U77</f>
        <v>36463.661881250067</v>
      </c>
      <c r="V84" s="116">
        <f>V77-U77</f>
        <v>453757.65797249973</v>
      </c>
      <c r="W84" s="116">
        <f>W77-V77</f>
        <v>248220.15797250019</v>
      </c>
      <c r="X84" s="116">
        <f>X77-W77</f>
        <v>529357.97391750012</v>
      </c>
      <c r="Y84" s="116">
        <f>Y77-X77</f>
        <v>1067377.4999999998</v>
      </c>
      <c r="Z84" s="21"/>
      <c r="AA84" s="21"/>
      <c r="AB84" s="21"/>
      <c r="AC84" s="116">
        <f>AC77</f>
        <v>30296.148443750004</v>
      </c>
      <c r="AD84" s="116">
        <f>AD77-AC77</f>
        <v>338628.18547249999</v>
      </c>
      <c r="AE84" s="116">
        <f>AE77-AD77</f>
        <v>188100.68547249999</v>
      </c>
      <c r="AF84" s="116">
        <f>AF77-AE77</f>
        <v>404939.5564174999</v>
      </c>
      <c r="AG84" s="116">
        <f>AG77-AF77</f>
        <v>788547.5</v>
      </c>
    </row>
    <row r="85" spans="1:33" outlineLevel="1">
      <c r="A85" s="123" t="str">
        <f>$A$84&amp;" "&amp;'Asset Info'!$C$10</f>
        <v>TOTAL Crossrail</v>
      </c>
      <c r="B85" s="21"/>
      <c r="C85" s="21"/>
      <c r="D85" s="21"/>
      <c r="E85" s="116">
        <f t="shared" ref="E85:E88" si="131">E78</f>
        <v>3500</v>
      </c>
      <c r="F85" s="116">
        <f t="shared" ref="F85:I85" si="132">F78-E78</f>
        <v>2100</v>
      </c>
      <c r="G85" s="116">
        <f t="shared" si="132"/>
        <v>2100</v>
      </c>
      <c r="H85" s="116">
        <f t="shared" si="132"/>
        <v>6300</v>
      </c>
      <c r="I85" s="116">
        <f t="shared" si="132"/>
        <v>0</v>
      </c>
      <c r="J85" s="21"/>
      <c r="K85" s="21"/>
      <c r="L85" s="21"/>
      <c r="M85" s="116">
        <f t="shared" ref="M85:M88" si="133">M78</f>
        <v>3500</v>
      </c>
      <c r="N85" s="116">
        <f t="shared" ref="N85:Q85" si="134">N78-M78</f>
        <v>2100</v>
      </c>
      <c r="O85" s="116">
        <f t="shared" si="134"/>
        <v>2100</v>
      </c>
      <c r="P85" s="116">
        <f t="shared" si="134"/>
        <v>6300</v>
      </c>
      <c r="Q85" s="116">
        <f t="shared" si="134"/>
        <v>0</v>
      </c>
      <c r="R85" s="21"/>
      <c r="S85" s="21"/>
      <c r="T85" s="21"/>
      <c r="U85" s="116">
        <f t="shared" ref="U85:U88" si="135">U78</f>
        <v>3830.3634375000001</v>
      </c>
      <c r="V85" s="116">
        <f t="shared" ref="V85:Y85" si="136">V78-U78</f>
        <v>2297.6789062499911</v>
      </c>
      <c r="W85" s="116">
        <f t="shared" si="136"/>
        <v>2297.6789062500075</v>
      </c>
      <c r="X85" s="116">
        <f t="shared" si="136"/>
        <v>6893.0367187499942</v>
      </c>
      <c r="Y85" s="116">
        <f t="shared" si="136"/>
        <v>0</v>
      </c>
      <c r="Z85" s="21"/>
      <c r="AA85" s="21"/>
      <c r="AB85" s="21"/>
      <c r="AC85" s="116">
        <f t="shared" ref="AC85:AC88" si="137">AC78</f>
        <v>3167.7937499999998</v>
      </c>
      <c r="AD85" s="116">
        <f t="shared" ref="AD85:AG85" si="138">AD78-AC78</f>
        <v>1901.1726562500016</v>
      </c>
      <c r="AE85" s="116">
        <f t="shared" si="138"/>
        <v>1901.1726562500016</v>
      </c>
      <c r="AF85" s="116">
        <f t="shared" si="138"/>
        <v>5703.5179687499976</v>
      </c>
      <c r="AG85" s="116">
        <f t="shared" si="138"/>
        <v>0</v>
      </c>
    </row>
    <row r="86" spans="1:33" outlineLevel="1">
      <c r="A86" s="123" t="str">
        <f>$A$84&amp;" "&amp;'Asset Info'!$D$10</f>
        <v>TOTAL NR Western</v>
      </c>
      <c r="E86" s="116">
        <f t="shared" si="131"/>
        <v>13217.779999999999</v>
      </c>
      <c r="F86" s="116">
        <f t="shared" ref="F86:I86" si="139">F79-E79</f>
        <v>192140.66800000001</v>
      </c>
      <c r="G86" s="116">
        <f t="shared" si="139"/>
        <v>105570.66800000003</v>
      </c>
      <c r="H86" s="116">
        <f t="shared" si="139"/>
        <v>223632.00399999996</v>
      </c>
      <c r="I86" s="116">
        <f t="shared" si="139"/>
        <v>459310</v>
      </c>
      <c r="M86" s="116">
        <f t="shared" si="133"/>
        <v>13217.779999999999</v>
      </c>
      <c r="N86" s="116">
        <f t="shared" ref="N86:Q86" si="140">N79-M79</f>
        <v>192140.66800000001</v>
      </c>
      <c r="O86" s="116">
        <f t="shared" si="140"/>
        <v>105570.66800000003</v>
      </c>
      <c r="P86" s="116">
        <f t="shared" si="140"/>
        <v>223632.00399999996</v>
      </c>
      <c r="Q86" s="116">
        <f t="shared" si="140"/>
        <v>459310</v>
      </c>
      <c r="U86" s="116">
        <f t="shared" si="135"/>
        <v>14401.916800000035</v>
      </c>
      <c r="V86" s="116">
        <f t="shared" ref="V86:Y86" si="141">V79-U79</f>
        <v>221494.1500799999</v>
      </c>
      <c r="W86" s="116">
        <f t="shared" si="141"/>
        <v>120804.40008000011</v>
      </c>
      <c r="X86" s="116">
        <f t="shared" si="141"/>
        <v>254887.95023999998</v>
      </c>
      <c r="Y86" s="116">
        <f t="shared" si="141"/>
        <v>531231.75</v>
      </c>
      <c r="AC86" s="116">
        <f t="shared" si="137"/>
        <v>11979.866800000018</v>
      </c>
      <c r="AD86" s="116">
        <f t="shared" ref="AD86:AG86" si="142">AD79-AC79</f>
        <v>164619.92007999995</v>
      </c>
      <c r="AE86" s="116">
        <f t="shared" si="142"/>
        <v>91237.170080000011</v>
      </c>
      <c r="AF86" s="116">
        <f t="shared" si="142"/>
        <v>194144.26023999997</v>
      </c>
      <c r="AG86" s="116">
        <f t="shared" si="142"/>
        <v>392050.75</v>
      </c>
    </row>
    <row r="87" spans="1:33" outlineLevel="1">
      <c r="A87" s="123" t="str">
        <f>$A$84&amp;" "&amp;'Asset Info'!$E$10</f>
        <v>TOTAL Balfour Beatty</v>
      </c>
      <c r="E87" s="116">
        <f t="shared" si="131"/>
        <v>0</v>
      </c>
      <c r="F87" s="116">
        <f t="shared" ref="F87:I87" si="143">F80-E80</f>
        <v>0</v>
      </c>
      <c r="G87" s="116">
        <f t="shared" si="143"/>
        <v>0</v>
      </c>
      <c r="H87" s="116">
        <f t="shared" si="143"/>
        <v>0</v>
      </c>
      <c r="I87" s="116">
        <f t="shared" si="143"/>
        <v>0</v>
      </c>
      <c r="M87" s="116">
        <f t="shared" si="133"/>
        <v>0</v>
      </c>
      <c r="N87" s="116">
        <f t="shared" ref="N87:Q87" si="144">N80-M80</f>
        <v>0</v>
      </c>
      <c r="O87" s="116">
        <f t="shared" si="144"/>
        <v>0</v>
      </c>
      <c r="P87" s="116">
        <f t="shared" si="144"/>
        <v>0</v>
      </c>
      <c r="Q87" s="116">
        <f t="shared" si="144"/>
        <v>0</v>
      </c>
      <c r="U87" s="116">
        <f t="shared" si="135"/>
        <v>0</v>
      </c>
      <c r="V87" s="116">
        <f t="shared" ref="V87:Y87" si="145">V80-U80</f>
        <v>0</v>
      </c>
      <c r="W87" s="116">
        <f t="shared" si="145"/>
        <v>0</v>
      </c>
      <c r="X87" s="116">
        <f t="shared" si="145"/>
        <v>0</v>
      </c>
      <c r="Y87" s="116">
        <f t="shared" si="145"/>
        <v>0</v>
      </c>
      <c r="AC87" s="116">
        <f t="shared" si="137"/>
        <v>0</v>
      </c>
      <c r="AD87" s="116">
        <f t="shared" ref="AD87:AG87" si="146">AD80-AC80</f>
        <v>0</v>
      </c>
      <c r="AE87" s="116">
        <f t="shared" si="146"/>
        <v>0</v>
      </c>
      <c r="AF87" s="116">
        <f t="shared" si="146"/>
        <v>0</v>
      </c>
      <c r="AG87" s="116">
        <f t="shared" si="146"/>
        <v>0</v>
      </c>
    </row>
    <row r="88" spans="1:33" outlineLevel="1">
      <c r="A88" s="123" t="str">
        <f>$A$84&amp;" "&amp;'Asset Info'!$F$10</f>
        <v>TOTAL RSSB</v>
      </c>
      <c r="E88" s="116">
        <f t="shared" si="131"/>
        <v>-12500</v>
      </c>
      <c r="F88" s="116">
        <f t="shared" ref="F88:I88" si="147">F81-E81</f>
        <v>-4410</v>
      </c>
      <c r="G88" s="116">
        <f t="shared" si="147"/>
        <v>-1440</v>
      </c>
      <c r="H88" s="116">
        <f t="shared" si="147"/>
        <v>-4140</v>
      </c>
      <c r="I88" s="116">
        <f t="shared" si="147"/>
        <v>-3510</v>
      </c>
      <c r="M88" s="116">
        <f t="shared" si="133"/>
        <v>-12500</v>
      </c>
      <c r="N88" s="116">
        <f t="shared" ref="N88:Q88" si="148">N81-M81</f>
        <v>-4410</v>
      </c>
      <c r="O88" s="116">
        <f t="shared" si="148"/>
        <v>-1440</v>
      </c>
      <c r="P88" s="116">
        <f t="shared" si="148"/>
        <v>-4140</v>
      </c>
      <c r="Q88" s="116">
        <f t="shared" si="148"/>
        <v>-3510</v>
      </c>
      <c r="U88" s="116">
        <f t="shared" si="135"/>
        <v>-12875</v>
      </c>
      <c r="V88" s="116">
        <f t="shared" ref="V88:Y88" si="149">V81-U81</f>
        <v>-4630.5</v>
      </c>
      <c r="W88" s="116">
        <f t="shared" si="149"/>
        <v>-1512</v>
      </c>
      <c r="X88" s="116">
        <f t="shared" si="149"/>
        <v>-4347</v>
      </c>
      <c r="Y88" s="116">
        <f t="shared" si="149"/>
        <v>-3685.5</v>
      </c>
      <c r="AC88" s="116">
        <f t="shared" si="137"/>
        <v>-12125</v>
      </c>
      <c r="AD88" s="116">
        <f t="shared" ref="AD88:AG88" si="150">AD81-AC81</f>
        <v>-4189.5</v>
      </c>
      <c r="AE88" s="116">
        <f t="shared" si="150"/>
        <v>-1368</v>
      </c>
      <c r="AF88" s="116">
        <f t="shared" si="150"/>
        <v>-3933</v>
      </c>
      <c r="AG88" s="116">
        <f t="shared" si="150"/>
        <v>-3334.5</v>
      </c>
    </row>
  </sheetData>
  <dataConsolidate/>
  <mergeCells count="1">
    <mergeCell ref="A22:A25"/>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7" r:id="rId4" name="Button 23">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048" r:id="rId5" name="Button 24">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049" r:id="rId6" name="Button 25">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050" r:id="rId7" name="Button 26">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051" r:id="rId8" name="Button 27">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Outputs_AMCB">
    <tabColor rgb="FFCCFFFF"/>
  </sheetPr>
  <dimension ref="B1:D26"/>
  <sheetViews>
    <sheetView workbookViewId="0"/>
  </sheetViews>
  <sheetFormatPr defaultRowHeight="12.75"/>
  <cols>
    <col min="1" max="1" width="10.28515625" style="200" customWidth="1"/>
    <col min="2" max="2" width="47.42578125" style="200" customWidth="1"/>
    <col min="3" max="3" width="12.7109375" style="200" bestFit="1" customWidth="1"/>
    <col min="4" max="4" width="26.7109375" style="200" customWidth="1"/>
    <col min="5" max="256" width="9.140625" style="200"/>
    <col min="257" max="257" width="2.85546875" style="200" customWidth="1"/>
    <col min="258" max="258" width="47.42578125" style="200" customWidth="1"/>
    <col min="259" max="259" width="9.140625" style="200"/>
    <col min="260" max="260" width="26.7109375" style="200" customWidth="1"/>
    <col min="261" max="512" width="9.140625" style="200"/>
    <col min="513" max="513" width="2.85546875" style="200" customWidth="1"/>
    <col min="514" max="514" width="47.42578125" style="200" customWidth="1"/>
    <col min="515" max="515" width="9.140625" style="200"/>
    <col min="516" max="516" width="26.7109375" style="200" customWidth="1"/>
    <col min="517" max="768" width="9.140625" style="200"/>
    <col min="769" max="769" width="2.85546875" style="200" customWidth="1"/>
    <col min="770" max="770" width="47.42578125" style="200" customWidth="1"/>
    <col min="771" max="771" width="9.140625" style="200"/>
    <col min="772" max="772" width="26.7109375" style="200" customWidth="1"/>
    <col min="773" max="1024" width="9.140625" style="200"/>
    <col min="1025" max="1025" width="2.85546875" style="200" customWidth="1"/>
    <col min="1026" max="1026" width="47.42578125" style="200" customWidth="1"/>
    <col min="1027" max="1027" width="9.140625" style="200"/>
    <col min="1028" max="1028" width="26.7109375" style="200" customWidth="1"/>
    <col min="1029" max="1280" width="9.140625" style="200"/>
    <col min="1281" max="1281" width="2.85546875" style="200" customWidth="1"/>
    <col min="1282" max="1282" width="47.42578125" style="200" customWidth="1"/>
    <col min="1283" max="1283" width="9.140625" style="200"/>
    <col min="1284" max="1284" width="26.7109375" style="200" customWidth="1"/>
    <col min="1285" max="1536" width="9.140625" style="200"/>
    <col min="1537" max="1537" width="2.85546875" style="200" customWidth="1"/>
    <col min="1538" max="1538" width="47.42578125" style="200" customWidth="1"/>
    <col min="1539" max="1539" width="9.140625" style="200"/>
    <col min="1540" max="1540" width="26.7109375" style="200" customWidth="1"/>
    <col min="1541" max="1792" width="9.140625" style="200"/>
    <col min="1793" max="1793" width="2.85546875" style="200" customWidth="1"/>
    <col min="1794" max="1794" width="47.42578125" style="200" customWidth="1"/>
    <col min="1795" max="1795" width="9.140625" style="200"/>
    <col min="1796" max="1796" width="26.7109375" style="200" customWidth="1"/>
    <col min="1797" max="2048" width="9.140625" style="200"/>
    <col min="2049" max="2049" width="2.85546875" style="200" customWidth="1"/>
    <col min="2050" max="2050" width="47.42578125" style="200" customWidth="1"/>
    <col min="2051" max="2051" width="9.140625" style="200"/>
    <col min="2052" max="2052" width="26.7109375" style="200" customWidth="1"/>
    <col min="2053" max="2304" width="9.140625" style="200"/>
    <col min="2305" max="2305" width="2.85546875" style="200" customWidth="1"/>
    <col min="2306" max="2306" width="47.42578125" style="200" customWidth="1"/>
    <col min="2307" max="2307" width="9.140625" style="200"/>
    <col min="2308" max="2308" width="26.7109375" style="200" customWidth="1"/>
    <col min="2309" max="2560" width="9.140625" style="200"/>
    <col min="2561" max="2561" width="2.85546875" style="200" customWidth="1"/>
    <col min="2562" max="2562" width="47.42578125" style="200" customWidth="1"/>
    <col min="2563" max="2563" width="9.140625" style="200"/>
    <col min="2564" max="2564" width="26.7109375" style="200" customWidth="1"/>
    <col min="2565" max="2816" width="9.140625" style="200"/>
    <col min="2817" max="2817" width="2.85546875" style="200" customWidth="1"/>
    <col min="2818" max="2818" width="47.42578125" style="200" customWidth="1"/>
    <col min="2819" max="2819" width="9.140625" style="200"/>
    <col min="2820" max="2820" width="26.7109375" style="200" customWidth="1"/>
    <col min="2821" max="3072" width="9.140625" style="200"/>
    <col min="3073" max="3073" width="2.85546875" style="200" customWidth="1"/>
    <col min="3074" max="3074" width="47.42578125" style="200" customWidth="1"/>
    <col min="3075" max="3075" width="9.140625" style="200"/>
    <col min="3076" max="3076" width="26.7109375" style="200" customWidth="1"/>
    <col min="3077" max="3328" width="9.140625" style="200"/>
    <col min="3329" max="3329" width="2.85546875" style="200" customWidth="1"/>
    <col min="3330" max="3330" width="47.42578125" style="200" customWidth="1"/>
    <col min="3331" max="3331" width="9.140625" style="200"/>
    <col min="3332" max="3332" width="26.7109375" style="200" customWidth="1"/>
    <col min="3333" max="3584" width="9.140625" style="200"/>
    <col min="3585" max="3585" width="2.85546875" style="200" customWidth="1"/>
    <col min="3586" max="3586" width="47.42578125" style="200" customWidth="1"/>
    <col min="3587" max="3587" width="9.140625" style="200"/>
    <col min="3588" max="3588" width="26.7109375" style="200" customWidth="1"/>
    <col min="3589" max="3840" width="9.140625" style="200"/>
    <col min="3841" max="3841" width="2.85546875" style="200" customWidth="1"/>
    <col min="3842" max="3842" width="47.42578125" style="200" customWidth="1"/>
    <col min="3843" max="3843" width="9.140625" style="200"/>
    <col min="3844" max="3844" width="26.7109375" style="200" customWidth="1"/>
    <col min="3845" max="4096" width="9.140625" style="200"/>
    <col min="4097" max="4097" width="2.85546875" style="200" customWidth="1"/>
    <col min="4098" max="4098" width="47.42578125" style="200" customWidth="1"/>
    <col min="4099" max="4099" width="9.140625" style="200"/>
    <col min="4100" max="4100" width="26.7109375" style="200" customWidth="1"/>
    <col min="4101" max="4352" width="9.140625" style="200"/>
    <col min="4353" max="4353" width="2.85546875" style="200" customWidth="1"/>
    <col min="4354" max="4354" width="47.42578125" style="200" customWidth="1"/>
    <col min="4355" max="4355" width="9.140625" style="200"/>
    <col min="4356" max="4356" width="26.7109375" style="200" customWidth="1"/>
    <col min="4357" max="4608" width="9.140625" style="200"/>
    <col min="4609" max="4609" width="2.85546875" style="200" customWidth="1"/>
    <col min="4610" max="4610" width="47.42578125" style="200" customWidth="1"/>
    <col min="4611" max="4611" width="9.140625" style="200"/>
    <col min="4612" max="4612" width="26.7109375" style="200" customWidth="1"/>
    <col min="4613" max="4864" width="9.140625" style="200"/>
    <col min="4865" max="4865" width="2.85546875" style="200" customWidth="1"/>
    <col min="4866" max="4866" width="47.42578125" style="200" customWidth="1"/>
    <col min="4867" max="4867" width="9.140625" style="200"/>
    <col min="4868" max="4868" width="26.7109375" style="200" customWidth="1"/>
    <col min="4869" max="5120" width="9.140625" style="200"/>
    <col min="5121" max="5121" width="2.85546875" style="200" customWidth="1"/>
    <col min="5122" max="5122" width="47.42578125" style="200" customWidth="1"/>
    <col min="5123" max="5123" width="9.140625" style="200"/>
    <col min="5124" max="5124" width="26.7109375" style="200" customWidth="1"/>
    <col min="5125" max="5376" width="9.140625" style="200"/>
    <col min="5377" max="5377" width="2.85546875" style="200" customWidth="1"/>
    <col min="5378" max="5378" width="47.42578125" style="200" customWidth="1"/>
    <col min="5379" max="5379" width="9.140625" style="200"/>
    <col min="5380" max="5380" width="26.7109375" style="200" customWidth="1"/>
    <col min="5381" max="5632" width="9.140625" style="200"/>
    <col min="5633" max="5633" width="2.85546875" style="200" customWidth="1"/>
    <col min="5634" max="5634" width="47.42578125" style="200" customWidth="1"/>
    <col min="5635" max="5635" width="9.140625" style="200"/>
    <col min="5636" max="5636" width="26.7109375" style="200" customWidth="1"/>
    <col min="5637" max="5888" width="9.140625" style="200"/>
    <col min="5889" max="5889" width="2.85546875" style="200" customWidth="1"/>
    <col min="5890" max="5890" width="47.42578125" style="200" customWidth="1"/>
    <col min="5891" max="5891" width="9.140625" style="200"/>
    <col min="5892" max="5892" width="26.7109375" style="200" customWidth="1"/>
    <col min="5893" max="6144" width="9.140625" style="200"/>
    <col min="6145" max="6145" width="2.85546875" style="200" customWidth="1"/>
    <col min="6146" max="6146" width="47.42578125" style="200" customWidth="1"/>
    <col min="6147" max="6147" width="9.140625" style="200"/>
    <col min="6148" max="6148" width="26.7109375" style="200" customWidth="1"/>
    <col min="6149" max="6400" width="9.140625" style="200"/>
    <col min="6401" max="6401" width="2.85546875" style="200" customWidth="1"/>
    <col min="6402" max="6402" width="47.42578125" style="200" customWidth="1"/>
    <col min="6403" max="6403" width="9.140625" style="200"/>
    <col min="6404" max="6404" width="26.7109375" style="200" customWidth="1"/>
    <col min="6405" max="6656" width="9.140625" style="200"/>
    <col min="6657" max="6657" width="2.85546875" style="200" customWidth="1"/>
    <col min="6658" max="6658" width="47.42578125" style="200" customWidth="1"/>
    <col min="6659" max="6659" width="9.140625" style="200"/>
    <col min="6660" max="6660" width="26.7109375" style="200" customWidth="1"/>
    <col min="6661" max="6912" width="9.140625" style="200"/>
    <col min="6913" max="6913" width="2.85546875" style="200" customWidth="1"/>
    <col min="6914" max="6914" width="47.42578125" style="200" customWidth="1"/>
    <col min="6915" max="6915" width="9.140625" style="200"/>
    <col min="6916" max="6916" width="26.7109375" style="200" customWidth="1"/>
    <col min="6917" max="7168" width="9.140625" style="200"/>
    <col min="7169" max="7169" width="2.85546875" style="200" customWidth="1"/>
    <col min="7170" max="7170" width="47.42578125" style="200" customWidth="1"/>
    <col min="7171" max="7171" width="9.140625" style="200"/>
    <col min="7172" max="7172" width="26.7109375" style="200" customWidth="1"/>
    <col min="7173" max="7424" width="9.140625" style="200"/>
    <col min="7425" max="7425" width="2.85546875" style="200" customWidth="1"/>
    <col min="7426" max="7426" width="47.42578125" style="200" customWidth="1"/>
    <col min="7427" max="7427" width="9.140625" style="200"/>
    <col min="7428" max="7428" width="26.7109375" style="200" customWidth="1"/>
    <col min="7429" max="7680" width="9.140625" style="200"/>
    <col min="7681" max="7681" width="2.85546875" style="200" customWidth="1"/>
    <col min="7682" max="7682" width="47.42578125" style="200" customWidth="1"/>
    <col min="7683" max="7683" width="9.140625" style="200"/>
    <col min="7684" max="7684" width="26.7109375" style="200" customWidth="1"/>
    <col min="7685" max="7936" width="9.140625" style="200"/>
    <col min="7937" max="7937" width="2.85546875" style="200" customWidth="1"/>
    <col min="7938" max="7938" width="47.42578125" style="200" customWidth="1"/>
    <col min="7939" max="7939" width="9.140625" style="200"/>
    <col min="7940" max="7940" width="26.7109375" style="200" customWidth="1"/>
    <col min="7941" max="8192" width="9.140625" style="200"/>
    <col min="8193" max="8193" width="2.85546875" style="200" customWidth="1"/>
    <col min="8194" max="8194" width="47.42578125" style="200" customWidth="1"/>
    <col min="8195" max="8195" width="9.140625" style="200"/>
    <col min="8196" max="8196" width="26.7109375" style="200" customWidth="1"/>
    <col min="8197" max="8448" width="9.140625" style="200"/>
    <col min="8449" max="8449" width="2.85546875" style="200" customWidth="1"/>
    <col min="8450" max="8450" width="47.42578125" style="200" customWidth="1"/>
    <col min="8451" max="8451" width="9.140625" style="200"/>
    <col min="8452" max="8452" width="26.7109375" style="200" customWidth="1"/>
    <col min="8453" max="8704" width="9.140625" style="200"/>
    <col min="8705" max="8705" width="2.85546875" style="200" customWidth="1"/>
    <col min="8706" max="8706" width="47.42578125" style="200" customWidth="1"/>
    <col min="8707" max="8707" width="9.140625" style="200"/>
    <col min="8708" max="8708" width="26.7109375" style="200" customWidth="1"/>
    <col min="8709" max="8960" width="9.140625" style="200"/>
    <col min="8961" max="8961" width="2.85546875" style="200" customWidth="1"/>
    <col min="8962" max="8962" width="47.42578125" style="200" customWidth="1"/>
    <col min="8963" max="8963" width="9.140625" style="200"/>
    <col min="8964" max="8964" width="26.7109375" style="200" customWidth="1"/>
    <col min="8965" max="9216" width="9.140625" style="200"/>
    <col min="9217" max="9217" width="2.85546875" style="200" customWidth="1"/>
    <col min="9218" max="9218" width="47.42578125" style="200" customWidth="1"/>
    <col min="9219" max="9219" width="9.140625" style="200"/>
    <col min="9220" max="9220" width="26.7109375" style="200" customWidth="1"/>
    <col min="9221" max="9472" width="9.140625" style="200"/>
    <col min="9473" max="9473" width="2.85546875" style="200" customWidth="1"/>
    <col min="9474" max="9474" width="47.42578125" style="200" customWidth="1"/>
    <col min="9475" max="9475" width="9.140625" style="200"/>
    <col min="9476" max="9476" width="26.7109375" style="200" customWidth="1"/>
    <col min="9477" max="9728" width="9.140625" style="200"/>
    <col min="9729" max="9729" width="2.85546875" style="200" customWidth="1"/>
    <col min="9730" max="9730" width="47.42578125" style="200" customWidth="1"/>
    <col min="9731" max="9731" width="9.140625" style="200"/>
    <col min="9732" max="9732" width="26.7109375" style="200" customWidth="1"/>
    <col min="9733" max="9984" width="9.140625" style="200"/>
    <col min="9985" max="9985" width="2.85546875" style="200" customWidth="1"/>
    <col min="9986" max="9986" width="47.42578125" style="200" customWidth="1"/>
    <col min="9987" max="9987" width="9.140625" style="200"/>
    <col min="9988" max="9988" width="26.7109375" style="200" customWidth="1"/>
    <col min="9989" max="10240" width="9.140625" style="200"/>
    <col min="10241" max="10241" width="2.85546875" style="200" customWidth="1"/>
    <col min="10242" max="10242" width="47.42578125" style="200" customWidth="1"/>
    <col min="10243" max="10243" width="9.140625" style="200"/>
    <col min="10244" max="10244" width="26.7109375" style="200" customWidth="1"/>
    <col min="10245" max="10496" width="9.140625" style="200"/>
    <col min="10497" max="10497" width="2.85546875" style="200" customWidth="1"/>
    <col min="10498" max="10498" width="47.42578125" style="200" customWidth="1"/>
    <col min="10499" max="10499" width="9.140625" style="200"/>
    <col min="10500" max="10500" width="26.7109375" style="200" customWidth="1"/>
    <col min="10501" max="10752" width="9.140625" style="200"/>
    <col min="10753" max="10753" width="2.85546875" style="200" customWidth="1"/>
    <col min="10754" max="10754" width="47.42578125" style="200" customWidth="1"/>
    <col min="10755" max="10755" width="9.140625" style="200"/>
    <col min="10756" max="10756" width="26.7109375" style="200" customWidth="1"/>
    <col min="10757" max="11008" width="9.140625" style="200"/>
    <col min="11009" max="11009" width="2.85546875" style="200" customWidth="1"/>
    <col min="11010" max="11010" width="47.42578125" style="200" customWidth="1"/>
    <col min="11011" max="11011" width="9.140625" style="200"/>
    <col min="11012" max="11012" width="26.7109375" style="200" customWidth="1"/>
    <col min="11013" max="11264" width="9.140625" style="200"/>
    <col min="11265" max="11265" width="2.85546875" style="200" customWidth="1"/>
    <col min="11266" max="11266" width="47.42578125" style="200" customWidth="1"/>
    <col min="11267" max="11267" width="9.140625" style="200"/>
    <col min="11268" max="11268" width="26.7109375" style="200" customWidth="1"/>
    <col min="11269" max="11520" width="9.140625" style="200"/>
    <col min="11521" max="11521" width="2.85546875" style="200" customWidth="1"/>
    <col min="11522" max="11522" width="47.42578125" style="200" customWidth="1"/>
    <col min="11523" max="11523" width="9.140625" style="200"/>
    <col min="11524" max="11524" width="26.7109375" style="200" customWidth="1"/>
    <col min="11525" max="11776" width="9.140625" style="200"/>
    <col min="11777" max="11777" width="2.85546875" style="200" customWidth="1"/>
    <col min="11778" max="11778" width="47.42578125" style="200" customWidth="1"/>
    <col min="11779" max="11779" width="9.140625" style="200"/>
    <col min="11780" max="11780" width="26.7109375" style="200" customWidth="1"/>
    <col min="11781" max="12032" width="9.140625" style="200"/>
    <col min="12033" max="12033" width="2.85546875" style="200" customWidth="1"/>
    <col min="12034" max="12034" width="47.42578125" style="200" customWidth="1"/>
    <col min="12035" max="12035" width="9.140625" style="200"/>
    <col min="12036" max="12036" width="26.7109375" style="200" customWidth="1"/>
    <col min="12037" max="12288" width="9.140625" style="200"/>
    <col min="12289" max="12289" width="2.85546875" style="200" customWidth="1"/>
    <col min="12290" max="12290" width="47.42578125" style="200" customWidth="1"/>
    <col min="12291" max="12291" width="9.140625" style="200"/>
    <col min="12292" max="12292" width="26.7109375" style="200" customWidth="1"/>
    <col min="12293" max="12544" width="9.140625" style="200"/>
    <col min="12545" max="12545" width="2.85546875" style="200" customWidth="1"/>
    <col min="12546" max="12546" width="47.42578125" style="200" customWidth="1"/>
    <col min="12547" max="12547" width="9.140625" style="200"/>
    <col min="12548" max="12548" width="26.7109375" style="200" customWidth="1"/>
    <col min="12549" max="12800" width="9.140625" style="200"/>
    <col min="12801" max="12801" width="2.85546875" style="200" customWidth="1"/>
    <col min="12802" max="12802" width="47.42578125" style="200" customWidth="1"/>
    <col min="12803" max="12803" width="9.140625" style="200"/>
    <col min="12804" max="12804" width="26.7109375" style="200" customWidth="1"/>
    <col min="12805" max="13056" width="9.140625" style="200"/>
    <col min="13057" max="13057" width="2.85546875" style="200" customWidth="1"/>
    <col min="13058" max="13058" width="47.42578125" style="200" customWidth="1"/>
    <col min="13059" max="13059" width="9.140625" style="200"/>
    <col min="13060" max="13060" width="26.7109375" style="200" customWidth="1"/>
    <col min="13061" max="13312" width="9.140625" style="200"/>
    <col min="13313" max="13313" width="2.85546875" style="200" customWidth="1"/>
    <col min="13314" max="13314" width="47.42578125" style="200" customWidth="1"/>
    <col min="13315" max="13315" width="9.140625" style="200"/>
    <col min="13316" max="13316" width="26.7109375" style="200" customWidth="1"/>
    <col min="13317" max="13568" width="9.140625" style="200"/>
    <col min="13569" max="13569" width="2.85546875" style="200" customWidth="1"/>
    <col min="13570" max="13570" width="47.42578125" style="200" customWidth="1"/>
    <col min="13571" max="13571" width="9.140625" style="200"/>
    <col min="13572" max="13572" width="26.7109375" style="200" customWidth="1"/>
    <col min="13573" max="13824" width="9.140625" style="200"/>
    <col min="13825" max="13825" width="2.85546875" style="200" customWidth="1"/>
    <col min="13826" max="13826" width="47.42578125" style="200" customWidth="1"/>
    <col min="13827" max="13827" width="9.140625" style="200"/>
    <col min="13828" max="13828" width="26.7109375" style="200" customWidth="1"/>
    <col min="13829" max="14080" width="9.140625" style="200"/>
    <col min="14081" max="14081" width="2.85546875" style="200" customWidth="1"/>
    <col min="14082" max="14082" width="47.42578125" style="200" customWidth="1"/>
    <col min="14083" max="14083" width="9.140625" style="200"/>
    <col min="14084" max="14084" width="26.7109375" style="200" customWidth="1"/>
    <col min="14085" max="14336" width="9.140625" style="200"/>
    <col min="14337" max="14337" width="2.85546875" style="200" customWidth="1"/>
    <col min="14338" max="14338" width="47.42578125" style="200" customWidth="1"/>
    <col min="14339" max="14339" width="9.140625" style="200"/>
    <col min="14340" max="14340" width="26.7109375" style="200" customWidth="1"/>
    <col min="14341" max="14592" width="9.140625" style="200"/>
    <col min="14593" max="14593" width="2.85546875" style="200" customWidth="1"/>
    <col min="14594" max="14594" width="47.42578125" style="200" customWidth="1"/>
    <col min="14595" max="14595" width="9.140625" style="200"/>
    <col min="14596" max="14596" width="26.7109375" style="200" customWidth="1"/>
    <col min="14597" max="14848" width="9.140625" style="200"/>
    <col min="14849" max="14849" width="2.85546875" style="200" customWidth="1"/>
    <col min="14850" max="14850" width="47.42578125" style="200" customWidth="1"/>
    <col min="14851" max="14851" width="9.140625" style="200"/>
    <col min="14852" max="14852" width="26.7109375" style="200" customWidth="1"/>
    <col min="14853" max="15104" width="9.140625" style="200"/>
    <col min="15105" max="15105" width="2.85546875" style="200" customWidth="1"/>
    <col min="15106" max="15106" width="47.42578125" style="200" customWidth="1"/>
    <col min="15107" max="15107" width="9.140625" style="200"/>
    <col min="15108" max="15108" width="26.7109375" style="200" customWidth="1"/>
    <col min="15109" max="15360" width="9.140625" style="200"/>
    <col min="15361" max="15361" width="2.85546875" style="200" customWidth="1"/>
    <col min="15362" max="15362" width="47.42578125" style="200" customWidth="1"/>
    <col min="15363" max="15363" width="9.140625" style="200"/>
    <col min="15364" max="15364" width="26.7109375" style="200" customWidth="1"/>
    <col min="15365" max="15616" width="9.140625" style="200"/>
    <col min="15617" max="15617" width="2.85546875" style="200" customWidth="1"/>
    <col min="15618" max="15618" width="47.42578125" style="200" customWidth="1"/>
    <col min="15619" max="15619" width="9.140625" style="200"/>
    <col min="15620" max="15620" width="26.7109375" style="200" customWidth="1"/>
    <col min="15621" max="15872" width="9.140625" style="200"/>
    <col min="15873" max="15873" width="2.85546875" style="200" customWidth="1"/>
    <col min="15874" max="15874" width="47.42578125" style="200" customWidth="1"/>
    <col min="15875" max="15875" width="9.140625" style="200"/>
    <col min="15876" max="15876" width="26.7109375" style="200" customWidth="1"/>
    <col min="15877" max="16128" width="9.140625" style="200"/>
    <col min="16129" max="16129" width="2.85546875" style="200" customWidth="1"/>
    <col min="16130" max="16130" width="47.42578125" style="200" customWidth="1"/>
    <col min="16131" max="16131" width="9.140625" style="200"/>
    <col min="16132" max="16132" width="26.7109375" style="200" customWidth="1"/>
    <col min="16133" max="16384" width="9.140625" style="200"/>
  </cols>
  <sheetData>
    <row r="1" spans="2:4">
      <c r="B1" s="200" t="s">
        <v>284</v>
      </c>
      <c r="C1" s="255" t="s">
        <v>117</v>
      </c>
    </row>
    <row r="3" spans="2:4" ht="16.5" thickBot="1">
      <c r="B3" s="319" t="s">
        <v>234</v>
      </c>
      <c r="C3" s="319"/>
      <c r="D3" s="319"/>
    </row>
    <row r="4" spans="2:4">
      <c r="B4" s="201"/>
      <c r="C4" s="202"/>
      <c r="D4" s="203"/>
    </row>
    <row r="5" spans="2:4">
      <c r="B5" s="204" t="s">
        <v>235</v>
      </c>
      <c r="C5" s="205"/>
      <c r="D5" s="206" t="s">
        <v>236</v>
      </c>
    </row>
    <row r="6" spans="2:4">
      <c r="B6" s="204" t="s">
        <v>237</v>
      </c>
      <c r="C6" s="207"/>
      <c r="D6" s="206" t="s">
        <v>238</v>
      </c>
    </row>
    <row r="7" spans="2:4">
      <c r="B7" s="204" t="s">
        <v>239</v>
      </c>
      <c r="C7" s="208"/>
      <c r="D7" s="206" t="s">
        <v>240</v>
      </c>
    </row>
    <row r="8" spans="2:4">
      <c r="B8" s="209" t="s">
        <v>241</v>
      </c>
      <c r="C8" s="208"/>
      <c r="D8" s="206" t="s">
        <v>242</v>
      </c>
    </row>
    <row r="9" spans="2:4">
      <c r="B9" s="204" t="s">
        <v>243</v>
      </c>
      <c r="C9" s="205"/>
      <c r="D9" s="206" t="s">
        <v>244</v>
      </c>
    </row>
    <row r="10" spans="2:4">
      <c r="B10" s="204" t="s">
        <v>245</v>
      </c>
      <c r="C10" s="205"/>
      <c r="D10" s="206" t="s">
        <v>246</v>
      </c>
    </row>
    <row r="11" spans="2:4">
      <c r="B11" s="204" t="s">
        <v>247</v>
      </c>
      <c r="C11" s="207"/>
      <c r="D11" s="210" t="s">
        <v>248</v>
      </c>
    </row>
    <row r="12" spans="2:4">
      <c r="B12" s="209" t="s">
        <v>249</v>
      </c>
      <c r="C12" s="211"/>
      <c r="D12" s="210" t="s">
        <v>250</v>
      </c>
    </row>
    <row r="13" spans="2:4">
      <c r="B13" s="209" t="s">
        <v>251</v>
      </c>
      <c r="C13" s="208"/>
      <c r="D13" s="206" t="s">
        <v>252</v>
      </c>
    </row>
    <row r="14" spans="2:4" ht="38.25">
      <c r="B14" s="209" t="s">
        <v>253</v>
      </c>
      <c r="C14" s="208"/>
      <c r="D14" s="206" t="s">
        <v>254</v>
      </c>
    </row>
    <row r="15" spans="2:4">
      <c r="B15" s="204"/>
      <c r="C15" s="212"/>
      <c r="D15" s="213"/>
    </row>
    <row r="16" spans="2:4" ht="38.25">
      <c r="B16" s="209" t="s">
        <v>255</v>
      </c>
      <c r="C16" s="253">
        <f ca="1">IF($C$1='Annual WLC by Maturity Level '!$E$9,'SD-CF'!$B$64,IF($C$1='Annual WLC by Maturity Level '!$F$9,'HA1-CF'!$B$64,IF($C$1='Annual WLC by Maturity Level '!$G$9,'HA2-CF'!$B$64,IF($C$1='Annual WLC by Maturity Level '!$H$9,'PA-CF'!$B$64,IF($C$1='Annual WLC by Maturity Level '!$I$9,'AG-CF'!$B$64,"N/A")))))</f>
        <v>1343917.4921270099</v>
      </c>
      <c r="D16" s="214" t="s">
        <v>256</v>
      </c>
    </row>
    <row r="17" spans="2:4">
      <c r="B17" s="204"/>
      <c r="C17" s="212"/>
      <c r="D17" s="213"/>
    </row>
    <row r="18" spans="2:4">
      <c r="B18" s="204" t="s">
        <v>257</v>
      </c>
      <c r="C18" s="215"/>
      <c r="D18" s="216" t="s">
        <v>258</v>
      </c>
    </row>
    <row r="19" spans="2:4">
      <c r="B19" s="204"/>
      <c r="C19" s="212"/>
      <c r="D19" s="213"/>
    </row>
    <row r="20" spans="2:4">
      <c r="B20" s="204" t="s">
        <v>259</v>
      </c>
      <c r="C20" s="253">
        <f ca="1">-IF($C$1='Annual WLC by Maturity Level '!$E$9,'SD-CF'!$B$63,IF($C$1='Annual WLC by Maturity Level '!$F$9,'HA1-CF'!$B$63,IF($C$1='Annual WLC by Maturity Level '!$G$9,'HA2-CF'!$B$63,IF($C$1='Annual WLC by Maturity Level '!$H$9,'PA-CF'!$B$63,IF($C$1='Annual WLC by Maturity Level '!$I$9,'AG-CF'!$B$63,"N/A")))))</f>
        <v>113785.03356861636</v>
      </c>
      <c r="D20" s="217" t="s">
        <v>260</v>
      </c>
    </row>
    <row r="21" spans="2:4">
      <c r="B21" s="204"/>
      <c r="C21" s="211"/>
      <c r="D21" s="213"/>
    </row>
    <row r="22" spans="2:4">
      <c r="B22" s="204" t="s">
        <v>261</v>
      </c>
      <c r="C22" s="218"/>
      <c r="D22" s="213"/>
    </row>
    <row r="23" spans="2:4">
      <c r="B23" s="219" t="s">
        <v>262</v>
      </c>
      <c r="C23" s="253">
        <f ca="1">IF($C$1='Annual WLC by Maturity Level '!$E$9,'SD-CF'!$B$65,IF($C$1='Annual WLC by Maturity Level '!$F$9,'HA1-CF'!$B$65,IF($C$1='Annual WLC by Maturity Level '!$G$9,'HA2-CF'!$B$65,IF($C$1='Annual WLC by Maturity Level '!$H$9,'PA-CF'!$B$65,IF($C$1='Annual WLC by Maturity Level '!$I$9,'AG-CF'!$B$65,"N/A")))))</f>
        <v>1230132.4585583936</v>
      </c>
      <c r="D23" s="213" t="s">
        <v>263</v>
      </c>
    </row>
    <row r="24" spans="2:4">
      <c r="B24" s="219" t="s">
        <v>264</v>
      </c>
      <c r="C24" s="254">
        <f ca="1">IF(C20=0,"N/A",IF($C$1='Annual WLC by Maturity Level '!$E$9,'SD-CF'!$B$66+1,IF($C$1='Annual WLC by Maturity Level '!$F$9,'HA1-CF'!$B$66+1,IF($C$1='Annual WLC by Maturity Level '!$G$9,'HA2-CF'!$B$66+1,IF($C$1='Annual WLC by Maturity Level '!$H$9,'PA-CF'!$B$66+1,IF($C$1='Annual WLC by Maturity Level '!$I$9,'AG-CF'!$B$66+1,"N/A"))))))</f>
        <v>11.811021625410698</v>
      </c>
      <c r="D24" s="220" t="s">
        <v>265</v>
      </c>
    </row>
    <row r="25" spans="2:4">
      <c r="B25" s="204"/>
      <c r="C25" s="211"/>
      <c r="D25" s="213"/>
    </row>
    <row r="26" spans="2:4" ht="69" customHeight="1" thickBot="1">
      <c r="B26" s="320" t="s">
        <v>266</v>
      </c>
      <c r="C26" s="321"/>
      <c r="D26" s="322"/>
    </row>
  </sheetData>
  <mergeCells count="2">
    <mergeCell ref="B3:D3"/>
    <mergeCell ref="B26:D26"/>
  </mergeCells>
  <phoneticPr fontId="48"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71682" r:id="rId5" name="Button 2">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71683" r:id="rId6" name="Button 3">
              <controlPr locked="0" defaultSize="0" print="0" autoFill="0" autoPict="0" macro="[0]!PrevSheet">
                <anchor>
                  <from>
                    <xdr:col>0</xdr:col>
                    <xdr:colOff>28575</xdr:colOff>
                    <xdr:row>2</xdr:row>
                    <xdr:rowOff>152400</xdr:rowOff>
                  </from>
                  <to>
                    <xdr:col>0</xdr:col>
                    <xdr:colOff>228600</xdr:colOff>
                    <xdr:row>3</xdr:row>
                    <xdr:rowOff>104775</xdr:rowOff>
                  </to>
                </anchor>
              </controlPr>
            </control>
          </mc:Choice>
        </mc:AlternateContent>
        <mc:AlternateContent xmlns:mc="http://schemas.openxmlformats.org/markup-compatibility/2006">
          <mc:Choice Requires="x14">
            <control shapeId="71684" r:id="rId7" name="Button 4">
              <controlPr locked="0" defaultSize="0" print="0" autoFill="0" autoPict="0" macro="[0]!NextSheet">
                <anchor>
                  <from>
                    <xdr:col>0</xdr:col>
                    <xdr:colOff>457200</xdr:colOff>
                    <xdr:row>2</xdr:row>
                    <xdr:rowOff>152400</xdr:rowOff>
                  </from>
                  <to>
                    <xdr:col>0</xdr:col>
                    <xdr:colOff>657225</xdr:colOff>
                    <xdr:row>3</xdr:row>
                    <xdr:rowOff>104775</xdr:rowOff>
                  </to>
                </anchor>
              </controlPr>
            </control>
          </mc:Choice>
        </mc:AlternateContent>
        <mc:AlternateContent xmlns:mc="http://schemas.openxmlformats.org/markup-compatibility/2006">
          <mc:Choice Requires="x14">
            <control shapeId="71685" r:id="rId8" name="Button 5">
              <controlPr locked="0" defaultSize="0" print="0" autoFill="0" autoPict="0" macro="[0]!HideActiveSheet">
                <anchor>
                  <from>
                    <xdr:col>0</xdr:col>
                    <xdr:colOff>247650</xdr:colOff>
                    <xdr:row>2</xdr:row>
                    <xdr:rowOff>152400</xdr:rowOff>
                  </from>
                  <to>
                    <xdr:col>0</xdr:col>
                    <xdr:colOff>438150</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'Annual WLC by Maturity Level '!$E$9:$I$9</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_Sensitivity">
    <tabColor indexed="57"/>
  </sheetPr>
  <dimension ref="A2:C8"/>
  <sheetViews>
    <sheetView workbookViewId="0"/>
  </sheetViews>
  <sheetFormatPr defaultColWidth="9.140625" defaultRowHeight="12.75"/>
  <cols>
    <col min="1" max="1" width="26.85546875" style="191" bestFit="1" customWidth="1"/>
    <col min="2" max="16384" width="9.140625" style="191"/>
  </cols>
  <sheetData>
    <row r="2" spans="1:3">
      <c r="A2" s="301"/>
      <c r="B2" s="302" t="s">
        <v>295</v>
      </c>
      <c r="C2" s="302" t="s">
        <v>296</v>
      </c>
    </row>
    <row r="3" spans="1:3">
      <c r="A3" s="302" t="s">
        <v>291</v>
      </c>
      <c r="B3" s="303">
        <v>0.1</v>
      </c>
      <c r="C3" s="303">
        <v>-0.1</v>
      </c>
    </row>
    <row r="4" spans="1:3">
      <c r="A4" s="302" t="s">
        <v>202</v>
      </c>
      <c r="B4" s="303">
        <v>0.05</v>
      </c>
      <c r="C4" s="303">
        <v>-0.05</v>
      </c>
    </row>
    <row r="5" spans="1:3">
      <c r="A5" s="302" t="s">
        <v>292</v>
      </c>
      <c r="B5" s="303">
        <v>0.05</v>
      </c>
      <c r="C5" s="303">
        <v>-0.05</v>
      </c>
    </row>
    <row r="6" spans="1:3">
      <c r="A6" s="302" t="s">
        <v>293</v>
      </c>
      <c r="B6" s="303">
        <v>0.05</v>
      </c>
      <c r="C6" s="303">
        <v>-0.05</v>
      </c>
    </row>
    <row r="7" spans="1:3">
      <c r="A7" s="302" t="s">
        <v>297</v>
      </c>
      <c r="B7" s="303">
        <v>0.05</v>
      </c>
      <c r="C7" s="303">
        <v>-0.05</v>
      </c>
    </row>
    <row r="8" spans="1:3">
      <c r="A8" s="302" t="s">
        <v>294</v>
      </c>
      <c r="B8" s="303">
        <v>0.05</v>
      </c>
      <c r="C8" s="303">
        <v>-0.05</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Financial">
    <tabColor indexed="57"/>
  </sheetPr>
  <dimension ref="A1:AB22"/>
  <sheetViews>
    <sheetView workbookViewId="0">
      <selection activeCell="C22" sqref="C22"/>
    </sheetView>
  </sheetViews>
  <sheetFormatPr defaultColWidth="9.140625" defaultRowHeight="12.75"/>
  <cols>
    <col min="1" max="1" width="28.7109375" style="1" bestFit="1" customWidth="1"/>
    <col min="2" max="2" width="8.85546875" style="1" customWidth="1"/>
    <col min="3" max="3" width="14" style="1" bestFit="1" customWidth="1"/>
    <col min="4" max="27" width="12.85546875" style="1" bestFit="1" customWidth="1"/>
    <col min="28" max="16384" width="9.140625" style="1"/>
  </cols>
  <sheetData>
    <row r="1" spans="1:28">
      <c r="A1" s="19"/>
      <c r="B1" s="19"/>
      <c r="C1" s="19"/>
    </row>
    <row r="2" spans="1:28">
      <c r="A2" s="19"/>
      <c r="B2" s="19"/>
      <c r="C2" s="19"/>
    </row>
    <row r="3" spans="1:28" ht="12.75" customHeight="1">
      <c r="A3" s="19"/>
      <c r="B3" s="19"/>
      <c r="C3" s="19"/>
      <c r="F3" s="32"/>
    </row>
    <row r="4" spans="1:28" ht="15.75">
      <c r="A4" s="19"/>
      <c r="B4" s="19"/>
      <c r="C4" s="19"/>
      <c r="D4" s="8"/>
      <c r="K4" s="2"/>
    </row>
    <row r="5" spans="1:28" s="10" customFormat="1" ht="18">
      <c r="A5" s="9" t="s">
        <v>175</v>
      </c>
      <c r="B5" s="9"/>
      <c r="D5" s="11"/>
      <c r="K5" s="12"/>
    </row>
    <row r="6" spans="1:28">
      <c r="A6" s="2"/>
      <c r="B6" s="2"/>
      <c r="H6" s="19"/>
      <c r="I6" s="19"/>
      <c r="J6" s="19"/>
      <c r="K6" s="19"/>
      <c r="L6" s="19"/>
      <c r="M6" s="19"/>
      <c r="N6" s="19"/>
      <c r="O6" s="19"/>
      <c r="P6" s="19"/>
      <c r="Q6" s="19"/>
      <c r="R6" s="19"/>
      <c r="S6" s="19"/>
      <c r="T6" s="19"/>
      <c r="U6" s="19"/>
      <c r="V6" s="19"/>
      <c r="W6" s="19"/>
      <c r="X6" s="19"/>
      <c r="Y6" s="19"/>
      <c r="Z6" s="19"/>
      <c r="AA6" s="19"/>
      <c r="AB6" s="19"/>
    </row>
    <row r="7" spans="1:28">
      <c r="A7" s="124" t="s">
        <v>213</v>
      </c>
      <c r="B7" s="2"/>
      <c r="H7" s="19"/>
      <c r="I7" s="19"/>
      <c r="J7" s="19"/>
      <c r="K7" s="19"/>
      <c r="L7" s="19"/>
      <c r="M7" s="19"/>
      <c r="N7" s="19"/>
      <c r="O7" s="19"/>
      <c r="P7" s="19"/>
      <c r="Q7" s="19"/>
      <c r="R7" s="19"/>
      <c r="S7" s="19"/>
      <c r="T7" s="19"/>
      <c r="U7" s="19"/>
      <c r="V7" s="19"/>
      <c r="W7" s="19"/>
      <c r="X7" s="19"/>
      <c r="Y7" s="19"/>
      <c r="Z7" s="19"/>
      <c r="AA7" s="19"/>
      <c r="AB7" s="19"/>
    </row>
    <row r="8" spans="1:28">
      <c r="A8" s="60" t="s">
        <v>130</v>
      </c>
      <c r="B8" s="19"/>
      <c r="C8" s="304">
        <v>3.5000000000000003E-2</v>
      </c>
      <c r="E8" s="160" t="s">
        <v>225</v>
      </c>
      <c r="H8" s="19"/>
      <c r="I8" s="19"/>
      <c r="J8" s="19"/>
      <c r="K8" s="19"/>
      <c r="L8" s="19"/>
      <c r="M8" s="19"/>
      <c r="N8" s="19"/>
      <c r="O8" s="19"/>
      <c r="P8" s="19"/>
      <c r="Q8" s="19"/>
      <c r="R8" s="19"/>
      <c r="S8" s="19"/>
      <c r="T8" s="19"/>
      <c r="U8" s="19"/>
      <c r="V8" s="19"/>
      <c r="W8" s="19"/>
      <c r="X8" s="19"/>
      <c r="Y8" s="19"/>
      <c r="Z8" s="19"/>
      <c r="AA8" s="19"/>
      <c r="AB8" s="19"/>
    </row>
    <row r="9" spans="1:28">
      <c r="A9" s="60" t="s">
        <v>158</v>
      </c>
      <c r="B9" s="19"/>
      <c r="C9" s="85">
        <v>2017</v>
      </c>
      <c r="E9" s="161" t="str">
        <f>"All inputs into the model have to be at Prices that correspond to 'Year 0', i.e. at "&amp;C9&amp;" Prices."</f>
        <v>All inputs into the model have to be at Prices that correspond to 'Year 0', i.e. at 2017 Prices.</v>
      </c>
      <c r="H9" s="19"/>
      <c r="I9" s="19"/>
      <c r="J9" s="19"/>
      <c r="K9" s="19"/>
      <c r="L9" s="19"/>
      <c r="M9" s="19"/>
      <c r="N9" s="19"/>
      <c r="O9" s="19"/>
      <c r="P9" s="19"/>
      <c r="Q9" s="19"/>
      <c r="R9" s="19"/>
      <c r="S9" s="19"/>
      <c r="T9" s="19"/>
      <c r="U9" s="19"/>
      <c r="V9" s="19"/>
      <c r="W9" s="19"/>
      <c r="X9" s="19"/>
      <c r="Y9" s="19"/>
      <c r="Z9" s="19"/>
      <c r="AA9" s="19"/>
      <c r="AB9" s="19"/>
    </row>
    <row r="10" spans="1:28">
      <c r="A10" s="60" t="s">
        <v>131</v>
      </c>
      <c r="B10" s="19"/>
      <c r="C10" s="86">
        <v>10</v>
      </c>
      <c r="D10" s="19" t="s">
        <v>133</v>
      </c>
      <c r="E10" s="19"/>
      <c r="F10" s="19"/>
      <c r="G10" s="19"/>
      <c r="H10" s="19"/>
      <c r="I10" s="19"/>
      <c r="J10" s="19"/>
      <c r="K10" s="19"/>
      <c r="L10" s="19"/>
      <c r="M10" s="19"/>
      <c r="N10" s="19"/>
      <c r="O10" s="19"/>
      <c r="P10" s="19"/>
      <c r="Q10" s="19"/>
      <c r="R10" s="19"/>
      <c r="S10" s="19"/>
      <c r="T10" s="19"/>
      <c r="U10" s="19"/>
      <c r="V10" s="19"/>
      <c r="W10" s="19"/>
      <c r="X10" s="19"/>
      <c r="Y10" s="19"/>
      <c r="Z10" s="19"/>
      <c r="AA10" s="19"/>
      <c r="AB10" s="19"/>
    </row>
    <row r="11" spans="1:28">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row>
    <row r="12" spans="1:28">
      <c r="A12" s="28" t="s">
        <v>68</v>
      </c>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row>
    <row r="13" spans="1:28">
      <c r="A13" s="60" t="s">
        <v>1</v>
      </c>
      <c r="B13" s="19"/>
      <c r="C13" s="125">
        <v>1783556</v>
      </c>
      <c r="D13" s="19"/>
      <c r="E13" s="158" t="s">
        <v>304</v>
      </c>
      <c r="F13" s="19" t="s">
        <v>305</v>
      </c>
      <c r="G13" s="19"/>
      <c r="H13" s="19"/>
      <c r="I13" s="19"/>
      <c r="J13" s="19"/>
      <c r="K13" s="19"/>
      <c r="L13" s="19"/>
      <c r="M13" s="19"/>
      <c r="N13" s="19"/>
      <c r="O13" s="19"/>
      <c r="P13" s="19"/>
      <c r="Q13" s="19"/>
      <c r="R13" s="19"/>
      <c r="S13" s="19"/>
      <c r="T13" s="19"/>
      <c r="U13" s="19"/>
      <c r="V13" s="19"/>
      <c r="W13" s="19"/>
      <c r="X13" s="19"/>
      <c r="Y13" s="19"/>
      <c r="Z13" s="19"/>
      <c r="AA13" s="19"/>
      <c r="AB13" s="19"/>
    </row>
    <row r="14" spans="1:28">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row>
    <row r="15" spans="1:28">
      <c r="A15" s="28" t="s">
        <v>217</v>
      </c>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row>
    <row r="16" spans="1:28">
      <c r="A16" s="60" t="s">
        <v>176</v>
      </c>
      <c r="B16" s="19" t="s">
        <v>73</v>
      </c>
      <c r="C16" s="65" t="s">
        <v>177</v>
      </c>
      <c r="H16" s="19"/>
      <c r="I16" s="19"/>
      <c r="J16" s="19"/>
      <c r="K16" s="19"/>
      <c r="L16" s="19"/>
      <c r="M16" s="19"/>
      <c r="N16" s="19"/>
      <c r="O16" s="19"/>
      <c r="P16" s="19"/>
      <c r="Q16" s="19"/>
      <c r="R16" s="19"/>
      <c r="S16" s="19"/>
      <c r="T16" s="19"/>
      <c r="U16" s="19"/>
      <c r="V16" s="19"/>
      <c r="W16" s="19"/>
      <c r="X16" s="19"/>
      <c r="Y16" s="19"/>
      <c r="Z16" s="19"/>
      <c r="AA16" s="19"/>
      <c r="AB16" s="19"/>
    </row>
    <row r="17" spans="1:28">
      <c r="A17" s="60" t="s">
        <v>132</v>
      </c>
      <c r="B17" s="19" t="s">
        <v>111</v>
      </c>
      <c r="C17" s="86">
        <v>2</v>
      </c>
      <c r="D17" s="19" t="s">
        <v>133</v>
      </c>
      <c r="H17" s="19"/>
      <c r="I17" s="19"/>
      <c r="J17" s="19"/>
      <c r="K17" s="19"/>
      <c r="L17" s="19"/>
      <c r="M17" s="19"/>
      <c r="N17" s="19"/>
      <c r="O17" s="19"/>
      <c r="P17" s="19"/>
      <c r="Q17" s="19"/>
      <c r="R17" s="19"/>
      <c r="S17" s="19"/>
      <c r="T17" s="19"/>
      <c r="U17" s="19"/>
      <c r="V17" s="19"/>
      <c r="W17" s="19"/>
      <c r="X17" s="19"/>
      <c r="Y17" s="19"/>
      <c r="Z17" s="19"/>
      <c r="AA17" s="19"/>
      <c r="AB17" s="19"/>
    </row>
    <row r="18" spans="1:28">
      <c r="A18" s="60" t="s">
        <v>134</v>
      </c>
      <c r="B18" s="19" t="s">
        <v>117</v>
      </c>
      <c r="C18" s="86">
        <v>2</v>
      </c>
      <c r="D18" s="19" t="s">
        <v>133</v>
      </c>
      <c r="H18" s="19"/>
      <c r="I18" s="19"/>
      <c r="J18" s="19"/>
      <c r="K18" s="19"/>
      <c r="L18" s="19"/>
      <c r="M18" s="19"/>
      <c r="N18" s="19"/>
      <c r="O18" s="19"/>
      <c r="P18" s="19"/>
      <c r="Q18" s="19"/>
      <c r="R18" s="19"/>
      <c r="S18" s="19"/>
      <c r="T18" s="19"/>
      <c r="U18" s="19"/>
      <c r="V18" s="19"/>
      <c r="W18" s="19"/>
      <c r="X18" s="19"/>
      <c r="Y18" s="19"/>
      <c r="Z18" s="19"/>
      <c r="AA18" s="19"/>
      <c r="AB18" s="19"/>
    </row>
    <row r="19" spans="1:28">
      <c r="A19" s="60" t="s">
        <v>135</v>
      </c>
      <c r="B19" s="19" t="s">
        <v>118</v>
      </c>
      <c r="C19" s="86">
        <v>2</v>
      </c>
      <c r="D19" s="19" t="s">
        <v>133</v>
      </c>
      <c r="H19" s="19"/>
      <c r="I19" s="19"/>
      <c r="J19" s="19"/>
      <c r="K19" s="19"/>
      <c r="L19" s="19"/>
      <c r="M19" s="19"/>
      <c r="N19" s="19"/>
      <c r="O19" s="19"/>
      <c r="P19" s="19"/>
      <c r="Q19" s="19"/>
      <c r="R19" s="19"/>
      <c r="S19" s="19"/>
      <c r="T19" s="19"/>
      <c r="U19" s="19"/>
      <c r="V19" s="19"/>
      <c r="W19" s="19"/>
      <c r="X19" s="19"/>
      <c r="Y19" s="19"/>
      <c r="Z19" s="19"/>
      <c r="AA19" s="19"/>
      <c r="AB19" s="19"/>
    </row>
    <row r="20" spans="1:28">
      <c r="A20" s="60" t="s">
        <v>136</v>
      </c>
      <c r="B20" s="19" t="s">
        <v>112</v>
      </c>
      <c r="C20" s="86">
        <v>2</v>
      </c>
      <c r="D20" s="19" t="s">
        <v>133</v>
      </c>
      <c r="H20" s="19"/>
      <c r="I20" s="19"/>
      <c r="J20" s="19"/>
      <c r="K20" s="19"/>
      <c r="L20" s="19"/>
      <c r="M20" s="19"/>
      <c r="N20" s="19"/>
      <c r="O20" s="19"/>
      <c r="P20" s="19"/>
      <c r="Q20" s="19"/>
      <c r="R20" s="19"/>
      <c r="S20" s="19"/>
      <c r="T20" s="19"/>
      <c r="U20" s="19"/>
      <c r="V20" s="19"/>
      <c r="W20" s="19"/>
      <c r="X20" s="19"/>
      <c r="Y20" s="19"/>
      <c r="Z20" s="19"/>
      <c r="AA20" s="19"/>
      <c r="AB20" s="19"/>
    </row>
    <row r="21" spans="1:28">
      <c r="A21" s="60" t="s">
        <v>137</v>
      </c>
      <c r="B21" s="19" t="s">
        <v>113</v>
      </c>
      <c r="C21" s="86">
        <v>3</v>
      </c>
      <c r="D21" s="19" t="s">
        <v>133</v>
      </c>
      <c r="H21" s="19"/>
      <c r="I21" s="19"/>
      <c r="J21" s="19"/>
      <c r="K21" s="19"/>
      <c r="L21" s="19"/>
      <c r="M21" s="19"/>
      <c r="N21" s="19"/>
      <c r="O21" s="19"/>
      <c r="P21" s="19"/>
      <c r="Q21" s="19"/>
      <c r="R21" s="19"/>
      <c r="S21" s="19"/>
      <c r="T21" s="19"/>
      <c r="U21" s="19"/>
      <c r="V21" s="19"/>
      <c r="W21" s="19"/>
      <c r="X21" s="19"/>
      <c r="Y21" s="19"/>
      <c r="Z21" s="19"/>
      <c r="AA21" s="19"/>
      <c r="AB21" s="19"/>
    </row>
    <row r="22" spans="1:28">
      <c r="A22" s="19"/>
      <c r="B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84" r:id="rId4" name="Button 28">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9485" r:id="rId5" name="Button 29">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9486" r:id="rId6" name="Button 30">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9487" r:id="rId7" name="Button 31">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9488" r:id="rId8" name="Button 32">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I">
    <tabColor indexed="57"/>
    <pageSetUpPr fitToPage="1"/>
  </sheetPr>
  <dimension ref="A1:S24"/>
  <sheetViews>
    <sheetView workbookViewId="0"/>
  </sheetViews>
  <sheetFormatPr defaultColWidth="9.140625" defaultRowHeight="12.75"/>
  <cols>
    <col min="1" max="1" width="32.5703125" style="1" customWidth="1"/>
    <col min="2" max="2" width="21.5703125" style="1" customWidth="1"/>
    <col min="3" max="7" width="17.140625" style="1" customWidth="1"/>
    <col min="8" max="8" width="5.28515625" style="1" customWidth="1"/>
    <col min="9" max="13" width="17.140625" style="1" customWidth="1"/>
    <col min="14" max="14" width="5.42578125" style="1" customWidth="1"/>
    <col min="15" max="19" width="17.140625" style="1" customWidth="1"/>
    <col min="20" max="16384" width="9.140625" style="1"/>
  </cols>
  <sheetData>
    <row r="1" spans="1:19">
      <c r="A1" s="19"/>
      <c r="B1" s="19"/>
      <c r="C1" s="19"/>
    </row>
    <row r="2" spans="1:19">
      <c r="A2" s="19"/>
      <c r="B2" s="19"/>
      <c r="C2" s="19"/>
    </row>
    <row r="3" spans="1:19">
      <c r="A3" s="19"/>
      <c r="B3" s="19"/>
      <c r="C3" s="19"/>
    </row>
    <row r="4" spans="1:19" ht="15.75">
      <c r="A4" s="19"/>
      <c r="B4" s="19"/>
      <c r="C4" s="24"/>
      <c r="E4" s="2"/>
      <c r="K4" s="2"/>
    </row>
    <row r="5" spans="1:19" s="10" customFormat="1" ht="18">
      <c r="A5" s="9" t="s">
        <v>0</v>
      </c>
      <c r="C5" s="11"/>
      <c r="E5" s="12"/>
      <c r="K5" s="12"/>
    </row>
    <row r="7" spans="1:19">
      <c r="A7" s="23" t="s">
        <v>2</v>
      </c>
      <c r="B7" s="86" t="s">
        <v>307</v>
      </c>
    </row>
    <row r="8" spans="1:19">
      <c r="A8" s="19"/>
    </row>
    <row r="9" spans="1:19">
      <c r="A9" s="23" t="s">
        <v>172</v>
      </c>
      <c r="B9" s="2"/>
      <c r="C9" s="17" t="s">
        <v>80</v>
      </c>
      <c r="D9" s="18"/>
      <c r="E9" s="18"/>
      <c r="F9" s="18"/>
      <c r="G9" s="18"/>
      <c r="I9" s="13" t="s">
        <v>81</v>
      </c>
      <c r="J9" s="14"/>
      <c r="K9" s="14"/>
      <c r="L9" s="14"/>
      <c r="M9" s="14"/>
      <c r="N9" s="19"/>
      <c r="O9" s="15" t="s">
        <v>82</v>
      </c>
      <c r="P9" s="16"/>
      <c r="Q9" s="16"/>
      <c r="R9" s="16"/>
      <c r="S9" s="16"/>
    </row>
    <row r="10" spans="1:19">
      <c r="A10" s="19"/>
      <c r="B10" s="19"/>
      <c r="C10" s="305" t="s">
        <v>309</v>
      </c>
      <c r="D10" s="305" t="s">
        <v>310</v>
      </c>
      <c r="E10" s="305" t="s">
        <v>311</v>
      </c>
      <c r="F10" s="305" t="s">
        <v>312</v>
      </c>
      <c r="G10" s="39" t="s">
        <v>29</v>
      </c>
      <c r="H10" s="19"/>
      <c r="I10" s="305" t="str">
        <f>C10</f>
        <v>Crossrail</v>
      </c>
      <c r="J10" s="305" t="str">
        <f t="shared" ref="J10:L10" si="0">D10</f>
        <v>NR Western</v>
      </c>
      <c r="K10" s="305" t="str">
        <f t="shared" si="0"/>
        <v>Balfour Beatty</v>
      </c>
      <c r="L10" s="305" t="str">
        <f t="shared" si="0"/>
        <v>RSSB</v>
      </c>
      <c r="M10" s="39" t="s">
        <v>29</v>
      </c>
      <c r="N10" s="37"/>
      <c r="O10" s="305" t="str">
        <f>C10</f>
        <v>Crossrail</v>
      </c>
      <c r="P10" s="305" t="str">
        <f t="shared" ref="P10:R10" si="1">D10</f>
        <v>NR Western</v>
      </c>
      <c r="Q10" s="305" t="str">
        <f t="shared" si="1"/>
        <v>Balfour Beatty</v>
      </c>
      <c r="R10" s="305" t="str">
        <f t="shared" si="1"/>
        <v>RSSB</v>
      </c>
      <c r="S10" s="39" t="s">
        <v>29</v>
      </c>
    </row>
    <row r="11" spans="1:19">
      <c r="A11" s="28" t="s">
        <v>6</v>
      </c>
      <c r="B11" s="19"/>
      <c r="C11" s="39"/>
      <c r="D11" s="39"/>
      <c r="E11" s="39"/>
      <c r="F11" s="39"/>
      <c r="G11" s="39"/>
      <c r="H11" s="19"/>
      <c r="I11" s="39"/>
      <c r="J11" s="39"/>
      <c r="K11" s="39"/>
      <c r="L11" s="39"/>
      <c r="M11" s="39"/>
      <c r="N11" s="37"/>
      <c r="O11" s="39"/>
      <c r="P11" s="39"/>
      <c r="Q11" s="39"/>
      <c r="R11" s="39"/>
      <c r="S11" s="39"/>
    </row>
    <row r="12" spans="1:19">
      <c r="A12" s="60" t="s">
        <v>7</v>
      </c>
      <c r="B12" s="19" t="s">
        <v>4</v>
      </c>
      <c r="C12" s="87">
        <v>0</v>
      </c>
      <c r="D12" s="87"/>
      <c r="E12" s="88"/>
      <c r="F12" s="88"/>
      <c r="G12" s="33">
        <f>SUM(C12:F12)</f>
        <v>0</v>
      </c>
      <c r="H12" s="34"/>
      <c r="I12" s="87">
        <v>0</v>
      </c>
      <c r="J12" s="87"/>
      <c r="K12" s="88"/>
      <c r="L12" s="88"/>
      <c r="M12" s="33">
        <f>SUM(I12:L12)</f>
        <v>0</v>
      </c>
      <c r="N12" s="34"/>
      <c r="O12" s="87">
        <v>0</v>
      </c>
      <c r="P12" s="87"/>
      <c r="Q12" s="88"/>
      <c r="R12" s="88"/>
      <c r="S12" s="33">
        <f>SUM(O12:R12)</f>
        <v>0</v>
      </c>
    </row>
    <row r="13" spans="1:19">
      <c r="A13" s="60"/>
      <c r="B13" s="19" t="s">
        <v>5</v>
      </c>
      <c r="C13" s="87">
        <v>0</v>
      </c>
      <c r="D13" s="87"/>
      <c r="E13" s="88"/>
      <c r="F13" s="88"/>
      <c r="G13" s="33">
        <f>SUM(C13:F13)</f>
        <v>0</v>
      </c>
      <c r="H13" s="34"/>
      <c r="I13" s="87">
        <v>0</v>
      </c>
      <c r="J13" s="87"/>
      <c r="K13" s="88"/>
      <c r="L13" s="88"/>
      <c r="M13" s="33">
        <f>SUM(I13:L13)</f>
        <v>0</v>
      </c>
      <c r="N13" s="34"/>
      <c r="O13" s="87">
        <v>0</v>
      </c>
      <c r="P13" s="87"/>
      <c r="Q13" s="88"/>
      <c r="R13" s="88"/>
      <c r="S13" s="33">
        <f>SUM(O13:R13)</f>
        <v>0</v>
      </c>
    </row>
    <row r="14" spans="1:19">
      <c r="A14" s="60" t="s">
        <v>8</v>
      </c>
      <c r="B14" s="19" t="s">
        <v>9</v>
      </c>
      <c r="C14" s="87">
        <v>0</v>
      </c>
      <c r="D14" s="87"/>
      <c r="E14" s="88"/>
      <c r="F14" s="88"/>
      <c r="G14" s="34"/>
      <c r="H14" s="34"/>
      <c r="I14" s="87">
        <v>0</v>
      </c>
      <c r="J14" s="87"/>
      <c r="K14" s="88"/>
      <c r="L14" s="88"/>
      <c r="M14" s="34"/>
      <c r="N14" s="34"/>
      <c r="O14" s="87">
        <v>0</v>
      </c>
      <c r="P14" s="87"/>
      <c r="Q14" s="88"/>
      <c r="R14" s="88"/>
      <c r="S14" s="34"/>
    </row>
    <row r="15" spans="1:19">
      <c r="A15" s="60"/>
      <c r="B15" s="19" t="s">
        <v>10</v>
      </c>
      <c r="C15" s="87">
        <v>0</v>
      </c>
      <c r="D15" s="87"/>
      <c r="E15" s="88"/>
      <c r="F15" s="88"/>
      <c r="G15" s="34"/>
      <c r="H15" s="34"/>
      <c r="I15" s="87">
        <v>0</v>
      </c>
      <c r="J15" s="87"/>
      <c r="K15" s="88"/>
      <c r="L15" s="88"/>
      <c r="M15" s="34"/>
      <c r="N15" s="34"/>
      <c r="O15" s="87">
        <v>0</v>
      </c>
      <c r="P15" s="87"/>
      <c r="Q15" s="88"/>
      <c r="R15" s="88"/>
      <c r="S15" s="34"/>
    </row>
    <row r="16" spans="1:19" s="2" customFormat="1">
      <c r="A16" s="61" t="s">
        <v>13</v>
      </c>
      <c r="B16" s="23"/>
      <c r="C16" s="35">
        <f>SUMPRODUCT(C12:C13,C14:C15)</f>
        <v>0</v>
      </c>
      <c r="D16" s="35">
        <f>SUMPRODUCT(D12:D13,D14:D15)</f>
        <v>0</v>
      </c>
      <c r="E16" s="36">
        <f>SUMPRODUCT(E12:E13,E14:E15)</f>
        <v>0</v>
      </c>
      <c r="F16" s="36">
        <f>SUMPRODUCT(F12:F13,F14:F15)</f>
        <v>0</v>
      </c>
      <c r="G16" s="35">
        <f>SUM(C16:F16)</f>
        <v>0</v>
      </c>
      <c r="H16" s="36"/>
      <c r="I16" s="35">
        <f>SUMPRODUCT(I12:I13,I14:I15)</f>
        <v>0</v>
      </c>
      <c r="J16" s="35">
        <f>SUMPRODUCT(J12:J13,J14:J15)</f>
        <v>0</v>
      </c>
      <c r="K16" s="36">
        <f>SUMPRODUCT(K12:K13,K14:K15)</f>
        <v>0</v>
      </c>
      <c r="L16" s="36">
        <f>SUMPRODUCT(L12:L13,L14:L15)</f>
        <v>0</v>
      </c>
      <c r="M16" s="35">
        <f>SUM(I16:L16)</f>
        <v>0</v>
      </c>
      <c r="N16" s="36"/>
      <c r="O16" s="35">
        <f>SUMPRODUCT(O12:O13,O14:O15)</f>
        <v>0</v>
      </c>
      <c r="P16" s="35">
        <f>SUMPRODUCT(P12:P13,P14:P15)</f>
        <v>0</v>
      </c>
      <c r="Q16" s="36">
        <f>SUMPRODUCT(Q12:Q13,Q14:Q15)</f>
        <v>0</v>
      </c>
      <c r="R16" s="36">
        <f>SUMPRODUCT(R12:R13,R14:R15)</f>
        <v>0</v>
      </c>
      <c r="S16" s="35">
        <f>SUM(O16:R16)</f>
        <v>0</v>
      </c>
    </row>
    <row r="17" spans="1:19">
      <c r="A17" s="60" t="s">
        <v>11</v>
      </c>
      <c r="B17" s="27" t="s">
        <v>12</v>
      </c>
      <c r="C17" s="89">
        <v>0</v>
      </c>
      <c r="D17" s="89">
        <v>60</v>
      </c>
      <c r="E17" s="90"/>
      <c r="F17" s="90"/>
      <c r="G17" s="33">
        <f>SUM(C17:F17)</f>
        <v>60</v>
      </c>
      <c r="H17" s="34"/>
      <c r="I17" s="89">
        <v>0</v>
      </c>
      <c r="J17" s="89">
        <v>66</v>
      </c>
      <c r="K17" s="90"/>
      <c r="L17" s="90"/>
      <c r="M17" s="33">
        <f>SUM(I17:L17)</f>
        <v>66</v>
      </c>
      <c r="N17" s="34"/>
      <c r="O17" s="89">
        <v>0</v>
      </c>
      <c r="P17" s="89">
        <v>54</v>
      </c>
      <c r="Q17" s="90"/>
      <c r="R17" s="90"/>
      <c r="S17" s="33">
        <f>SUM(O17:R17)</f>
        <v>54</v>
      </c>
    </row>
    <row r="18" spans="1:19">
      <c r="A18" s="61" t="s">
        <v>14</v>
      </c>
      <c r="B18" s="23"/>
      <c r="C18" s="35">
        <f>C16+C17</f>
        <v>0</v>
      </c>
      <c r="D18" s="35">
        <f>D16+D17</f>
        <v>60</v>
      </c>
      <c r="E18" s="36">
        <f>E16+E17</f>
        <v>0</v>
      </c>
      <c r="F18" s="36">
        <f>F16+F17</f>
        <v>0</v>
      </c>
      <c r="G18" s="35">
        <f>SUM(C18:F18)</f>
        <v>60</v>
      </c>
      <c r="H18" s="34"/>
      <c r="I18" s="35">
        <f>I16+I17</f>
        <v>0</v>
      </c>
      <c r="J18" s="35">
        <f>J16+J17</f>
        <v>66</v>
      </c>
      <c r="K18" s="36">
        <f>K16+K17</f>
        <v>0</v>
      </c>
      <c r="L18" s="36">
        <f>L16+L17</f>
        <v>0</v>
      </c>
      <c r="M18" s="35">
        <f>SUM(I18:L18)</f>
        <v>66</v>
      </c>
      <c r="N18" s="34"/>
      <c r="O18" s="35">
        <f>O16+O17</f>
        <v>0</v>
      </c>
      <c r="P18" s="35">
        <f>P16+P17</f>
        <v>54</v>
      </c>
      <c r="Q18" s="36">
        <f>Q16+Q17</f>
        <v>0</v>
      </c>
      <c r="R18" s="36">
        <f>R16+R17</f>
        <v>0</v>
      </c>
      <c r="S18" s="35">
        <f>SUM(O18:R18)</f>
        <v>54</v>
      </c>
    </row>
    <row r="19" spans="1:19" s="2" customFormat="1">
      <c r="A19" s="23"/>
      <c r="B19" s="23"/>
      <c r="C19" s="26"/>
      <c r="D19" s="26"/>
      <c r="E19" s="23"/>
      <c r="F19" s="23"/>
      <c r="G19" s="23"/>
      <c r="H19" s="23"/>
      <c r="I19" s="26"/>
      <c r="J19" s="26"/>
      <c r="K19" s="23"/>
      <c r="L19" s="23"/>
      <c r="M19" s="23"/>
      <c r="N19" s="23"/>
      <c r="O19" s="26"/>
      <c r="P19" s="26"/>
      <c r="Q19" s="23"/>
      <c r="R19" s="23"/>
      <c r="S19" s="23"/>
    </row>
    <row r="20" spans="1:19">
      <c r="A20" s="28" t="s">
        <v>16</v>
      </c>
      <c r="B20" s="19"/>
      <c r="C20" s="25"/>
      <c r="D20" s="25"/>
      <c r="E20" s="19"/>
      <c r="F20" s="19"/>
      <c r="G20" s="19"/>
      <c r="H20" s="19"/>
      <c r="I20" s="25"/>
      <c r="J20" s="25"/>
      <c r="K20" s="19"/>
      <c r="L20" s="19"/>
      <c r="M20" s="19"/>
      <c r="N20" s="19"/>
      <c r="O20" s="25"/>
      <c r="P20" s="25"/>
      <c r="Q20" s="19"/>
      <c r="R20" s="19"/>
      <c r="S20" s="19"/>
    </row>
    <row r="21" spans="1:19">
      <c r="A21" s="60" t="s">
        <v>15</v>
      </c>
      <c r="B21" s="19" t="s">
        <v>4</v>
      </c>
      <c r="C21" s="87"/>
      <c r="D21" s="87"/>
      <c r="E21" s="88"/>
      <c r="F21" s="88"/>
      <c r="G21" s="33">
        <f>SUM(C21:F21)</f>
        <v>0</v>
      </c>
      <c r="H21" s="34"/>
      <c r="I21" s="87"/>
      <c r="J21" s="87"/>
      <c r="K21" s="88"/>
      <c r="L21" s="88"/>
      <c r="M21" s="33">
        <f>SUM(I21:L21)</f>
        <v>0</v>
      </c>
      <c r="N21" s="34"/>
      <c r="O21" s="87"/>
      <c r="P21" s="87"/>
      <c r="Q21" s="88"/>
      <c r="R21" s="88"/>
      <c r="S21" s="33">
        <f>SUM(O21:R21)</f>
        <v>0</v>
      </c>
    </row>
    <row r="22" spans="1:19">
      <c r="A22" s="60"/>
      <c r="B22" s="19" t="s">
        <v>5</v>
      </c>
      <c r="C22" s="87"/>
      <c r="D22" s="87"/>
      <c r="E22" s="88"/>
      <c r="F22" s="88"/>
      <c r="G22" s="33">
        <f>SUM(C22:F22)</f>
        <v>0</v>
      </c>
      <c r="H22" s="34"/>
      <c r="I22" s="87"/>
      <c r="J22" s="87"/>
      <c r="K22" s="88"/>
      <c r="L22" s="88"/>
      <c r="M22" s="33">
        <f>SUM(I22:L22)</f>
        <v>0</v>
      </c>
      <c r="N22" s="34"/>
      <c r="O22" s="87"/>
      <c r="P22" s="87"/>
      <c r="Q22" s="88"/>
      <c r="R22" s="88"/>
      <c r="S22" s="33">
        <f>SUM(O22:R22)</f>
        <v>0</v>
      </c>
    </row>
    <row r="23" spans="1:19">
      <c r="A23" s="60" t="s">
        <v>17</v>
      </c>
      <c r="B23" s="19" t="s">
        <v>11</v>
      </c>
      <c r="C23" s="87"/>
      <c r="D23" s="87">
        <v>1000000</v>
      </c>
      <c r="E23" s="88"/>
      <c r="F23" s="88"/>
      <c r="G23" s="33">
        <f>SUM(C23:F23)</f>
        <v>1000000</v>
      </c>
      <c r="H23" s="34"/>
      <c r="I23" s="87"/>
      <c r="J23" s="87">
        <v>1100000</v>
      </c>
      <c r="K23" s="88"/>
      <c r="L23" s="88"/>
      <c r="M23" s="33">
        <f>SUM(I23:L23)</f>
        <v>1100000</v>
      </c>
      <c r="N23" s="34"/>
      <c r="O23" s="87"/>
      <c r="P23" s="87">
        <v>900000</v>
      </c>
      <c r="Q23" s="88"/>
      <c r="R23" s="88"/>
      <c r="S23" s="33">
        <f>SUM(O23:R23)</f>
        <v>900000</v>
      </c>
    </row>
    <row r="24" spans="1:19" s="5" customFormat="1">
      <c r="A24" s="64" t="s">
        <v>58</v>
      </c>
      <c r="B24" s="26"/>
      <c r="C24" s="35">
        <f>C21*C12*C14+C22*C15*C13+C23*C17</f>
        <v>0</v>
      </c>
      <c r="D24" s="35">
        <f>D21*D12*D14+D22*D15*D13+D23*D17</f>
        <v>60000000</v>
      </c>
      <c r="E24" s="35">
        <f>E21*E12*E14+E22*E15*E13+E23*E17</f>
        <v>0</v>
      </c>
      <c r="F24" s="35">
        <f>F21*F12*F14+F22*F15*F13+F23*F17</f>
        <v>0</v>
      </c>
      <c r="G24" s="35">
        <f>SUM(C24:F24)</f>
        <v>60000000</v>
      </c>
      <c r="H24" s="33"/>
      <c r="I24" s="35">
        <f>I21*I12*I14+I22*I15*I13+I23*I17</f>
        <v>0</v>
      </c>
      <c r="J24" s="35">
        <f>J21*J12*J14+J22*J15*J13+J23*J17</f>
        <v>72600000</v>
      </c>
      <c r="K24" s="35">
        <f>K21*K12*K14+K22*K15*K13+K23*K17</f>
        <v>0</v>
      </c>
      <c r="L24" s="35">
        <f>L21*L12*L14+L22*L15*L13+L23*L17</f>
        <v>0</v>
      </c>
      <c r="M24" s="35">
        <f>SUM(I24:L24)</f>
        <v>72600000</v>
      </c>
      <c r="N24" s="33"/>
      <c r="O24" s="35">
        <f>O21*O12*O14+O22*O15*O13+O23*O17</f>
        <v>0</v>
      </c>
      <c r="P24" s="35">
        <f>P21*P12*P14+P22*P15*P13+P23*P17</f>
        <v>48600000</v>
      </c>
      <c r="Q24" s="35">
        <f>Q21*Q12*Q14+Q22*Q15*Q13+Q23*Q17</f>
        <v>0</v>
      </c>
      <c r="R24" s="35">
        <f>R21*R12*R14+R22*R15*R13+R23*R17</f>
        <v>0</v>
      </c>
      <c r="S24" s="35">
        <f>SUM(O24:R24)</f>
        <v>48600000</v>
      </c>
    </row>
  </sheetData>
  <phoneticPr fontId="3" type="noConversion"/>
  <pageMargins left="0.75" right="0.75" top="1" bottom="1" header="0.5" footer="0.5"/>
  <pageSetup paperSize="9" scale="4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3" r:id="rId4" name="Button 39">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1304" r:id="rId5" name="Button 40">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1305" r:id="rId6" name="Button 41">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1306" r:id="rId7" name="Button 42">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1307" r:id="rId8" name="Button 43">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R">
    <tabColor indexed="57"/>
  </sheetPr>
  <dimension ref="A1:S34"/>
  <sheetViews>
    <sheetView workbookViewId="0">
      <selection activeCell="D12" sqref="D12"/>
    </sheetView>
  </sheetViews>
  <sheetFormatPr defaultColWidth="41" defaultRowHeight="12.75"/>
  <cols>
    <col min="1" max="1" width="26.7109375" style="1" customWidth="1"/>
    <col min="2" max="2" width="27" style="1" bestFit="1" customWidth="1"/>
    <col min="3" max="6" width="14.7109375" style="1" customWidth="1"/>
    <col min="7" max="7" width="15.28515625" style="1" customWidth="1"/>
    <col min="8" max="8" width="4.85546875" style="1" customWidth="1"/>
    <col min="9" max="12" width="14.7109375" style="1" customWidth="1"/>
    <col min="13" max="13" width="15.28515625" style="1" customWidth="1"/>
    <col min="14" max="14" width="6.5703125" style="1" customWidth="1"/>
    <col min="15" max="18" width="14.7109375" style="1" customWidth="1"/>
    <col min="19" max="19" width="15.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202</v>
      </c>
      <c r="C5" s="11"/>
      <c r="E5" s="12"/>
      <c r="K5" s="12"/>
    </row>
    <row r="7" spans="1:19">
      <c r="A7" s="23" t="s">
        <v>2</v>
      </c>
      <c r="B7" s="19" t="str">
        <f>'Asset Info'!B7</f>
        <v>Plain Line Track</v>
      </c>
    </row>
    <row r="8" spans="1:19">
      <c r="A8" s="19"/>
      <c r="B8" s="19"/>
    </row>
    <row r="9" spans="1:19">
      <c r="A9" s="23" t="s">
        <v>173</v>
      </c>
      <c r="B9" s="23"/>
      <c r="C9" s="17" t="s">
        <v>80</v>
      </c>
      <c r="D9" s="18"/>
      <c r="E9" s="18"/>
      <c r="F9" s="18"/>
      <c r="G9" s="18"/>
      <c r="H9" s="19"/>
      <c r="I9" s="13" t="s">
        <v>81</v>
      </c>
      <c r="J9" s="14"/>
      <c r="K9" s="14"/>
      <c r="L9" s="14"/>
      <c r="M9" s="14"/>
      <c r="O9" s="15" t="s">
        <v>82</v>
      </c>
      <c r="P9" s="16"/>
      <c r="Q9" s="16"/>
      <c r="R9" s="16"/>
      <c r="S9" s="16"/>
    </row>
    <row r="10" spans="1:19" s="42" customFormat="1">
      <c r="A10" s="41"/>
      <c r="B10" s="41"/>
      <c r="C10" s="39" t="str">
        <f>'Asset Info'!C10</f>
        <v>Crossrail</v>
      </c>
      <c r="D10" s="39" t="str">
        <f>'Asset Info'!D10</f>
        <v>NR Western</v>
      </c>
      <c r="E10" s="39" t="str">
        <f>'Asset Info'!E10</f>
        <v>Balfour Beatty</v>
      </c>
      <c r="F10" s="39" t="str">
        <f>'Asset Info'!F10</f>
        <v>RSSB</v>
      </c>
      <c r="G10" s="39" t="s">
        <v>29</v>
      </c>
      <c r="H10" s="39"/>
      <c r="I10" s="39" t="str">
        <f>'Asset Info'!I10</f>
        <v>Crossrail</v>
      </c>
      <c r="J10" s="39" t="str">
        <f>'Asset Info'!J10</f>
        <v>NR Western</v>
      </c>
      <c r="K10" s="39" t="str">
        <f>'Asset Info'!K10</f>
        <v>Balfour Beatty</v>
      </c>
      <c r="L10" s="39" t="str">
        <f>'Asset Info'!L10</f>
        <v>RSSB</v>
      </c>
      <c r="M10" s="39" t="s">
        <v>29</v>
      </c>
      <c r="N10" s="39"/>
      <c r="O10" s="39" t="str">
        <f>'Asset Info'!O10</f>
        <v>Crossrail</v>
      </c>
      <c r="P10" s="39" t="str">
        <f>'Asset Info'!P10</f>
        <v>NR Western</v>
      </c>
      <c r="Q10" s="39" t="str">
        <f>'Asset Info'!Q10</f>
        <v>Balfour Beatty</v>
      </c>
      <c r="R10" s="39" t="str">
        <f>'Asset Info'!R10</f>
        <v>RSSB</v>
      </c>
      <c r="S10" s="39" t="s">
        <v>29</v>
      </c>
    </row>
    <row r="11" spans="1:19" s="42" customFormat="1">
      <c r="A11" s="28" t="s">
        <v>214</v>
      </c>
      <c r="B11" s="41"/>
      <c r="C11" s="39"/>
      <c r="D11" s="39"/>
      <c r="E11" s="39"/>
      <c r="F11" s="39"/>
      <c r="G11" s="39"/>
      <c r="H11" s="37"/>
      <c r="I11" s="39"/>
      <c r="J11" s="39"/>
      <c r="K11" s="39"/>
      <c r="L11" s="39"/>
      <c r="M11" s="39"/>
      <c r="N11" s="37"/>
      <c r="O11" s="39"/>
      <c r="P11" s="39"/>
      <c r="Q11" s="39"/>
      <c r="R11" s="39"/>
      <c r="S11" s="39"/>
    </row>
    <row r="12" spans="1:19">
      <c r="A12" s="60" t="s">
        <v>21</v>
      </c>
      <c r="B12" s="19" t="s">
        <v>18</v>
      </c>
      <c r="C12" s="88"/>
      <c r="D12" s="88">
        <v>0.1</v>
      </c>
      <c r="E12" s="88"/>
      <c r="F12" s="88"/>
      <c r="G12" s="34">
        <f>SUM(C12:F12)</f>
        <v>0.1</v>
      </c>
      <c r="H12" s="34"/>
      <c r="I12" s="88"/>
      <c r="J12" s="88">
        <v>0.105</v>
      </c>
      <c r="K12" s="88"/>
      <c r="L12" s="88"/>
      <c r="M12" s="34">
        <f>SUM(I12:L12)</f>
        <v>0.105</v>
      </c>
      <c r="N12" s="34"/>
      <c r="O12" s="88"/>
      <c r="P12" s="88">
        <v>9.5000000000000001E-2</v>
      </c>
      <c r="Q12" s="88"/>
      <c r="R12" s="88"/>
      <c r="S12" s="34">
        <f>SUM(O12:R12)</f>
        <v>9.5000000000000001E-2</v>
      </c>
    </row>
    <row r="13" spans="1:19">
      <c r="A13" s="19"/>
      <c r="B13" s="19" t="s">
        <v>19</v>
      </c>
      <c r="C13" s="88"/>
      <c r="D13" s="88">
        <v>0</v>
      </c>
      <c r="E13" s="88"/>
      <c r="F13" s="88"/>
      <c r="G13" s="34">
        <f>SUM(C13:F13)</f>
        <v>0</v>
      </c>
      <c r="H13" s="34"/>
      <c r="I13" s="88"/>
      <c r="J13" s="88">
        <v>0</v>
      </c>
      <c r="K13" s="88"/>
      <c r="L13" s="88"/>
      <c r="M13" s="34">
        <f>SUM(I13:L13)</f>
        <v>0</v>
      </c>
      <c r="N13" s="34"/>
      <c r="O13" s="88"/>
      <c r="P13" s="88">
        <v>0</v>
      </c>
      <c r="Q13" s="88"/>
      <c r="R13" s="88"/>
      <c r="S13" s="34">
        <f>SUM(O13:R13)</f>
        <v>0</v>
      </c>
    </row>
    <row r="14" spans="1:19" s="53" customFormat="1">
      <c r="A14" s="49"/>
      <c r="B14" s="54" t="s">
        <v>20</v>
      </c>
      <c r="C14" s="126">
        <f>SUM(C12:C13)</f>
        <v>0</v>
      </c>
      <c r="D14" s="126">
        <f>SUM(D12:D13)</f>
        <v>0.1</v>
      </c>
      <c r="E14" s="126">
        <f>SUM(E12:E13)</f>
        <v>0</v>
      </c>
      <c r="F14" s="126">
        <f>SUM(F12:F13)</f>
        <v>0</v>
      </c>
      <c r="G14" s="126">
        <f>SUM(C14:F14)</f>
        <v>0.1</v>
      </c>
      <c r="H14" s="127"/>
      <c r="I14" s="126">
        <f>SUM(I12:I13)</f>
        <v>0</v>
      </c>
      <c r="J14" s="126">
        <f>SUM(J12:J13)</f>
        <v>0.105</v>
      </c>
      <c r="K14" s="126">
        <f>SUM(K12:K13)</f>
        <v>0</v>
      </c>
      <c r="L14" s="126">
        <f>SUM(L12:L13)</f>
        <v>0</v>
      </c>
      <c r="M14" s="126">
        <f>SUM(I14:L14)</f>
        <v>0.105</v>
      </c>
      <c r="N14" s="127"/>
      <c r="O14" s="126">
        <f>SUM(O12:O13)</f>
        <v>0</v>
      </c>
      <c r="P14" s="126">
        <f>SUM(P12:P13)</f>
        <v>9.5000000000000001E-2</v>
      </c>
      <c r="Q14" s="126">
        <f>SUM(Q12:Q13)</f>
        <v>0</v>
      </c>
      <c r="R14" s="126">
        <f>SUM(R12:R13)</f>
        <v>0</v>
      </c>
      <c r="S14" s="126">
        <f>SUM(O14:R14)</f>
        <v>9.5000000000000001E-2</v>
      </c>
    </row>
    <row r="15" spans="1:19" s="53" customFormat="1">
      <c r="A15" s="49"/>
      <c r="B15" s="54" t="s">
        <v>34</v>
      </c>
      <c r="C15" s="52">
        <f>C14*VPF</f>
        <v>0</v>
      </c>
      <c r="D15" s="52">
        <f>D14*VPF</f>
        <v>178355.6</v>
      </c>
      <c r="E15" s="52">
        <f>E14*VPF</f>
        <v>0</v>
      </c>
      <c r="F15" s="52">
        <f>F14*VPF</f>
        <v>0</v>
      </c>
      <c r="G15" s="52">
        <f>SUM(C15:F15)</f>
        <v>178355.6</v>
      </c>
      <c r="H15" s="50"/>
      <c r="I15" s="52">
        <f>I14*VPF</f>
        <v>0</v>
      </c>
      <c r="J15" s="52">
        <f>J14*VPF</f>
        <v>187273.38</v>
      </c>
      <c r="K15" s="52">
        <f>K14*VPF</f>
        <v>0</v>
      </c>
      <c r="L15" s="52">
        <f>L14*VPF</f>
        <v>0</v>
      </c>
      <c r="M15" s="52">
        <f>SUM(I15:L15)</f>
        <v>187273.38</v>
      </c>
      <c r="N15" s="50"/>
      <c r="O15" s="52">
        <f>O14*VPF</f>
        <v>0</v>
      </c>
      <c r="P15" s="52">
        <f>P14*VPF</f>
        <v>169437.82</v>
      </c>
      <c r="Q15" s="52">
        <f>Q14*VPF</f>
        <v>0</v>
      </c>
      <c r="R15" s="52">
        <f>R14*VPF</f>
        <v>0</v>
      </c>
      <c r="S15" s="52">
        <f>SUM(O15:R15)</f>
        <v>169437.82</v>
      </c>
    </row>
    <row r="16" spans="1:19">
      <c r="A16" s="19"/>
      <c r="B16" s="19"/>
      <c r="G16" s="19"/>
      <c r="H16" s="19"/>
      <c r="N16" s="19"/>
    </row>
    <row r="17" spans="1:19">
      <c r="A17" s="28" t="s">
        <v>215</v>
      </c>
      <c r="B17" s="23"/>
      <c r="C17" s="59"/>
      <c r="D17" s="29"/>
      <c r="E17" s="29"/>
      <c r="F17" s="29"/>
      <c r="G17" s="29"/>
      <c r="H17" s="19"/>
      <c r="I17" s="59"/>
      <c r="J17" s="29"/>
      <c r="K17" s="29"/>
      <c r="L17" s="29"/>
      <c r="M17" s="29"/>
      <c r="N17" s="19"/>
      <c r="O17" s="59"/>
      <c r="P17" s="29"/>
      <c r="Q17" s="29"/>
      <c r="R17" s="29"/>
      <c r="S17" s="29"/>
    </row>
    <row r="18" spans="1:19">
      <c r="A18" s="60" t="s">
        <v>22</v>
      </c>
      <c r="B18" s="19" t="s">
        <v>18</v>
      </c>
      <c r="C18" s="88">
        <v>20</v>
      </c>
      <c r="D18" s="88">
        <v>50</v>
      </c>
      <c r="E18" s="88"/>
      <c r="F18" s="88"/>
      <c r="G18" s="34">
        <f>SUM(C18:F18)</f>
        <v>70</v>
      </c>
      <c r="H18" s="34"/>
      <c r="I18" s="88">
        <v>21</v>
      </c>
      <c r="J18" s="88">
        <v>52.5</v>
      </c>
      <c r="K18" s="88"/>
      <c r="L18" s="88"/>
      <c r="M18" s="34">
        <f>SUM(I18:L18)</f>
        <v>73.5</v>
      </c>
      <c r="N18" s="19"/>
      <c r="O18" s="86">
        <v>19</v>
      </c>
      <c r="P18" s="86">
        <v>47.5</v>
      </c>
      <c r="Q18" s="86"/>
      <c r="R18" s="86"/>
      <c r="S18" s="19">
        <f>SUM(O18:R18)</f>
        <v>66.5</v>
      </c>
    </row>
    <row r="19" spans="1:19">
      <c r="A19" s="19"/>
      <c r="B19" s="19" t="s">
        <v>23</v>
      </c>
      <c r="C19" s="88">
        <v>5</v>
      </c>
      <c r="D19" s="88">
        <v>10</v>
      </c>
      <c r="E19" s="88"/>
      <c r="F19" s="88"/>
      <c r="G19" s="34">
        <f>SUM(C19:F19)</f>
        <v>15</v>
      </c>
      <c r="H19" s="34"/>
      <c r="I19" s="88">
        <v>5.25</v>
      </c>
      <c r="J19" s="88">
        <v>10.5</v>
      </c>
      <c r="K19" s="88"/>
      <c r="L19" s="88"/>
      <c r="M19" s="34">
        <f>SUM(I19:L19)</f>
        <v>15.75</v>
      </c>
      <c r="N19" s="19"/>
      <c r="O19" s="86">
        <v>4.75</v>
      </c>
      <c r="P19" s="86">
        <v>9.5</v>
      </c>
      <c r="Q19" s="86"/>
      <c r="R19" s="86"/>
      <c r="S19" s="19">
        <f>SUM(O19:R19)</f>
        <v>14.25</v>
      </c>
    </row>
    <row r="20" spans="1:19">
      <c r="A20" s="19"/>
      <c r="B20" s="23" t="s">
        <v>24</v>
      </c>
      <c r="C20" s="36">
        <f>SUM(C18:C19)</f>
        <v>25</v>
      </c>
      <c r="D20" s="36">
        <f>SUM(D18:D19)</f>
        <v>60</v>
      </c>
      <c r="E20" s="40">
        <f>SUM(E18:E19)</f>
        <v>0</v>
      </c>
      <c r="F20" s="36">
        <f>SUM(F18:F19)</f>
        <v>0</v>
      </c>
      <c r="G20" s="34">
        <f>SUM(C20:F20)</f>
        <v>85</v>
      </c>
      <c r="H20" s="34"/>
      <c r="I20" s="36">
        <f>SUM(I18:I19)</f>
        <v>26.25</v>
      </c>
      <c r="J20" s="36">
        <f>SUM(J18:J19)</f>
        <v>63</v>
      </c>
      <c r="K20" s="36">
        <f>SUM(K18:K19)</f>
        <v>0</v>
      </c>
      <c r="L20" s="36">
        <f>SUM(L18:L19)</f>
        <v>0</v>
      </c>
      <c r="M20" s="34">
        <f>SUM(I20:L20)</f>
        <v>89.25</v>
      </c>
      <c r="N20" s="19"/>
      <c r="O20" s="23">
        <f>SUM(O18:O19)</f>
        <v>23.75</v>
      </c>
      <c r="P20" s="23">
        <f>SUM(P18:P19)</f>
        <v>57</v>
      </c>
      <c r="Q20" s="23">
        <f>SUM(Q18:Q19)</f>
        <v>0</v>
      </c>
      <c r="R20" s="23">
        <f>SUM(R18:R19)</f>
        <v>0</v>
      </c>
      <c r="S20" s="19">
        <f>SUM(O20:R20)</f>
        <v>80.75</v>
      </c>
    </row>
    <row r="21" spans="1:19">
      <c r="A21" s="19"/>
      <c r="B21" s="19" t="s">
        <v>169</v>
      </c>
      <c r="C21" s="88">
        <v>100</v>
      </c>
      <c r="D21" s="88">
        <v>100</v>
      </c>
      <c r="E21" s="88"/>
      <c r="F21" s="88"/>
      <c r="G21" s="34"/>
      <c r="H21" s="34"/>
      <c r="I21" s="88">
        <v>105</v>
      </c>
      <c r="J21" s="88">
        <v>105</v>
      </c>
      <c r="K21" s="88"/>
      <c r="L21" s="88"/>
      <c r="M21" s="34"/>
      <c r="N21" s="19"/>
      <c r="O21" s="88">
        <v>95</v>
      </c>
      <c r="P21" s="88">
        <v>95</v>
      </c>
      <c r="Q21" s="88"/>
      <c r="R21" s="88"/>
      <c r="S21" s="19"/>
    </row>
    <row r="22" spans="1:19">
      <c r="A22" s="19"/>
      <c r="B22" s="23" t="s">
        <v>128</v>
      </c>
      <c r="C22" s="35">
        <f>C20*C21</f>
        <v>2500</v>
      </c>
      <c r="D22" s="35">
        <f>D20*D21</f>
        <v>6000</v>
      </c>
      <c r="E22" s="35">
        <f>E20*E21</f>
        <v>0</v>
      </c>
      <c r="F22" s="35">
        <f>F20*F21</f>
        <v>0</v>
      </c>
      <c r="G22" s="36"/>
      <c r="H22" s="34"/>
      <c r="I22" s="35">
        <f>I20*I21</f>
        <v>2756.25</v>
      </c>
      <c r="J22" s="35">
        <f>J20*J21</f>
        <v>6615</v>
      </c>
      <c r="K22" s="35">
        <f>K20*K21</f>
        <v>0</v>
      </c>
      <c r="L22" s="35">
        <f>L20*L21</f>
        <v>0</v>
      </c>
      <c r="M22" s="34"/>
      <c r="N22" s="19"/>
      <c r="O22" s="35">
        <f>O20*O21</f>
        <v>2256.25</v>
      </c>
      <c r="P22" s="35">
        <f>P20*P21</f>
        <v>5415</v>
      </c>
      <c r="Q22" s="35">
        <f>Q20*Q21</f>
        <v>0</v>
      </c>
      <c r="R22" s="35">
        <f>R20*R21</f>
        <v>0</v>
      </c>
      <c r="S22" s="19"/>
    </row>
    <row r="23" spans="1:19">
      <c r="A23" s="19"/>
      <c r="B23" s="19" t="s">
        <v>26</v>
      </c>
      <c r="C23" s="92">
        <v>0.01</v>
      </c>
      <c r="D23" s="92">
        <v>5.0000000000000001E-3</v>
      </c>
      <c r="E23" s="92">
        <v>0</v>
      </c>
      <c r="F23" s="92">
        <v>0</v>
      </c>
      <c r="G23" s="34"/>
      <c r="H23" s="34"/>
      <c r="I23" s="92">
        <v>0.01</v>
      </c>
      <c r="J23" s="92">
        <v>5.0000000000000001E-3</v>
      </c>
      <c r="K23" s="92">
        <v>0</v>
      </c>
      <c r="L23" s="92">
        <v>0</v>
      </c>
      <c r="M23" s="34"/>
      <c r="N23" s="19"/>
      <c r="O23" s="92">
        <v>0.01</v>
      </c>
      <c r="P23" s="92">
        <v>5.0000000000000001E-3</v>
      </c>
      <c r="Q23" s="92">
        <v>0</v>
      </c>
      <c r="R23" s="92">
        <v>0</v>
      </c>
      <c r="S23" s="19"/>
    </row>
    <row r="24" spans="1:19" s="53" customFormat="1">
      <c r="A24" s="49"/>
      <c r="B24" s="49" t="s">
        <v>77</v>
      </c>
      <c r="C24" s="93">
        <v>25</v>
      </c>
      <c r="D24" s="93">
        <v>50</v>
      </c>
      <c r="E24" s="93"/>
      <c r="F24" s="93"/>
      <c r="G24" s="50"/>
      <c r="H24" s="50"/>
      <c r="I24" s="93">
        <v>26.25</v>
      </c>
      <c r="J24" s="93">
        <v>52.5</v>
      </c>
      <c r="K24" s="93"/>
      <c r="L24" s="93"/>
      <c r="M24" s="50"/>
      <c r="N24" s="49"/>
      <c r="O24" s="93">
        <v>23.75</v>
      </c>
      <c r="P24" s="93">
        <v>47.5</v>
      </c>
      <c r="Q24" s="93"/>
      <c r="R24" s="93"/>
      <c r="S24" s="49"/>
    </row>
    <row r="25" spans="1:19" s="53" customFormat="1">
      <c r="A25" s="49"/>
      <c r="B25" s="49" t="s">
        <v>27</v>
      </c>
      <c r="C25" s="93">
        <v>10000</v>
      </c>
      <c r="D25" s="93">
        <v>20000</v>
      </c>
      <c r="E25" s="93"/>
      <c r="F25" s="93"/>
      <c r="G25" s="50"/>
      <c r="H25" s="50"/>
      <c r="I25" s="93">
        <v>10500</v>
      </c>
      <c r="J25" s="93">
        <v>21000</v>
      </c>
      <c r="K25" s="93"/>
      <c r="L25" s="93"/>
      <c r="M25" s="50"/>
      <c r="N25" s="49"/>
      <c r="O25" s="93">
        <v>9500</v>
      </c>
      <c r="P25" s="93">
        <v>19000</v>
      </c>
      <c r="Q25" s="93"/>
      <c r="R25" s="93"/>
      <c r="S25" s="49"/>
    </row>
    <row r="26" spans="1:19" s="53" customFormat="1">
      <c r="A26" s="49"/>
      <c r="B26" s="54" t="s">
        <v>28</v>
      </c>
      <c r="C26" s="52">
        <f>C21*C20*C24+C25*C23*C20</f>
        <v>65000</v>
      </c>
      <c r="D26" s="52">
        <f>D21*D20*D24+D25*D23*D20</f>
        <v>306000</v>
      </c>
      <c r="E26" s="52">
        <f>E21*E20*E24+E25*E23*E20</f>
        <v>0</v>
      </c>
      <c r="F26" s="52">
        <f>F21*F20*F24+F25*F23*F20</f>
        <v>0</v>
      </c>
      <c r="G26" s="52">
        <f>SUM(C26:F26)</f>
        <v>371000</v>
      </c>
      <c r="H26" s="50"/>
      <c r="I26" s="52">
        <f>I21*I20*I24+I25*I23*I20</f>
        <v>75107.8125</v>
      </c>
      <c r="J26" s="52">
        <f>J21*J20*J24+J25*J23*J20</f>
        <v>353902.5</v>
      </c>
      <c r="K26" s="52">
        <f>K21*K20*K24+K25*K23*K20</f>
        <v>0</v>
      </c>
      <c r="L26" s="52">
        <f>L21*L20*L24+L25*L23*L20</f>
        <v>0</v>
      </c>
      <c r="M26" s="52">
        <f>SUM(I26:L26)</f>
        <v>429010.3125</v>
      </c>
      <c r="N26" s="49"/>
      <c r="O26" s="52">
        <f>O21*O20*O24+O25*O23*O20</f>
        <v>55842.1875</v>
      </c>
      <c r="P26" s="52">
        <f>P21*P20*P24+P25*P23*P20</f>
        <v>262627.5</v>
      </c>
      <c r="Q26" s="52">
        <f>Q21*Q20*Q24+Q25*Q23*Q20</f>
        <v>0</v>
      </c>
      <c r="R26" s="52">
        <f>R21*R20*R24+R25*R23*R20</f>
        <v>0</v>
      </c>
      <c r="S26" s="54">
        <f>SUM(O26:R26)</f>
        <v>318469.6875</v>
      </c>
    </row>
    <row r="27" spans="1:19">
      <c r="A27" s="19"/>
      <c r="B27" s="19"/>
      <c r="C27" s="19"/>
      <c r="D27" s="19"/>
      <c r="E27" s="19"/>
      <c r="F27" s="19"/>
      <c r="G27" s="19"/>
      <c r="H27" s="19"/>
      <c r="I27" s="19"/>
      <c r="J27" s="19"/>
      <c r="K27" s="19"/>
      <c r="L27" s="19"/>
      <c r="M27" s="19"/>
      <c r="N27" s="19"/>
      <c r="O27" s="19"/>
      <c r="P27" s="19"/>
      <c r="Q27" s="19"/>
      <c r="R27" s="19"/>
      <c r="S27" s="19"/>
    </row>
    <row r="28" spans="1:19">
      <c r="A28" s="28" t="s">
        <v>30</v>
      </c>
      <c r="B28" s="19"/>
      <c r="C28" s="59"/>
      <c r="D28" s="29"/>
      <c r="E28" s="29"/>
      <c r="F28" s="29"/>
      <c r="G28" s="29"/>
      <c r="H28" s="19"/>
      <c r="I28" s="59"/>
      <c r="J28" s="29"/>
      <c r="K28" s="29"/>
      <c r="L28" s="29"/>
      <c r="M28" s="29"/>
      <c r="N28" s="19"/>
      <c r="O28" s="59"/>
      <c r="P28" s="29"/>
      <c r="Q28" s="29"/>
      <c r="R28" s="29"/>
      <c r="S28" s="29"/>
    </row>
    <row r="29" spans="1:19">
      <c r="A29" s="60"/>
      <c r="B29" s="19" t="s">
        <v>32</v>
      </c>
      <c r="C29" s="88">
        <v>0.1</v>
      </c>
      <c r="D29" s="88">
        <v>0.3</v>
      </c>
      <c r="E29" s="88"/>
      <c r="F29" s="88"/>
      <c r="G29" s="34">
        <f>SUM(C29:F29)</f>
        <v>0.4</v>
      </c>
      <c r="H29" s="34"/>
      <c r="I29" s="88">
        <v>0.105</v>
      </c>
      <c r="J29" s="88">
        <v>0.315</v>
      </c>
      <c r="K29" s="88"/>
      <c r="L29" s="88"/>
      <c r="M29" s="34">
        <f>SUM(I29:L29)</f>
        <v>0.42</v>
      </c>
      <c r="N29" s="34"/>
      <c r="O29" s="88">
        <v>9.5000000000000001E-2</v>
      </c>
      <c r="P29" s="88">
        <v>0.28499999999999998</v>
      </c>
      <c r="Q29" s="88"/>
      <c r="R29" s="88"/>
      <c r="S29" s="34">
        <f>SUM(O29:R29)</f>
        <v>0.38</v>
      </c>
    </row>
    <row r="30" spans="1:19" s="53" customFormat="1">
      <c r="A30" s="49"/>
      <c r="B30" s="49" t="s">
        <v>33</v>
      </c>
      <c r="C30" s="93">
        <v>50000</v>
      </c>
      <c r="D30" s="93">
        <v>100000</v>
      </c>
      <c r="E30" s="93"/>
      <c r="F30" s="93"/>
      <c r="G30" s="50"/>
      <c r="H30" s="50"/>
      <c r="I30" s="93">
        <v>52500</v>
      </c>
      <c r="J30" s="93">
        <v>105000</v>
      </c>
      <c r="K30" s="93"/>
      <c r="L30" s="93"/>
      <c r="M30" s="50"/>
      <c r="N30" s="50"/>
      <c r="O30" s="93">
        <v>47500</v>
      </c>
      <c r="P30" s="93">
        <v>95000</v>
      </c>
      <c r="Q30" s="93"/>
      <c r="R30" s="93"/>
      <c r="S30" s="50"/>
    </row>
    <row r="31" spans="1:19" s="53" customFormat="1">
      <c r="A31" s="49"/>
      <c r="B31" s="49" t="s">
        <v>31</v>
      </c>
      <c r="C31" s="93"/>
      <c r="D31" s="93"/>
      <c r="E31" s="93"/>
      <c r="F31" s="93"/>
      <c r="G31" s="50">
        <f>SUM(C31:F31)</f>
        <v>0</v>
      </c>
      <c r="H31" s="50"/>
      <c r="I31" s="93"/>
      <c r="J31" s="93"/>
      <c r="K31" s="93"/>
      <c r="L31" s="93"/>
      <c r="M31" s="50">
        <f>SUM(I31:L31)</f>
        <v>0</v>
      </c>
      <c r="N31" s="50"/>
      <c r="O31" s="93"/>
      <c r="P31" s="93"/>
      <c r="Q31" s="93"/>
      <c r="R31" s="93"/>
      <c r="S31" s="50">
        <f>SUM(O31:R31)</f>
        <v>0</v>
      </c>
    </row>
    <row r="32" spans="1:19" s="53" customFormat="1">
      <c r="A32" s="49"/>
      <c r="B32" s="54" t="s">
        <v>35</v>
      </c>
      <c r="C32" s="52">
        <f>C29*C30+C31</f>
        <v>5000</v>
      </c>
      <c r="D32" s="52">
        <f>D29*D30+D31</f>
        <v>30000</v>
      </c>
      <c r="E32" s="52">
        <f>E29*E30+E31</f>
        <v>0</v>
      </c>
      <c r="F32" s="52">
        <f>F29*F30+F31</f>
        <v>0</v>
      </c>
      <c r="G32" s="52">
        <f>SUM(C32:F32)</f>
        <v>35000</v>
      </c>
      <c r="H32" s="50"/>
      <c r="I32" s="52">
        <f>I29*I30+I31</f>
        <v>5512.5</v>
      </c>
      <c r="J32" s="52">
        <f>J29*J30+J31</f>
        <v>33075</v>
      </c>
      <c r="K32" s="52">
        <f>K29*K30+K31</f>
        <v>0</v>
      </c>
      <c r="L32" s="52">
        <f>L29*L30+L31</f>
        <v>0</v>
      </c>
      <c r="M32" s="52">
        <f>SUM(I32:L32)</f>
        <v>38587.5</v>
      </c>
      <c r="N32" s="50"/>
      <c r="O32" s="52">
        <f>O29*O30+O31</f>
        <v>4512.5</v>
      </c>
      <c r="P32" s="52">
        <f>P29*P30+P31</f>
        <v>27074.999999999996</v>
      </c>
      <c r="Q32" s="52">
        <f>Q29*Q30+Q31</f>
        <v>0</v>
      </c>
      <c r="R32" s="52">
        <f>R29*R30+R31</f>
        <v>0</v>
      </c>
      <c r="S32" s="52">
        <f>SUM(O32:R32)</f>
        <v>31587.499999999996</v>
      </c>
    </row>
    <row r="33" spans="1:19" s="53" customFormat="1">
      <c r="A33" s="49"/>
      <c r="B33" s="49"/>
      <c r="C33" s="50"/>
      <c r="D33" s="50"/>
      <c r="E33" s="50"/>
      <c r="F33" s="50"/>
      <c r="G33" s="50"/>
      <c r="H33" s="50"/>
      <c r="I33" s="50"/>
      <c r="J33" s="50"/>
      <c r="K33" s="50"/>
      <c r="L33" s="50"/>
      <c r="M33" s="50"/>
      <c r="N33" s="50"/>
      <c r="O33" s="50"/>
      <c r="P33" s="50"/>
      <c r="Q33" s="50"/>
      <c r="R33" s="50"/>
      <c r="S33" s="50"/>
    </row>
    <row r="34" spans="1:19" s="53" customFormat="1">
      <c r="A34" s="128" t="s">
        <v>36</v>
      </c>
      <c r="B34" s="54"/>
      <c r="C34" s="52">
        <f>C32+C26+C15</f>
        <v>70000</v>
      </c>
      <c r="D34" s="52">
        <f>D32+D26+D15</f>
        <v>514355.6</v>
      </c>
      <c r="E34" s="52">
        <f>E32+E26+E15</f>
        <v>0</v>
      </c>
      <c r="F34" s="52">
        <f>F32+F26+F15</f>
        <v>0</v>
      </c>
      <c r="G34" s="52">
        <f>SUM(C34:F34)</f>
        <v>584355.6</v>
      </c>
      <c r="H34" s="50"/>
      <c r="I34" s="52">
        <f>I32+I26+I15</f>
        <v>80620.3125</v>
      </c>
      <c r="J34" s="52">
        <f>J32+J26+J15</f>
        <v>574250.88</v>
      </c>
      <c r="K34" s="52">
        <f>K32+K26+K15</f>
        <v>0</v>
      </c>
      <c r="L34" s="52">
        <f>L32+L26+L15</f>
        <v>0</v>
      </c>
      <c r="M34" s="52">
        <f>SUM(I34:L34)</f>
        <v>654871.1925</v>
      </c>
      <c r="N34" s="50"/>
      <c r="O34" s="52">
        <f>O32+O26+O15</f>
        <v>60354.6875</v>
      </c>
      <c r="P34" s="52">
        <f>P32+P26+P15</f>
        <v>459140.32</v>
      </c>
      <c r="Q34" s="52">
        <f>Q32+Q26+Q15</f>
        <v>0</v>
      </c>
      <c r="R34" s="52">
        <f>R32+R26+R15</f>
        <v>0</v>
      </c>
      <c r="S34" s="52">
        <f>SUM(O34:R34)</f>
        <v>519495.00750000001</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38" r:id="rId4" name="Button 5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2339" r:id="rId5" name="Button 51">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2340" r:id="rId6" name="Button 52">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2341" r:id="rId7" name="Button 53">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2342" r:id="rId8" name="Button 54">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AWLC">
    <tabColor indexed="57"/>
  </sheetPr>
  <dimension ref="A1:S43"/>
  <sheetViews>
    <sheetView workbookViewId="0">
      <selection activeCell="D14" sqref="D14"/>
    </sheetView>
  </sheetViews>
  <sheetFormatPr defaultColWidth="41" defaultRowHeight="12.75"/>
  <cols>
    <col min="1" max="1" width="23.85546875" style="1" customWidth="1"/>
    <col min="2" max="2" width="33.7109375" style="1" bestFit="1" customWidth="1"/>
    <col min="3" max="7" width="17.28515625" style="1" customWidth="1"/>
    <col min="8" max="8" width="5" style="1" customWidth="1"/>
    <col min="9" max="13" width="17.28515625" style="1" customWidth="1"/>
    <col min="14" max="14" width="5" style="1" customWidth="1"/>
    <col min="15" max="19" width="17.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203</v>
      </c>
      <c r="C5" s="11"/>
      <c r="E5" s="12"/>
      <c r="K5" s="12"/>
    </row>
    <row r="7" spans="1:19">
      <c r="A7" s="23" t="s">
        <v>2</v>
      </c>
      <c r="B7" s="19" t="str">
        <f>'Asset Info'!B7</f>
        <v>Plain Line Track</v>
      </c>
    </row>
    <row r="8" spans="1:19">
      <c r="A8" s="19"/>
    </row>
    <row r="9" spans="1:19">
      <c r="A9" s="23" t="s">
        <v>174</v>
      </c>
      <c r="B9" s="2"/>
      <c r="C9" s="17" t="s">
        <v>80</v>
      </c>
      <c r="D9" s="18"/>
      <c r="E9" s="18"/>
      <c r="F9" s="18"/>
      <c r="G9" s="18"/>
      <c r="I9" s="13" t="s">
        <v>81</v>
      </c>
      <c r="J9" s="14"/>
      <c r="K9" s="14"/>
      <c r="L9" s="14"/>
      <c r="M9" s="14"/>
      <c r="O9" s="15" t="s">
        <v>82</v>
      </c>
      <c r="P9" s="16"/>
      <c r="Q9" s="16"/>
      <c r="R9" s="16"/>
      <c r="S9" s="16"/>
    </row>
    <row r="10" spans="1:19" s="42" customFormat="1">
      <c r="A10" s="41"/>
      <c r="B10" s="19"/>
      <c r="C10" s="39" t="str">
        <f>'Asset Info'!C10</f>
        <v>Crossrail</v>
      </c>
      <c r="D10" s="39" t="str">
        <f>'Asset Info'!D10</f>
        <v>NR Western</v>
      </c>
      <c r="E10" s="39" t="str">
        <f>'Asset Info'!E10</f>
        <v>Balfour Beatty</v>
      </c>
      <c r="F10" s="39" t="str">
        <f>'Asset Info'!F10</f>
        <v>RSSB</v>
      </c>
      <c r="G10" s="39" t="s">
        <v>29</v>
      </c>
      <c r="H10" s="37"/>
      <c r="I10" s="39" t="str">
        <f>'Asset Info'!I10</f>
        <v>Crossrail</v>
      </c>
      <c r="J10" s="39" t="str">
        <f>'Asset Info'!J10</f>
        <v>NR Western</v>
      </c>
      <c r="K10" s="39" t="str">
        <f>'Asset Info'!K10</f>
        <v>Balfour Beatty</v>
      </c>
      <c r="L10" s="39" t="str">
        <f>'Asset Info'!L10</f>
        <v>RSSB</v>
      </c>
      <c r="M10" s="39" t="s">
        <v>29</v>
      </c>
      <c r="N10" s="37"/>
      <c r="O10" s="39" t="str">
        <f>'Asset Info'!O10</f>
        <v>Crossrail</v>
      </c>
      <c r="P10" s="39" t="str">
        <f>'Asset Info'!P10</f>
        <v>NR Western</v>
      </c>
      <c r="Q10" s="39" t="str">
        <f>'Asset Info'!Q10</f>
        <v>Balfour Beatty</v>
      </c>
      <c r="R10" s="39" t="str">
        <f>'Asset Info'!R10</f>
        <v>RSSB</v>
      </c>
      <c r="S10" s="39" t="s">
        <v>29</v>
      </c>
    </row>
    <row r="11" spans="1:19" s="38" customFormat="1">
      <c r="A11" s="60" t="s">
        <v>37</v>
      </c>
      <c r="B11" s="19" t="s">
        <v>39</v>
      </c>
      <c r="C11" s="88"/>
      <c r="D11" s="88">
        <v>50</v>
      </c>
      <c r="E11" s="88"/>
      <c r="F11" s="88"/>
      <c r="G11" s="34"/>
      <c r="H11" s="34"/>
      <c r="I11" s="88"/>
      <c r="J11" s="88">
        <v>52.5</v>
      </c>
      <c r="K11" s="88"/>
      <c r="L11" s="88"/>
      <c r="M11" s="34"/>
      <c r="N11" s="34"/>
      <c r="O11" s="88"/>
      <c r="P11" s="88">
        <v>47.5</v>
      </c>
      <c r="Q11" s="88"/>
      <c r="R11" s="88">
        <v>23.75</v>
      </c>
      <c r="S11" s="34"/>
    </row>
    <row r="12" spans="1:19" s="38" customFormat="1">
      <c r="A12" s="60"/>
      <c r="B12" s="19" t="s">
        <v>40</v>
      </c>
      <c r="C12" s="93"/>
      <c r="D12" s="93">
        <v>1000</v>
      </c>
      <c r="E12" s="93"/>
      <c r="F12" s="93"/>
      <c r="G12" s="50"/>
      <c r="H12" s="50"/>
      <c r="I12" s="93"/>
      <c r="J12" s="93">
        <v>1050</v>
      </c>
      <c r="K12" s="93"/>
      <c r="L12" s="93"/>
      <c r="M12" s="50"/>
      <c r="N12" s="50"/>
      <c r="O12" s="93"/>
      <c r="P12" s="93">
        <v>950</v>
      </c>
      <c r="Q12" s="93"/>
      <c r="R12" s="93">
        <v>950</v>
      </c>
      <c r="S12" s="50"/>
    </row>
    <row r="13" spans="1:19" s="38" customFormat="1">
      <c r="A13" s="60"/>
      <c r="B13" s="23" t="s">
        <v>38</v>
      </c>
      <c r="C13" s="52">
        <f>C11*C12</f>
        <v>0</v>
      </c>
      <c r="D13" s="52">
        <f>D11*D12</f>
        <v>50000</v>
      </c>
      <c r="E13" s="52">
        <f>E11*E12</f>
        <v>0</v>
      </c>
      <c r="F13" s="52">
        <f>F11*F12</f>
        <v>0</v>
      </c>
      <c r="G13" s="52">
        <f>SUM(C13:F13)</f>
        <v>50000</v>
      </c>
      <c r="H13" s="50"/>
      <c r="I13" s="52">
        <f>I11*I12</f>
        <v>0</v>
      </c>
      <c r="J13" s="52">
        <f>J11*J12</f>
        <v>55125</v>
      </c>
      <c r="K13" s="52">
        <f>K11*K12</f>
        <v>0</v>
      </c>
      <c r="L13" s="52">
        <f>L11*L12</f>
        <v>0</v>
      </c>
      <c r="M13" s="52">
        <f>SUM(I13:L13)</f>
        <v>55125</v>
      </c>
      <c r="N13" s="50"/>
      <c r="O13" s="52">
        <f>O11*O12</f>
        <v>0</v>
      </c>
      <c r="P13" s="52">
        <f>P11*P12</f>
        <v>45125</v>
      </c>
      <c r="Q13" s="52">
        <f>Q11*Q12</f>
        <v>0</v>
      </c>
      <c r="R13" s="52">
        <f>R11*R12</f>
        <v>22562.5</v>
      </c>
      <c r="S13" s="52">
        <f>SUM(O13:R13)</f>
        <v>67687.5</v>
      </c>
    </row>
    <row r="14" spans="1:19" s="38" customFormat="1">
      <c r="A14" s="60"/>
      <c r="B14" s="30" t="s">
        <v>159</v>
      </c>
      <c r="C14" s="129" t="str">
        <f>IF(C11&lt;&gt;"",C11/'Asset Info'!C18,"-")</f>
        <v>-</v>
      </c>
      <c r="D14" s="129">
        <f>IF(D11&lt;&gt;"",D11/'Asset Info'!D18,"-")</f>
        <v>0.83333333333333337</v>
      </c>
      <c r="E14" s="129" t="str">
        <f>IF(E11&lt;&gt;"",E11/'Asset Info'!E18,"-")</f>
        <v>-</v>
      </c>
      <c r="F14" s="129" t="str">
        <f>IF(F11&lt;&gt;"",F11/'Asset Info'!F18,"-")</f>
        <v>-</v>
      </c>
      <c r="G14" s="130"/>
      <c r="H14" s="131"/>
      <c r="I14" s="129" t="str">
        <f>IF(I11&lt;&gt;"",I11/'Asset Info'!I18,"-")</f>
        <v>-</v>
      </c>
      <c r="J14" s="129">
        <f>IF(J11&lt;&gt;"",J11/'Asset Info'!J18,"-")</f>
        <v>0.79545454545454541</v>
      </c>
      <c r="K14" s="129" t="str">
        <f>IF(K11&lt;&gt;"",K11/'Asset Info'!K18,"-")</f>
        <v>-</v>
      </c>
      <c r="L14" s="129" t="str">
        <f>IF(L11&lt;&gt;"",L11/'Asset Info'!L18,"-")</f>
        <v>-</v>
      </c>
      <c r="M14" s="130"/>
      <c r="N14" s="131"/>
      <c r="O14" s="129" t="str">
        <f>IF(O11&lt;&gt;"",O11/'Asset Info'!O18,"-")</f>
        <v>-</v>
      </c>
      <c r="P14" s="129">
        <f>IF(P11&lt;&gt;"",P11/'Asset Info'!P18,"-")</f>
        <v>0.87962962962962965</v>
      </c>
      <c r="Q14" s="129" t="str">
        <f>IF(Q11&lt;&gt;"",Q11/'Asset Info'!Q18,"-")</f>
        <v>-</v>
      </c>
      <c r="R14" s="129" t="e">
        <f>IF(R11&lt;&gt;"",R11/'Asset Info'!R18,"-")</f>
        <v>#DIV/0!</v>
      </c>
      <c r="S14" s="130"/>
    </row>
    <row r="15" spans="1:19" s="38" customFormat="1">
      <c r="A15" s="60"/>
      <c r="B15" s="30" t="s">
        <v>160</v>
      </c>
      <c r="C15" s="43" t="str">
        <f>IF(C14&lt;&gt;"-",1/C14, "-")</f>
        <v>-</v>
      </c>
      <c r="D15" s="43">
        <f>IF(D14&lt;&gt;"-",1/D14, "-")</f>
        <v>1.2</v>
      </c>
      <c r="E15" s="43" t="str">
        <f>IF(E14&lt;&gt;"-",1/E14, "-")</f>
        <v>-</v>
      </c>
      <c r="F15" s="43" t="str">
        <f>IF(F14&lt;&gt;"-",1/F14, "-")</f>
        <v>-</v>
      </c>
      <c r="G15" s="35"/>
      <c r="H15" s="34"/>
      <c r="I15" s="43" t="str">
        <f>IF(I14&lt;&gt;"-",1/I14, "-")</f>
        <v>-</v>
      </c>
      <c r="J15" s="43">
        <f>IF(J14&lt;&gt;"-",1/J14, "-")</f>
        <v>1.2571428571428571</v>
      </c>
      <c r="K15" s="43" t="str">
        <f>IF(K14&lt;&gt;"-",1/K14, "-")</f>
        <v>-</v>
      </c>
      <c r="L15" s="43" t="str">
        <f>IF(L14&lt;&gt;"-",1/L14, "-")</f>
        <v>-</v>
      </c>
      <c r="M15" s="35"/>
      <c r="N15" s="34"/>
      <c r="O15" s="43" t="str">
        <f>IF(O14&lt;&gt;"-",1/O14, "-")</f>
        <v>-</v>
      </c>
      <c r="P15" s="43">
        <f>IF(P14&lt;&gt;"-",1/P14, "-")</f>
        <v>1.1368421052631579</v>
      </c>
      <c r="Q15" s="43" t="str">
        <f>IF(Q14&lt;&gt;"-",1/Q14, "-")</f>
        <v>-</v>
      </c>
      <c r="R15" s="43" t="e">
        <f>IF(R14&lt;&gt;"-",1/R14, "-")</f>
        <v>#DIV/0!</v>
      </c>
      <c r="S15" s="35"/>
    </row>
    <row r="16" spans="1:19">
      <c r="A16" s="60"/>
      <c r="B16" s="19"/>
      <c r="G16" s="19"/>
      <c r="H16" s="19"/>
      <c r="M16" s="19"/>
      <c r="N16" s="19"/>
      <c r="S16" s="19"/>
    </row>
    <row r="17" spans="1:19">
      <c r="A17" s="60" t="s">
        <v>44</v>
      </c>
      <c r="B17" s="19" t="s">
        <v>41</v>
      </c>
      <c r="C17" s="94"/>
      <c r="D17" s="94" t="s">
        <v>313</v>
      </c>
      <c r="E17" s="94"/>
      <c r="F17" s="94"/>
      <c r="G17" s="37"/>
      <c r="H17" s="37"/>
      <c r="I17" s="94"/>
      <c r="J17" s="94" t="s">
        <v>313</v>
      </c>
      <c r="K17" s="94"/>
      <c r="L17" s="94"/>
      <c r="M17" s="37"/>
      <c r="N17" s="37"/>
      <c r="O17" s="94"/>
      <c r="P17" s="94" t="s">
        <v>313</v>
      </c>
      <c r="Q17" s="94"/>
      <c r="R17" s="94"/>
      <c r="S17" s="19"/>
    </row>
    <row r="18" spans="1:19">
      <c r="A18" s="60"/>
      <c r="B18" s="19" t="s">
        <v>42</v>
      </c>
      <c r="C18" s="94"/>
      <c r="D18" s="94" t="s">
        <v>314</v>
      </c>
      <c r="E18" s="94"/>
      <c r="F18" s="94"/>
      <c r="G18" s="37"/>
      <c r="H18" s="37"/>
      <c r="I18" s="94"/>
      <c r="J18" s="94" t="s">
        <v>314</v>
      </c>
      <c r="K18" s="94"/>
      <c r="L18" s="94"/>
      <c r="M18" s="37"/>
      <c r="N18" s="37"/>
      <c r="O18" s="94"/>
      <c r="P18" s="94" t="s">
        <v>314</v>
      </c>
      <c r="Q18" s="94"/>
      <c r="R18" s="94"/>
      <c r="S18" s="19"/>
    </row>
    <row r="19" spans="1:19">
      <c r="A19" s="60"/>
      <c r="B19" s="19" t="s">
        <v>43</v>
      </c>
      <c r="C19" s="94"/>
      <c r="D19" s="94" t="s">
        <v>315</v>
      </c>
      <c r="E19" s="94"/>
      <c r="F19" s="94"/>
      <c r="G19" s="37"/>
      <c r="H19" s="37"/>
      <c r="I19" s="94"/>
      <c r="J19" s="94" t="s">
        <v>315</v>
      </c>
      <c r="K19" s="94"/>
      <c r="L19" s="94"/>
      <c r="M19" s="37"/>
      <c r="N19" s="37"/>
      <c r="O19" s="94"/>
      <c r="P19" s="94" t="s">
        <v>315</v>
      </c>
      <c r="Q19" s="94"/>
      <c r="R19" s="94"/>
      <c r="S19" s="19"/>
    </row>
    <row r="20" spans="1:19" s="38" customFormat="1">
      <c r="A20" s="60"/>
      <c r="B20" s="19" t="s">
        <v>45</v>
      </c>
      <c r="C20" s="88"/>
      <c r="D20" s="88">
        <v>1</v>
      </c>
      <c r="E20" s="88"/>
      <c r="F20" s="88"/>
      <c r="G20" s="34"/>
      <c r="H20" s="34"/>
      <c r="I20" s="88"/>
      <c r="J20" s="88">
        <v>1</v>
      </c>
      <c r="K20" s="88"/>
      <c r="L20" s="88"/>
      <c r="M20" s="34"/>
      <c r="N20" s="34"/>
      <c r="O20" s="88"/>
      <c r="P20" s="88">
        <v>1</v>
      </c>
      <c r="Q20" s="88"/>
      <c r="R20" s="88"/>
      <c r="S20" s="34"/>
    </row>
    <row r="21" spans="1:19" s="38" customFormat="1">
      <c r="A21" s="60"/>
      <c r="B21" s="19" t="s">
        <v>46</v>
      </c>
      <c r="C21" s="88"/>
      <c r="D21" s="88">
        <v>1</v>
      </c>
      <c r="E21" s="88"/>
      <c r="F21" s="88"/>
      <c r="G21" s="34"/>
      <c r="H21" s="34"/>
      <c r="I21" s="88"/>
      <c r="J21" s="88">
        <v>1</v>
      </c>
      <c r="K21" s="88"/>
      <c r="L21" s="88"/>
      <c r="M21" s="34"/>
      <c r="N21" s="34"/>
      <c r="O21" s="88"/>
      <c r="P21" s="88">
        <v>1</v>
      </c>
      <c r="Q21" s="88"/>
      <c r="R21" s="88"/>
      <c r="S21" s="34"/>
    </row>
    <row r="22" spans="1:19" s="38" customFormat="1">
      <c r="A22" s="60"/>
      <c r="B22" s="19" t="s">
        <v>47</v>
      </c>
      <c r="C22" s="88"/>
      <c r="D22" s="88">
        <v>10</v>
      </c>
      <c r="E22" s="88"/>
      <c r="F22" s="88"/>
      <c r="G22" s="34"/>
      <c r="H22" s="34"/>
      <c r="I22" s="88"/>
      <c r="J22" s="88">
        <v>10</v>
      </c>
      <c r="K22" s="88"/>
      <c r="L22" s="88"/>
      <c r="M22" s="34"/>
      <c r="N22" s="34"/>
      <c r="O22" s="88"/>
      <c r="P22" s="88">
        <v>10</v>
      </c>
      <c r="Q22" s="88"/>
      <c r="R22" s="88"/>
      <c r="S22" s="34"/>
    </row>
    <row r="23" spans="1:19" s="38" customFormat="1">
      <c r="A23" s="60"/>
      <c r="B23" s="19" t="s">
        <v>48</v>
      </c>
      <c r="C23" s="93"/>
      <c r="D23" s="93">
        <v>5000</v>
      </c>
      <c r="E23" s="93"/>
      <c r="F23" s="93"/>
      <c r="G23" s="50"/>
      <c r="H23" s="50"/>
      <c r="I23" s="93"/>
      <c r="J23" s="93">
        <v>5250</v>
      </c>
      <c r="K23" s="93"/>
      <c r="L23" s="93"/>
      <c r="M23" s="50"/>
      <c r="N23" s="50"/>
      <c r="O23" s="93"/>
      <c r="P23" s="93">
        <v>4750</v>
      </c>
      <c r="Q23" s="93"/>
      <c r="R23" s="93"/>
      <c r="S23" s="50"/>
    </row>
    <row r="24" spans="1:19" s="38" customFormat="1">
      <c r="A24" s="60"/>
      <c r="B24" s="19" t="s">
        <v>49</v>
      </c>
      <c r="C24" s="93"/>
      <c r="D24" s="93">
        <v>100000</v>
      </c>
      <c r="E24" s="93"/>
      <c r="F24" s="93"/>
      <c r="G24" s="50"/>
      <c r="H24" s="50"/>
      <c r="I24" s="93"/>
      <c r="J24" s="93">
        <v>105000</v>
      </c>
      <c r="K24" s="93"/>
      <c r="L24" s="93"/>
      <c r="M24" s="50"/>
      <c r="N24" s="50"/>
      <c r="O24" s="93"/>
      <c r="P24" s="93">
        <v>95000</v>
      </c>
      <c r="Q24" s="93"/>
      <c r="R24" s="93"/>
      <c r="S24" s="50"/>
    </row>
    <row r="25" spans="1:19" s="38" customFormat="1">
      <c r="A25" s="60"/>
      <c r="B25" s="19" t="s">
        <v>50</v>
      </c>
      <c r="C25" s="93"/>
      <c r="D25" s="93">
        <v>500000</v>
      </c>
      <c r="E25" s="93"/>
      <c r="F25" s="93"/>
      <c r="G25" s="50"/>
      <c r="H25" s="50"/>
      <c r="I25" s="93"/>
      <c r="J25" s="93">
        <v>525000</v>
      </c>
      <c r="K25" s="93"/>
      <c r="L25" s="93"/>
      <c r="M25" s="50"/>
      <c r="N25" s="50"/>
      <c r="O25" s="93"/>
      <c r="P25" s="93">
        <v>475000</v>
      </c>
      <c r="Q25" s="93"/>
      <c r="R25" s="93"/>
      <c r="S25" s="50"/>
    </row>
    <row r="26" spans="1:19">
      <c r="A26" s="60"/>
      <c r="B26" s="19" t="s">
        <v>51</v>
      </c>
      <c r="C26" s="50">
        <f>C23/MAX(C20,0.00001)+C24/MAX(C21,0.00001)+C25/MAX(C22,0.0001)</f>
        <v>0</v>
      </c>
      <c r="D26" s="50">
        <f>D23/MAX(D20,0.00001)+D24/MAX(D21,0.00001)+D25/MAX(D22,0.0001)</f>
        <v>155000</v>
      </c>
      <c r="E26" s="50">
        <f>E23/MAX(E20,0.00001)+E24/MAX(E21,0.00001)+E25/MAX(E22,0.0001)</f>
        <v>0</v>
      </c>
      <c r="F26" s="50">
        <f>F23/MAX(F20,0.00001)+F24/MAX(F21,0.00001)+F25/MAX(F22,0.0001)</f>
        <v>0</v>
      </c>
      <c r="G26" s="50"/>
      <c r="H26" s="50"/>
      <c r="I26" s="50">
        <f>I23/MAX(I20,0.00001)+I24/MAX(I21,0.00001)+I25/MAX(I22,0.0001)</f>
        <v>0</v>
      </c>
      <c r="J26" s="50">
        <f>J23/MAX(J20,0.00001)+J24/MAX(J21,0.00001)+J25/MAX(J22,0.0001)</f>
        <v>162750</v>
      </c>
      <c r="K26" s="50">
        <f>K23/MAX(K20,0.00001)+K24/MAX(K21,0.00001)+K25/MAX(K22,0.0001)</f>
        <v>0</v>
      </c>
      <c r="L26" s="50">
        <f>L23/MAX(L20,0.00001)+L24/MAX(L21,0.00001)+L25/MAX(L22,0.0001)</f>
        <v>0</v>
      </c>
      <c r="M26" s="49"/>
      <c r="N26" s="49"/>
      <c r="O26" s="50">
        <f>O23/MAX(O20,0.00001)+O24/MAX(O21,0.00001)+O25/MAX(O22,0.0001)</f>
        <v>0</v>
      </c>
      <c r="P26" s="50">
        <f>P23/MAX(P20,0.00001)+P24/MAX(P21,0.00001)+P25/MAX(P22,0.0001)</f>
        <v>147250</v>
      </c>
      <c r="Q26" s="50">
        <f>Q23/MAX(Q20,0.00001)+Q24/MAX(Q21,0.00001)+Q25/MAX(Q22,0.0001)</f>
        <v>0</v>
      </c>
      <c r="R26" s="50">
        <f>R23/MAX(R20,0.00001)+R24/MAX(R21,0.00001)+R25/MAX(R22,0.0001)</f>
        <v>0</v>
      </c>
      <c r="S26" s="49"/>
    </row>
    <row r="27" spans="1:19">
      <c r="A27" s="60"/>
      <c r="B27" s="19" t="s">
        <v>52</v>
      </c>
      <c r="C27" s="33">
        <f>'Asset Info'!C18</f>
        <v>0</v>
      </c>
      <c r="D27" s="33">
        <f>'Asset Info'!D18</f>
        <v>60</v>
      </c>
      <c r="E27" s="33">
        <f>'Asset Info'!E18</f>
        <v>0</v>
      </c>
      <c r="F27" s="33">
        <f>'Asset Info'!F18</f>
        <v>0</v>
      </c>
      <c r="G27" s="33"/>
      <c r="H27" s="34"/>
      <c r="I27" s="33">
        <f>'Asset Info'!I18</f>
        <v>0</v>
      </c>
      <c r="J27" s="33">
        <f>'Asset Info'!J18</f>
        <v>66</v>
      </c>
      <c r="K27" s="33">
        <f>'Asset Info'!K18</f>
        <v>0</v>
      </c>
      <c r="L27" s="33">
        <f>'Asset Info'!L18</f>
        <v>0</v>
      </c>
      <c r="M27" s="25"/>
      <c r="N27" s="19"/>
      <c r="O27" s="33">
        <f>'Asset Info'!O18</f>
        <v>0</v>
      </c>
      <c r="P27" s="33">
        <f>'Asset Info'!P18</f>
        <v>54</v>
      </c>
      <c r="Q27" s="33">
        <f>'Asset Info'!Q18</f>
        <v>0</v>
      </c>
      <c r="R27" s="33">
        <f>'Asset Info'!R18</f>
        <v>0</v>
      </c>
      <c r="S27" s="25"/>
    </row>
    <row r="28" spans="1:19">
      <c r="A28" s="60"/>
      <c r="B28" s="23" t="s">
        <v>53</v>
      </c>
      <c r="C28" s="52">
        <f>C27*C26</f>
        <v>0</v>
      </c>
      <c r="D28" s="52">
        <f>D27*D26</f>
        <v>9300000</v>
      </c>
      <c r="E28" s="52">
        <f>E27*E26</f>
        <v>0</v>
      </c>
      <c r="F28" s="52">
        <f>F27*F26</f>
        <v>0</v>
      </c>
      <c r="G28" s="52">
        <f>SUM(C28:F28)</f>
        <v>9300000</v>
      </c>
      <c r="H28" s="50"/>
      <c r="I28" s="52">
        <f>I27*I26</f>
        <v>0</v>
      </c>
      <c r="J28" s="52">
        <f>J27*J26</f>
        <v>10741500</v>
      </c>
      <c r="K28" s="52">
        <f>K27*K26</f>
        <v>0</v>
      </c>
      <c r="L28" s="52">
        <f>L27*L26</f>
        <v>0</v>
      </c>
      <c r="M28" s="54">
        <f>SUM(I28:L28)</f>
        <v>10741500</v>
      </c>
      <c r="N28" s="49"/>
      <c r="O28" s="52">
        <f>O27*O26</f>
        <v>0</v>
      </c>
      <c r="P28" s="52">
        <f>P27*P26</f>
        <v>7951500</v>
      </c>
      <c r="Q28" s="52">
        <f>Q27*Q26</f>
        <v>0</v>
      </c>
      <c r="R28" s="52">
        <f>R27*R26</f>
        <v>0</v>
      </c>
      <c r="S28" s="54">
        <f>SUM(O28:R28)</f>
        <v>7951500</v>
      </c>
    </row>
    <row r="29" spans="1:19">
      <c r="A29" s="60"/>
      <c r="B29" s="19"/>
      <c r="G29" s="19"/>
      <c r="H29" s="19"/>
      <c r="M29" s="19"/>
      <c r="N29" s="19"/>
      <c r="S29" s="19"/>
    </row>
    <row r="30" spans="1:19">
      <c r="A30" s="60" t="s">
        <v>54</v>
      </c>
      <c r="B30" s="19" t="s">
        <v>41</v>
      </c>
      <c r="C30" s="94"/>
      <c r="D30" s="94"/>
      <c r="E30" s="94"/>
      <c r="F30" s="94"/>
      <c r="G30" s="37"/>
      <c r="H30" s="37"/>
      <c r="I30" s="94"/>
      <c r="J30" s="94"/>
      <c r="K30" s="94"/>
      <c r="L30" s="94"/>
      <c r="M30" s="37"/>
      <c r="N30" s="37"/>
      <c r="O30" s="94"/>
      <c r="P30" s="94"/>
      <c r="Q30" s="94"/>
      <c r="R30" s="94"/>
      <c r="S30" s="19"/>
    </row>
    <row r="31" spans="1:19">
      <c r="A31" s="19"/>
      <c r="B31" s="19" t="s">
        <v>42</v>
      </c>
      <c r="C31" s="94"/>
      <c r="D31" s="94"/>
      <c r="E31" s="94"/>
      <c r="F31" s="94"/>
      <c r="G31" s="37"/>
      <c r="H31" s="37"/>
      <c r="I31" s="94"/>
      <c r="J31" s="94"/>
      <c r="K31" s="94"/>
      <c r="L31" s="94"/>
      <c r="M31" s="37"/>
      <c r="N31" s="37"/>
      <c r="O31" s="94"/>
      <c r="P31" s="94"/>
      <c r="Q31" s="94"/>
      <c r="R31" s="94"/>
      <c r="S31" s="19"/>
    </row>
    <row r="32" spans="1:19">
      <c r="A32" s="19"/>
      <c r="B32" s="19" t="s">
        <v>43</v>
      </c>
      <c r="C32" s="94"/>
      <c r="D32" s="94"/>
      <c r="E32" s="94"/>
      <c r="F32" s="94"/>
      <c r="G32" s="37"/>
      <c r="H32" s="37"/>
      <c r="I32" s="94"/>
      <c r="J32" s="94"/>
      <c r="K32" s="94"/>
      <c r="L32" s="94"/>
      <c r="M32" s="37"/>
      <c r="N32" s="37"/>
      <c r="O32" s="94"/>
      <c r="P32" s="94"/>
      <c r="Q32" s="94"/>
      <c r="R32" s="94"/>
      <c r="S32" s="19"/>
    </row>
    <row r="33" spans="1:19" s="38" customFormat="1">
      <c r="A33" s="19"/>
      <c r="B33" s="19" t="s">
        <v>55</v>
      </c>
      <c r="C33" s="87"/>
      <c r="D33" s="87"/>
      <c r="E33" s="88"/>
      <c r="F33" s="88"/>
      <c r="G33" s="33"/>
      <c r="H33" s="34"/>
      <c r="I33" s="87"/>
      <c r="J33" s="87"/>
      <c r="K33" s="88"/>
      <c r="L33" s="88"/>
      <c r="M33" s="33"/>
      <c r="N33" s="34"/>
      <c r="O33" s="87"/>
      <c r="P33" s="87"/>
      <c r="Q33" s="88"/>
      <c r="R33" s="88"/>
      <c r="S33" s="33"/>
    </row>
    <row r="34" spans="1:19" s="38" customFormat="1">
      <c r="A34" s="19"/>
      <c r="B34" s="19" t="s">
        <v>56</v>
      </c>
      <c r="C34" s="87"/>
      <c r="D34" s="87"/>
      <c r="E34" s="88"/>
      <c r="F34" s="88"/>
      <c r="G34" s="33"/>
      <c r="H34" s="34"/>
      <c r="I34" s="87"/>
      <c r="J34" s="87"/>
      <c r="K34" s="88"/>
      <c r="L34" s="88"/>
      <c r="M34" s="33"/>
      <c r="N34" s="34"/>
      <c r="O34" s="87"/>
      <c r="P34" s="87"/>
      <c r="Q34" s="88"/>
      <c r="R34" s="88"/>
      <c r="S34" s="33"/>
    </row>
    <row r="35" spans="1:19" s="38" customFormat="1">
      <c r="A35" s="19"/>
      <c r="B35" s="19" t="s">
        <v>57</v>
      </c>
      <c r="C35" s="87"/>
      <c r="D35" s="87"/>
      <c r="E35" s="88"/>
      <c r="F35" s="88"/>
      <c r="G35" s="34"/>
      <c r="H35" s="34"/>
      <c r="I35" s="87"/>
      <c r="J35" s="87"/>
      <c r="K35" s="88"/>
      <c r="L35" s="88"/>
      <c r="M35" s="34"/>
      <c r="N35" s="34"/>
      <c r="O35" s="87"/>
      <c r="P35" s="87"/>
      <c r="Q35" s="88"/>
      <c r="R35" s="88"/>
      <c r="S35" s="34"/>
    </row>
    <row r="36" spans="1:19" s="38" customFormat="1">
      <c r="A36" s="19"/>
      <c r="B36" s="19" t="s">
        <v>48</v>
      </c>
      <c r="C36" s="93"/>
      <c r="D36" s="93"/>
      <c r="E36" s="93"/>
      <c r="F36" s="93"/>
      <c r="G36" s="50"/>
      <c r="H36" s="50"/>
      <c r="I36" s="93"/>
      <c r="J36" s="93"/>
      <c r="K36" s="93"/>
      <c r="L36" s="93"/>
      <c r="M36" s="50"/>
      <c r="N36" s="50"/>
      <c r="O36" s="93"/>
      <c r="P36" s="93"/>
      <c r="Q36" s="93"/>
      <c r="R36" s="93"/>
      <c r="S36" s="50"/>
    </row>
    <row r="37" spans="1:19" s="38" customFormat="1">
      <c r="A37" s="19"/>
      <c r="B37" s="19" t="s">
        <v>49</v>
      </c>
      <c r="C37" s="93"/>
      <c r="D37" s="93"/>
      <c r="E37" s="93"/>
      <c r="F37" s="93"/>
      <c r="G37" s="50"/>
      <c r="H37" s="50"/>
      <c r="I37" s="93"/>
      <c r="J37" s="93"/>
      <c r="K37" s="93"/>
      <c r="L37" s="93"/>
      <c r="M37" s="50"/>
      <c r="N37" s="50"/>
      <c r="O37" s="93"/>
      <c r="P37" s="93"/>
      <c r="Q37" s="93"/>
      <c r="R37" s="93"/>
      <c r="S37" s="50"/>
    </row>
    <row r="38" spans="1:19" s="38" customFormat="1">
      <c r="A38" s="19"/>
      <c r="B38" s="19" t="s">
        <v>50</v>
      </c>
      <c r="C38" s="93"/>
      <c r="D38" s="93"/>
      <c r="E38" s="93"/>
      <c r="F38" s="93"/>
      <c r="G38" s="50"/>
      <c r="H38" s="50"/>
      <c r="I38" s="93"/>
      <c r="J38" s="93"/>
      <c r="K38" s="93"/>
      <c r="L38" s="93"/>
      <c r="M38" s="50"/>
      <c r="N38" s="50"/>
      <c r="O38" s="93"/>
      <c r="P38" s="93"/>
      <c r="Q38" s="93"/>
      <c r="R38" s="93"/>
      <c r="S38" s="50"/>
    </row>
    <row r="39" spans="1:19" s="38" customFormat="1">
      <c r="A39" s="19"/>
      <c r="B39" s="19" t="s">
        <v>59</v>
      </c>
      <c r="C39" s="50">
        <f>C36/MAX(C33,0.00001)+C37/MAX(C34,0.00001)+C38/MAX(C35,0.0001)</f>
        <v>0</v>
      </c>
      <c r="D39" s="50">
        <f>D36/MAX(D33,0.00001)+D37/MAX(D34,0.00001)+D38/MAX(D35,0.0001)</f>
        <v>0</v>
      </c>
      <c r="E39" s="50">
        <f>E36/MAX(E33,0.00001)+E37/MAX(E34,0.00001)+E38/MAX(E35,0.0001)</f>
        <v>0</v>
      </c>
      <c r="F39" s="50">
        <f>F36/MAX(F33,0.00001)+F37/MAX(F34,0.00001)+F38/MAX(F35,0.0001)</f>
        <v>0</v>
      </c>
      <c r="G39" s="50"/>
      <c r="H39" s="50"/>
      <c r="I39" s="50">
        <f>I36/MAX(I33,0.00001)+I37/MAX(I34,0.00001)+I38/MAX(I35,0.0001)</f>
        <v>0</v>
      </c>
      <c r="J39" s="50">
        <f>J36/MAX(J33,0.00001)+J37/MAX(J34,0.00001)+J38/MAX(J35,0.0001)</f>
        <v>0</v>
      </c>
      <c r="K39" s="50">
        <f>K36/MAX(K33,0.00001)+K37/MAX(K34,0.00001)+K38/MAX(K35,0.0001)</f>
        <v>0</v>
      </c>
      <c r="L39" s="50">
        <f>L36/MAX(L33,0.00001)+L37/MAX(L34,0.00001)+L38/MAX(L35,0.0001)</f>
        <v>0</v>
      </c>
      <c r="M39" s="50"/>
      <c r="N39" s="50"/>
      <c r="O39" s="50">
        <f>O36/MAX(O33,0.00001)+O37/MAX(O34,0.00001)+O38/MAX(O35,0.0001)</f>
        <v>0</v>
      </c>
      <c r="P39" s="50">
        <f>P36/MAX(P33,0.00001)+P37/MAX(P34,0.00001)+P38/MAX(P35,0.0001)</f>
        <v>0</v>
      </c>
      <c r="Q39" s="50">
        <f>Q36/MAX(Q33,0.00001)+Q37/MAX(Q34,0.00001)+Q38/MAX(Q35,0.0001)</f>
        <v>0</v>
      </c>
      <c r="R39" s="50">
        <f>R36/MAX(R33,0.00001)+R37/MAX(R34,0.00001)+R38/MAX(R35,0.0001)</f>
        <v>0</v>
      </c>
      <c r="S39" s="50"/>
    </row>
    <row r="40" spans="1:19" s="38" customFormat="1">
      <c r="A40" s="19"/>
      <c r="B40" s="19" t="s">
        <v>58</v>
      </c>
      <c r="C40" s="33">
        <f>'Asset Info'!C24</f>
        <v>0</v>
      </c>
      <c r="D40" s="33">
        <f>'Asset Info'!D24</f>
        <v>60000000</v>
      </c>
      <c r="E40" s="33">
        <f>'Asset Info'!E24</f>
        <v>0</v>
      </c>
      <c r="F40" s="33">
        <f>'Asset Info'!F24</f>
        <v>0</v>
      </c>
      <c r="G40" s="33"/>
      <c r="H40" s="34"/>
      <c r="I40" s="33">
        <f>'Asset Info'!I24</f>
        <v>0</v>
      </c>
      <c r="J40" s="33">
        <f>'Asset Info'!J24</f>
        <v>72600000</v>
      </c>
      <c r="K40" s="33">
        <f>'Asset Info'!K24</f>
        <v>0</v>
      </c>
      <c r="L40" s="33">
        <f>'Asset Info'!L24</f>
        <v>0</v>
      </c>
      <c r="M40" s="33"/>
      <c r="N40" s="34"/>
      <c r="O40" s="33">
        <f>'Asset Info'!O24</f>
        <v>0</v>
      </c>
      <c r="P40" s="33">
        <f>'Asset Info'!P24</f>
        <v>48600000</v>
      </c>
      <c r="Q40" s="33">
        <f>'Asset Info'!Q24</f>
        <v>0</v>
      </c>
      <c r="R40" s="33">
        <f>'Asset Info'!R24</f>
        <v>0</v>
      </c>
      <c r="S40" s="33"/>
    </row>
    <row r="41" spans="1:19" s="38" customFormat="1">
      <c r="A41" s="19"/>
      <c r="B41" s="23" t="s">
        <v>79</v>
      </c>
      <c r="C41" s="52">
        <f>C40*C39</f>
        <v>0</v>
      </c>
      <c r="D41" s="52">
        <f>D40*D39</f>
        <v>0</v>
      </c>
      <c r="E41" s="52">
        <f>E40*E39</f>
        <v>0</v>
      </c>
      <c r="F41" s="52">
        <f>F40*F39</f>
        <v>0</v>
      </c>
      <c r="G41" s="52">
        <f>G40*G39</f>
        <v>0</v>
      </c>
      <c r="H41" s="50"/>
      <c r="I41" s="52">
        <f>I40*I39</f>
        <v>0</v>
      </c>
      <c r="J41" s="52">
        <f>J40*J39</f>
        <v>0</v>
      </c>
      <c r="K41" s="52">
        <f>K40*K39</f>
        <v>0</v>
      </c>
      <c r="L41" s="52">
        <f>L40*L39</f>
        <v>0</v>
      </c>
      <c r="M41" s="52">
        <f>M40*M39</f>
        <v>0</v>
      </c>
      <c r="N41" s="50"/>
      <c r="O41" s="52">
        <f>O40*O39</f>
        <v>0</v>
      </c>
      <c r="P41" s="52">
        <f>P40*P39</f>
        <v>0</v>
      </c>
      <c r="Q41" s="52">
        <f>Q40*Q39</f>
        <v>0</v>
      </c>
      <c r="R41" s="52">
        <f>R40*R39</f>
        <v>0</v>
      </c>
      <c r="S41" s="52">
        <f>S40*S39</f>
        <v>0</v>
      </c>
    </row>
    <row r="42" spans="1:19" s="38" customFormat="1">
      <c r="A42" s="19"/>
      <c r="B42" s="19"/>
      <c r="C42" s="50"/>
      <c r="D42" s="50"/>
      <c r="E42" s="50"/>
      <c r="F42" s="50"/>
      <c r="G42" s="50"/>
      <c r="H42" s="50"/>
      <c r="I42" s="50"/>
      <c r="J42" s="50"/>
      <c r="K42" s="50"/>
      <c r="L42" s="50"/>
      <c r="M42" s="50"/>
      <c r="N42" s="50"/>
      <c r="O42" s="50"/>
      <c r="P42" s="50"/>
      <c r="Q42" s="50"/>
      <c r="R42" s="50"/>
      <c r="S42" s="50"/>
    </row>
    <row r="43" spans="1:19" s="38" customFormat="1">
      <c r="A43" s="28" t="s">
        <v>152</v>
      </c>
      <c r="B43" s="23"/>
      <c r="C43" s="52">
        <f>C41+C28+C13</f>
        <v>0</v>
      </c>
      <c r="D43" s="52">
        <f>D41+D28+D13</f>
        <v>9350000</v>
      </c>
      <c r="E43" s="52">
        <f>E41+E28+E13</f>
        <v>0</v>
      </c>
      <c r="F43" s="52">
        <f>F41+F28+F13</f>
        <v>0</v>
      </c>
      <c r="G43" s="52">
        <f>SUM(C43:F43)</f>
        <v>9350000</v>
      </c>
      <c r="H43" s="50"/>
      <c r="I43" s="52">
        <f>I41+I28+I13</f>
        <v>0</v>
      </c>
      <c r="J43" s="52">
        <f>J41+J28+J13</f>
        <v>10796625</v>
      </c>
      <c r="K43" s="52">
        <f>K41+K28+K13</f>
        <v>0</v>
      </c>
      <c r="L43" s="52">
        <f>L41+L28+L13</f>
        <v>0</v>
      </c>
      <c r="M43" s="52">
        <f>SUM(I43:L43)</f>
        <v>10796625</v>
      </c>
      <c r="N43" s="50"/>
      <c r="O43" s="52">
        <f>O41+O28+O13</f>
        <v>0</v>
      </c>
      <c r="P43" s="52">
        <f>P41+P28+P13</f>
        <v>7996625</v>
      </c>
      <c r="Q43" s="52">
        <f>Q41+Q28+Q13</f>
        <v>0</v>
      </c>
      <c r="R43" s="52">
        <f>R41+R28+R13</f>
        <v>22562.5</v>
      </c>
      <c r="S43" s="52">
        <f>SUM(O43:R43)</f>
        <v>8019187.5</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3" r:id="rId4" name="Button 51">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3364" r:id="rId5" name="Button 52">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3365" r:id="rId6" name="Button 53">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3366" r:id="rId7" name="Button 54">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3367" r:id="rId8" name="Button 55">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Cur">
    <tabColor indexed="57"/>
  </sheetPr>
  <dimension ref="A1:S56"/>
  <sheetViews>
    <sheetView topLeftCell="A19" workbookViewId="0">
      <selection activeCell="D36" sqref="D36"/>
    </sheetView>
  </sheetViews>
  <sheetFormatPr defaultColWidth="41" defaultRowHeight="12.75"/>
  <cols>
    <col min="1" max="1" width="27.85546875" style="1" customWidth="1"/>
    <col min="2" max="2" width="34.42578125" style="1" bestFit="1" customWidth="1"/>
    <col min="3" max="4" width="14.7109375" style="1" customWidth="1"/>
    <col min="5" max="5" width="16.42578125" style="1" customWidth="1"/>
    <col min="6" max="6" width="14.7109375" style="1" customWidth="1"/>
    <col min="7" max="7" width="15.28515625" style="1" customWidth="1"/>
    <col min="8" max="8" width="5" style="1" customWidth="1"/>
    <col min="9" max="12" width="16.42578125" style="1" customWidth="1"/>
    <col min="13" max="13" width="15.28515625" style="1" customWidth="1"/>
    <col min="14" max="14" width="6" style="1" customWidth="1"/>
    <col min="15" max="18" width="16.42578125" style="1" customWidth="1"/>
    <col min="19" max="19" width="15.28515625"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151</v>
      </c>
      <c r="C5" s="11"/>
      <c r="E5" s="12"/>
      <c r="K5" s="12"/>
    </row>
    <row r="7" spans="1:19">
      <c r="A7" s="2" t="s">
        <v>2</v>
      </c>
      <c r="B7" s="19" t="str">
        <f>'Asset Info'!B7</f>
        <v>Plain Line Track</v>
      </c>
    </row>
    <row r="9" spans="1:19">
      <c r="A9" s="23" t="s">
        <v>157</v>
      </c>
      <c r="B9" s="23"/>
      <c r="C9" s="17" t="s">
        <v>80</v>
      </c>
      <c r="D9" s="18"/>
      <c r="E9" s="18"/>
      <c r="F9" s="18"/>
      <c r="G9" s="18"/>
      <c r="I9" s="13" t="s">
        <v>81</v>
      </c>
      <c r="J9" s="14"/>
      <c r="K9" s="14"/>
      <c r="L9" s="14"/>
      <c r="M9" s="14"/>
      <c r="O9" s="15" t="s">
        <v>82</v>
      </c>
      <c r="P9" s="16"/>
      <c r="Q9" s="16"/>
      <c r="R9" s="16"/>
      <c r="S9" s="16"/>
    </row>
    <row r="10" spans="1:19">
      <c r="A10" s="28"/>
      <c r="B10" s="28"/>
      <c r="C10" s="39" t="s">
        <v>60</v>
      </c>
      <c r="D10" s="39" t="s">
        <v>61</v>
      </c>
      <c r="E10" s="39" t="s">
        <v>62</v>
      </c>
      <c r="F10" s="39" t="s">
        <v>63</v>
      </c>
      <c r="G10" s="39" t="s">
        <v>29</v>
      </c>
      <c r="H10" s="19"/>
      <c r="I10" s="39" t="s">
        <v>60</v>
      </c>
      <c r="J10" s="39" t="s">
        <v>61</v>
      </c>
      <c r="K10" s="39" t="s">
        <v>62</v>
      </c>
      <c r="L10" s="39" t="s">
        <v>63</v>
      </c>
      <c r="M10" s="39" t="s">
        <v>29</v>
      </c>
      <c r="N10" s="19"/>
      <c r="O10" s="39" t="s">
        <v>60</v>
      </c>
      <c r="P10" s="39" t="s">
        <v>61</v>
      </c>
      <c r="Q10" s="39" t="s">
        <v>62</v>
      </c>
      <c r="R10" s="39" t="s">
        <v>63</v>
      </c>
      <c r="S10" s="39" t="s">
        <v>29</v>
      </c>
    </row>
    <row r="11" spans="1:19">
      <c r="A11" s="28" t="s">
        <v>163</v>
      </c>
      <c r="B11" s="28"/>
      <c r="C11" s="19"/>
      <c r="D11" s="19"/>
      <c r="E11" s="19"/>
      <c r="F11" s="19"/>
      <c r="G11" s="19"/>
      <c r="H11" s="19"/>
      <c r="I11" s="19"/>
      <c r="J11" s="19"/>
      <c r="K11" s="19"/>
      <c r="L11" s="19"/>
      <c r="M11" s="19"/>
      <c r="N11" s="37"/>
      <c r="O11" s="19"/>
      <c r="P11" s="19"/>
      <c r="Q11" s="19"/>
      <c r="R11" s="19"/>
      <c r="S11" s="19"/>
    </row>
    <row r="12" spans="1:19">
      <c r="A12" s="62" t="s">
        <v>155</v>
      </c>
      <c r="B12" s="27" t="s">
        <v>64</v>
      </c>
      <c r="C12" s="95" t="s">
        <v>316</v>
      </c>
      <c r="D12" s="95" t="s">
        <v>317</v>
      </c>
      <c r="E12" s="95"/>
      <c r="F12" s="95"/>
      <c r="G12" s="23"/>
      <c r="H12" s="19"/>
      <c r="I12" s="95" t="s">
        <v>316</v>
      </c>
      <c r="J12" s="95" t="s">
        <v>317</v>
      </c>
      <c r="K12" s="95"/>
      <c r="L12" s="95"/>
      <c r="M12" s="23"/>
      <c r="N12" s="19"/>
      <c r="O12" s="95" t="s">
        <v>316</v>
      </c>
      <c r="P12" s="95" t="s">
        <v>317</v>
      </c>
      <c r="Q12" s="95"/>
      <c r="R12" s="95"/>
      <c r="S12" s="23"/>
    </row>
    <row r="13" spans="1:19">
      <c r="A13" s="60"/>
      <c r="B13" s="19" t="s">
        <v>70</v>
      </c>
      <c r="C13" s="87">
        <v>3</v>
      </c>
      <c r="D13" s="87">
        <v>0</v>
      </c>
      <c r="E13" s="87"/>
      <c r="F13" s="87"/>
      <c r="G13" s="33"/>
      <c r="H13" s="19"/>
      <c r="I13" s="87">
        <v>3</v>
      </c>
      <c r="J13" s="87">
        <v>0</v>
      </c>
      <c r="K13" s="87"/>
      <c r="L13" s="87"/>
      <c r="M13" s="33"/>
      <c r="N13" s="19"/>
      <c r="O13" s="87">
        <v>3</v>
      </c>
      <c r="P13" s="87">
        <v>0</v>
      </c>
      <c r="Q13" s="87"/>
      <c r="R13" s="87"/>
      <c r="S13" s="33"/>
    </row>
    <row r="14" spans="1:19" s="3" customFormat="1">
      <c r="A14" s="60"/>
      <c r="B14" s="19"/>
      <c r="C14" s="33"/>
      <c r="D14" s="33"/>
      <c r="E14" s="33"/>
      <c r="F14" s="33"/>
      <c r="G14" s="33"/>
      <c r="H14" s="19"/>
      <c r="I14" s="33"/>
      <c r="J14" s="33"/>
      <c r="K14" s="33"/>
      <c r="L14" s="33"/>
      <c r="M14" s="33"/>
      <c r="N14" s="19"/>
      <c r="O14" s="33"/>
      <c r="P14" s="33"/>
      <c r="Q14" s="33"/>
      <c r="R14" s="33"/>
      <c r="S14" s="33"/>
    </row>
    <row r="15" spans="1:19">
      <c r="A15" s="60" t="s">
        <v>37</v>
      </c>
      <c r="B15" s="19" t="s">
        <v>156</v>
      </c>
      <c r="C15" s="96">
        <v>1</v>
      </c>
      <c r="D15" s="88">
        <v>0</v>
      </c>
      <c r="E15" s="88"/>
      <c r="F15" s="88"/>
      <c r="G15" s="34"/>
      <c r="H15" s="19"/>
      <c r="I15" s="96">
        <v>1.05</v>
      </c>
      <c r="J15" s="88">
        <v>0</v>
      </c>
      <c r="K15" s="88"/>
      <c r="L15" s="88"/>
      <c r="M15" s="34"/>
      <c r="N15" s="19"/>
      <c r="O15" s="96">
        <v>0.95</v>
      </c>
      <c r="P15" s="88">
        <v>0</v>
      </c>
      <c r="Q15" s="88"/>
      <c r="R15" s="88"/>
      <c r="S15" s="34"/>
    </row>
    <row r="16" spans="1:19">
      <c r="A16" s="60"/>
      <c r="B16" s="19" t="s">
        <v>40</v>
      </c>
      <c r="C16" s="93">
        <v>2000</v>
      </c>
      <c r="D16" s="93">
        <v>0</v>
      </c>
      <c r="E16" s="93"/>
      <c r="F16" s="93"/>
      <c r="G16" s="50"/>
      <c r="H16" s="49"/>
      <c r="I16" s="93">
        <v>2100</v>
      </c>
      <c r="J16" s="93">
        <v>0</v>
      </c>
      <c r="K16" s="93"/>
      <c r="L16" s="93"/>
      <c r="M16" s="50"/>
      <c r="N16" s="49"/>
      <c r="O16" s="93">
        <v>1900</v>
      </c>
      <c r="P16" s="93">
        <v>0</v>
      </c>
      <c r="Q16" s="93"/>
      <c r="R16" s="93"/>
      <c r="S16" s="50"/>
    </row>
    <row r="17" spans="1:19">
      <c r="A17" s="60"/>
      <c r="B17" s="23" t="s">
        <v>38</v>
      </c>
      <c r="C17" s="52">
        <f>C15*C16*C13</f>
        <v>6000</v>
      </c>
      <c r="D17" s="52">
        <f>D15*D16*D13</f>
        <v>0</v>
      </c>
      <c r="E17" s="52">
        <f>E15*E16*E13</f>
        <v>0</v>
      </c>
      <c r="F17" s="52">
        <f>F15*F16*F13</f>
        <v>0</v>
      </c>
      <c r="G17" s="52">
        <f>SUM(C17:F17)</f>
        <v>6000</v>
      </c>
      <c r="H17" s="49"/>
      <c r="I17" s="52">
        <f>I15*I16*I13</f>
        <v>6615</v>
      </c>
      <c r="J17" s="52">
        <f>J15*J16*J13</f>
        <v>0</v>
      </c>
      <c r="K17" s="52">
        <f>K15*K16*K13</f>
        <v>0</v>
      </c>
      <c r="L17" s="52">
        <f>L15*L16*L13</f>
        <v>0</v>
      </c>
      <c r="M17" s="52">
        <f>SUM(I17:L17)</f>
        <v>6615</v>
      </c>
      <c r="N17" s="49"/>
      <c r="O17" s="52">
        <f>O15*O16*O13</f>
        <v>5415</v>
      </c>
      <c r="P17" s="52">
        <f>P15*P16*P13</f>
        <v>0</v>
      </c>
      <c r="Q17" s="52">
        <f>Q15*Q16*Q13</f>
        <v>0</v>
      </c>
      <c r="R17" s="52">
        <f>R15*R16*R13</f>
        <v>0</v>
      </c>
      <c r="S17" s="52">
        <f>SUM(O17:R17)</f>
        <v>5415</v>
      </c>
    </row>
    <row r="18" spans="1:19">
      <c r="A18" s="60"/>
      <c r="B18" s="19"/>
      <c r="C18" s="34"/>
      <c r="D18" s="34"/>
      <c r="E18" s="34"/>
      <c r="F18" s="34"/>
      <c r="G18" s="34"/>
      <c r="H18" s="19"/>
      <c r="I18" s="34"/>
      <c r="J18" s="34"/>
      <c r="K18" s="34"/>
      <c r="L18" s="34"/>
      <c r="M18" s="34"/>
      <c r="N18" s="19"/>
      <c r="O18" s="34"/>
      <c r="P18" s="34"/>
      <c r="Q18" s="34"/>
      <c r="R18" s="34"/>
      <c r="S18" s="34"/>
    </row>
    <row r="19" spans="1:19">
      <c r="A19" s="60"/>
      <c r="B19" s="19" t="s">
        <v>74</v>
      </c>
      <c r="C19" s="92">
        <v>0.01</v>
      </c>
      <c r="D19" s="92">
        <v>0</v>
      </c>
      <c r="E19" s="97">
        <v>0</v>
      </c>
      <c r="F19" s="92">
        <v>0</v>
      </c>
      <c r="G19" s="34">
        <f>SUM(C19:F19)</f>
        <v>0.01</v>
      </c>
      <c r="H19" s="19"/>
      <c r="I19" s="92">
        <v>0.01</v>
      </c>
      <c r="J19" s="92">
        <v>0</v>
      </c>
      <c r="K19" s="97">
        <v>0</v>
      </c>
      <c r="L19" s="92">
        <v>0</v>
      </c>
      <c r="M19" s="34">
        <f>SUM(I19:L19)</f>
        <v>0.01</v>
      </c>
      <c r="N19" s="19"/>
      <c r="O19" s="92">
        <v>0.01</v>
      </c>
      <c r="P19" s="92">
        <v>0</v>
      </c>
      <c r="Q19" s="97">
        <v>0</v>
      </c>
      <c r="R19" s="92">
        <v>0</v>
      </c>
      <c r="S19" s="34">
        <f>SUM(O19:R19)</f>
        <v>0.01</v>
      </c>
    </row>
    <row r="20" spans="1:19">
      <c r="A20" s="60"/>
      <c r="B20" s="23" t="s">
        <v>76</v>
      </c>
      <c r="C20" s="63">
        <f>C15*C19*C13</f>
        <v>0.03</v>
      </c>
      <c r="D20" s="63">
        <f>D15*D19*D13</f>
        <v>0</v>
      </c>
      <c r="E20" s="63">
        <f>E15*E19*E13</f>
        <v>0</v>
      </c>
      <c r="F20" s="63">
        <f>F15*F19*F13</f>
        <v>0</v>
      </c>
      <c r="G20" s="34"/>
      <c r="H20" s="19"/>
      <c r="I20" s="63">
        <f>I15*I19*I13</f>
        <v>3.15E-2</v>
      </c>
      <c r="J20" s="63">
        <f>J15*J19*J13</f>
        <v>0</v>
      </c>
      <c r="K20" s="63">
        <f>K15*K19*K13</f>
        <v>0</v>
      </c>
      <c r="L20" s="63">
        <f>L15*L19*L13</f>
        <v>0</v>
      </c>
      <c r="M20" s="34"/>
      <c r="N20" s="19"/>
      <c r="O20" s="63">
        <f>O15*O19*O13</f>
        <v>2.8499999999999998E-2</v>
      </c>
      <c r="P20" s="63">
        <f>P15*P19*P13</f>
        <v>0</v>
      </c>
      <c r="Q20" s="63">
        <f>Q15*Q19*Q13</f>
        <v>0</v>
      </c>
      <c r="R20" s="63">
        <f>R15*R19*R13</f>
        <v>0</v>
      </c>
      <c r="S20" s="34"/>
    </row>
    <row r="21" spans="1:19">
      <c r="A21" s="60"/>
      <c r="B21" s="19" t="s">
        <v>25</v>
      </c>
      <c r="C21" s="98">
        <v>5</v>
      </c>
      <c r="D21" s="88">
        <v>0</v>
      </c>
      <c r="E21" s="88"/>
      <c r="F21" s="88"/>
      <c r="G21" s="34"/>
      <c r="H21" s="19"/>
      <c r="I21" s="98">
        <v>5.25</v>
      </c>
      <c r="J21" s="88">
        <v>0</v>
      </c>
      <c r="K21" s="88"/>
      <c r="L21" s="88"/>
      <c r="M21" s="34"/>
      <c r="N21" s="19"/>
      <c r="O21" s="98">
        <v>4.75</v>
      </c>
      <c r="P21" s="88">
        <v>0</v>
      </c>
      <c r="Q21" s="88"/>
      <c r="R21" s="88"/>
      <c r="S21" s="34"/>
    </row>
    <row r="22" spans="1:19">
      <c r="A22" s="60"/>
      <c r="B22" s="19" t="s">
        <v>26</v>
      </c>
      <c r="C22" s="92">
        <v>0.01</v>
      </c>
      <c r="D22" s="97">
        <v>0</v>
      </c>
      <c r="E22" s="92">
        <v>0</v>
      </c>
      <c r="F22" s="92">
        <v>0</v>
      </c>
      <c r="G22" s="34"/>
      <c r="H22" s="19"/>
      <c r="I22" s="92">
        <v>0.01</v>
      </c>
      <c r="J22" s="97">
        <v>0</v>
      </c>
      <c r="K22" s="92">
        <v>0</v>
      </c>
      <c r="L22" s="92">
        <v>0</v>
      </c>
      <c r="M22" s="34"/>
      <c r="N22" s="19"/>
      <c r="O22" s="92">
        <v>0.01</v>
      </c>
      <c r="P22" s="97">
        <v>0</v>
      </c>
      <c r="Q22" s="92">
        <v>0</v>
      </c>
      <c r="R22" s="92">
        <v>0</v>
      </c>
      <c r="S22" s="34"/>
    </row>
    <row r="23" spans="1:19">
      <c r="A23" s="60"/>
      <c r="B23" s="19" t="s">
        <v>77</v>
      </c>
      <c r="C23" s="50">
        <f>'Asset Risk'!C24</f>
        <v>25</v>
      </c>
      <c r="D23" s="50">
        <f>'Asset Risk'!D24</f>
        <v>50</v>
      </c>
      <c r="E23" s="50">
        <f>'Asset Risk'!E24</f>
        <v>0</v>
      </c>
      <c r="F23" s="50">
        <f>'Asset Risk'!F24</f>
        <v>0</v>
      </c>
      <c r="G23" s="50"/>
      <c r="H23" s="49"/>
      <c r="I23" s="50">
        <f>'Asset Risk'!I24</f>
        <v>26.25</v>
      </c>
      <c r="J23" s="50">
        <f>'Asset Risk'!J24</f>
        <v>52.5</v>
      </c>
      <c r="K23" s="50">
        <f>'Asset Risk'!K24</f>
        <v>0</v>
      </c>
      <c r="L23" s="50">
        <f>'Asset Risk'!L24</f>
        <v>0</v>
      </c>
      <c r="M23" s="50"/>
      <c r="N23" s="49"/>
      <c r="O23" s="50">
        <f>'Asset Risk'!O24</f>
        <v>23.75</v>
      </c>
      <c r="P23" s="50">
        <f>'Asset Risk'!P24</f>
        <v>47.5</v>
      </c>
      <c r="Q23" s="50">
        <f>'Asset Risk'!Q24</f>
        <v>0</v>
      </c>
      <c r="R23" s="50">
        <f>'Asset Risk'!R24</f>
        <v>0</v>
      </c>
      <c r="S23" s="50"/>
    </row>
    <row r="24" spans="1:19">
      <c r="A24" s="60"/>
      <c r="B24" s="19" t="s">
        <v>27</v>
      </c>
      <c r="C24" s="50">
        <f>'Asset Risk'!C25</f>
        <v>10000</v>
      </c>
      <c r="D24" s="50">
        <f>C24</f>
        <v>10000</v>
      </c>
      <c r="E24" s="50">
        <f>D24</f>
        <v>10000</v>
      </c>
      <c r="F24" s="50">
        <f>E24</f>
        <v>10000</v>
      </c>
      <c r="G24" s="50"/>
      <c r="H24" s="49"/>
      <c r="I24" s="50">
        <f>'Asset Risk'!I25</f>
        <v>10500</v>
      </c>
      <c r="J24" s="50">
        <f>I24</f>
        <v>10500</v>
      </c>
      <c r="K24" s="50">
        <f>J24</f>
        <v>10500</v>
      </c>
      <c r="L24" s="50">
        <f>K24</f>
        <v>10500</v>
      </c>
      <c r="M24" s="50"/>
      <c r="N24" s="49"/>
      <c r="O24" s="50">
        <f>'Asset Risk'!O25</f>
        <v>9500</v>
      </c>
      <c r="P24" s="50">
        <f>O24</f>
        <v>9500</v>
      </c>
      <c r="Q24" s="50">
        <f>P24</f>
        <v>9500</v>
      </c>
      <c r="R24" s="50">
        <f>Q24</f>
        <v>9500</v>
      </c>
      <c r="S24" s="50"/>
    </row>
    <row r="25" spans="1:19">
      <c r="A25" s="60"/>
      <c r="B25" s="23" t="s">
        <v>75</v>
      </c>
      <c r="C25" s="52">
        <f>C20*C21*C23+C24*C22*C20</f>
        <v>6.75</v>
      </c>
      <c r="D25" s="52">
        <f>D20*D21*D23+D24*D22*D20</f>
        <v>0</v>
      </c>
      <c r="E25" s="52">
        <f>E20*E21*E23+E24*E22*E20</f>
        <v>0</v>
      </c>
      <c r="F25" s="52">
        <f>F20*F21*F23+F24*F22*F20</f>
        <v>0</v>
      </c>
      <c r="G25" s="52">
        <f>SUM(C25:F25)</f>
        <v>6.75</v>
      </c>
      <c r="H25" s="49"/>
      <c r="I25" s="52">
        <f>I20*I21*I23+I24*I22*I20</f>
        <v>7.6485937499999999</v>
      </c>
      <c r="J25" s="52">
        <f>J20*J21*J23+J24*J22*J20</f>
        <v>0</v>
      </c>
      <c r="K25" s="52">
        <f>K20*K21*K23+K24*K22*K20</f>
        <v>0</v>
      </c>
      <c r="L25" s="52">
        <f>L20*L21*L23+L24*L22*L20</f>
        <v>0</v>
      </c>
      <c r="M25" s="52">
        <f>SUM(I25:L25)</f>
        <v>7.6485937499999999</v>
      </c>
      <c r="N25" s="49"/>
      <c r="O25" s="52">
        <f>O20*O21*O23+O24*O22*O20</f>
        <v>5.9226562499999993</v>
      </c>
      <c r="P25" s="52">
        <f>P20*P21*P23+P24*P22*P20</f>
        <v>0</v>
      </c>
      <c r="Q25" s="52">
        <f>Q20*Q21*Q23+Q24*Q22*Q20</f>
        <v>0</v>
      </c>
      <c r="R25" s="52">
        <f>R20*R21*R23+R24*R22*R20</f>
        <v>0</v>
      </c>
      <c r="S25" s="52">
        <f>SUM(O25:R25)</f>
        <v>5.9226562499999993</v>
      </c>
    </row>
    <row r="26" spans="1:19">
      <c r="A26" s="60"/>
      <c r="B26" s="30" t="s">
        <v>122</v>
      </c>
      <c r="C26" s="51">
        <f>C25/MAX(C13,1)</f>
        <v>2.25</v>
      </c>
      <c r="D26" s="51">
        <f>D25/MAX(D13,1)</f>
        <v>0</v>
      </c>
      <c r="E26" s="51">
        <f>E25/MAX(E13,1)</f>
        <v>0</v>
      </c>
      <c r="F26" s="51">
        <f>F25/MAX(F13,1)</f>
        <v>0</v>
      </c>
      <c r="G26" s="51"/>
      <c r="H26" s="49"/>
      <c r="I26" s="51">
        <f>I25/MAX(I13,1)</f>
        <v>2.5495312499999998</v>
      </c>
      <c r="J26" s="51">
        <f>J25/MAX(J13,1)</f>
        <v>0</v>
      </c>
      <c r="K26" s="51">
        <f>K25/MAX(K13,1)</f>
        <v>0</v>
      </c>
      <c r="L26" s="51">
        <f>L25/MAX(L13,1)</f>
        <v>0</v>
      </c>
      <c r="M26" s="51"/>
      <c r="N26" s="49"/>
      <c r="O26" s="51">
        <f>O25/MAX(O13,1)</f>
        <v>1.9742187499999997</v>
      </c>
      <c r="P26" s="51">
        <f>P25/MAX(P13,1)</f>
        <v>0</v>
      </c>
      <c r="Q26" s="51">
        <f>Q25/MAX(Q13,1)</f>
        <v>0</v>
      </c>
      <c r="R26" s="51">
        <f>R25/MAX(R13,1)</f>
        <v>0</v>
      </c>
      <c r="S26" s="51"/>
    </row>
    <row r="27" spans="1:19">
      <c r="A27" s="323" t="s">
        <v>226</v>
      </c>
      <c r="B27" s="39" t="str">
        <f>'Asset Info'!$C$10</f>
        <v>Crossrail</v>
      </c>
      <c r="C27" s="92">
        <v>1</v>
      </c>
      <c r="D27" s="165">
        <v>0</v>
      </c>
      <c r="E27" s="92">
        <v>0</v>
      </c>
      <c r="F27" s="92">
        <v>0</v>
      </c>
      <c r="G27" s="163"/>
      <c r="H27" s="164"/>
      <c r="I27" s="92">
        <v>1</v>
      </c>
      <c r="J27" s="165">
        <v>0</v>
      </c>
      <c r="K27" s="92">
        <v>0</v>
      </c>
      <c r="L27" s="92">
        <v>0</v>
      </c>
      <c r="M27" s="163"/>
      <c r="N27" s="164"/>
      <c r="O27" s="92">
        <v>1</v>
      </c>
      <c r="P27" s="165">
        <v>0</v>
      </c>
      <c r="Q27" s="93">
        <v>0</v>
      </c>
      <c r="R27" s="93">
        <v>0</v>
      </c>
      <c r="S27" s="50"/>
    </row>
    <row r="28" spans="1:19">
      <c r="A28" s="323"/>
      <c r="B28" s="39" t="str">
        <f>'Asset Info'!$D$10</f>
        <v>NR Western</v>
      </c>
      <c r="C28" s="92">
        <v>0</v>
      </c>
      <c r="D28" s="92">
        <v>1</v>
      </c>
      <c r="E28" s="92">
        <v>0</v>
      </c>
      <c r="F28" s="92">
        <v>0</v>
      </c>
      <c r="G28" s="163"/>
      <c r="H28" s="164"/>
      <c r="I28" s="92">
        <v>0</v>
      </c>
      <c r="J28" s="92">
        <v>1</v>
      </c>
      <c r="K28" s="92">
        <v>0</v>
      </c>
      <c r="L28" s="92">
        <v>0</v>
      </c>
      <c r="M28" s="163"/>
      <c r="N28" s="164"/>
      <c r="O28" s="92">
        <v>0</v>
      </c>
      <c r="P28" s="92">
        <v>1</v>
      </c>
      <c r="Q28" s="93">
        <v>0</v>
      </c>
      <c r="R28" s="93">
        <v>0</v>
      </c>
      <c r="S28" s="50"/>
    </row>
    <row r="29" spans="1:19">
      <c r="A29" s="323"/>
      <c r="B29" s="39" t="str">
        <f>'Asset Info'!$E$10</f>
        <v>Balfour Beatty</v>
      </c>
      <c r="C29" s="92">
        <v>0</v>
      </c>
      <c r="D29" s="92">
        <v>0</v>
      </c>
      <c r="E29" s="92">
        <v>0</v>
      </c>
      <c r="F29" s="92">
        <v>0</v>
      </c>
      <c r="G29" s="163"/>
      <c r="H29" s="164"/>
      <c r="I29" s="92">
        <v>0</v>
      </c>
      <c r="J29" s="92">
        <v>0</v>
      </c>
      <c r="K29" s="92">
        <v>0</v>
      </c>
      <c r="L29" s="92">
        <v>0</v>
      </c>
      <c r="M29" s="163"/>
      <c r="N29" s="164"/>
      <c r="O29" s="92">
        <v>0</v>
      </c>
      <c r="P29" s="92">
        <v>0</v>
      </c>
      <c r="Q29" s="93">
        <v>0</v>
      </c>
      <c r="R29" s="93">
        <v>0</v>
      </c>
      <c r="S29" s="50"/>
    </row>
    <row r="30" spans="1:19">
      <c r="A30" s="323"/>
      <c r="B30" s="39" t="str">
        <f>'Asset Info'!$F$10</f>
        <v>RSSB</v>
      </c>
      <c r="C30" s="92">
        <v>0</v>
      </c>
      <c r="D30" s="92">
        <v>0</v>
      </c>
      <c r="E30" s="92">
        <v>0</v>
      </c>
      <c r="F30" s="92">
        <v>0</v>
      </c>
      <c r="G30" s="163"/>
      <c r="H30" s="164"/>
      <c r="I30" s="92">
        <v>0</v>
      </c>
      <c r="J30" s="92">
        <v>0</v>
      </c>
      <c r="K30" s="92">
        <v>0</v>
      </c>
      <c r="L30" s="92">
        <v>0</v>
      </c>
      <c r="M30" s="163"/>
      <c r="N30" s="164"/>
      <c r="O30" s="92">
        <v>0</v>
      </c>
      <c r="P30" s="92">
        <v>0</v>
      </c>
      <c r="Q30" s="93">
        <v>0</v>
      </c>
      <c r="R30" s="93">
        <v>0</v>
      </c>
      <c r="S30" s="50"/>
    </row>
    <row r="31" spans="1:19">
      <c r="A31" s="60"/>
      <c r="B31" s="23"/>
      <c r="C31" s="44"/>
      <c r="D31" s="44"/>
      <c r="E31" s="44"/>
      <c r="F31" s="44"/>
      <c r="G31" s="35"/>
      <c r="H31" s="19"/>
      <c r="I31" s="44"/>
      <c r="J31" s="44"/>
      <c r="K31" s="44"/>
      <c r="L31" s="44"/>
      <c r="M31" s="35"/>
      <c r="N31" s="19"/>
      <c r="O31" s="44"/>
      <c r="P31" s="44"/>
      <c r="Q31" s="44"/>
      <c r="R31" s="44"/>
      <c r="S31" s="35"/>
    </row>
    <row r="32" spans="1:19">
      <c r="A32" s="198" t="s">
        <v>86</v>
      </c>
      <c r="B32" s="27" t="s">
        <v>84</v>
      </c>
      <c r="C32" s="93">
        <v>0</v>
      </c>
      <c r="D32" s="93">
        <v>70000</v>
      </c>
      <c r="E32" s="93"/>
      <c r="F32" s="93"/>
      <c r="G32" s="52"/>
      <c r="H32" s="49"/>
      <c r="I32" s="93">
        <v>0</v>
      </c>
      <c r="J32" s="93">
        <v>73500</v>
      </c>
      <c r="K32" s="93"/>
      <c r="L32" s="93"/>
      <c r="M32" s="52"/>
      <c r="N32" s="49"/>
      <c r="O32" s="93">
        <v>0</v>
      </c>
      <c r="P32" s="93">
        <v>66500</v>
      </c>
      <c r="Q32" s="93"/>
      <c r="R32" s="93"/>
      <c r="S32" s="52"/>
    </row>
    <row r="33" spans="1:19">
      <c r="A33" s="60" t="s">
        <v>90</v>
      </c>
      <c r="B33" s="27" t="s">
        <v>83</v>
      </c>
      <c r="C33" s="88">
        <v>10</v>
      </c>
      <c r="D33" s="88">
        <v>7</v>
      </c>
      <c r="E33" s="88"/>
      <c r="F33" s="88"/>
      <c r="G33" s="35"/>
      <c r="H33" s="19"/>
      <c r="I33" s="88">
        <v>10.5</v>
      </c>
      <c r="J33" s="88">
        <v>7.35</v>
      </c>
      <c r="K33" s="88"/>
      <c r="L33" s="88"/>
      <c r="M33" s="35"/>
      <c r="N33" s="19"/>
      <c r="O33" s="88">
        <v>9.5</v>
      </c>
      <c r="P33" s="88">
        <v>6.65</v>
      </c>
      <c r="Q33" s="88"/>
      <c r="R33" s="88"/>
      <c r="S33" s="35"/>
    </row>
    <row r="34" spans="1:19">
      <c r="A34" s="19"/>
      <c r="B34" s="27" t="s">
        <v>85</v>
      </c>
      <c r="C34" s="55">
        <f>C32/MAX(C33,1)</f>
        <v>0</v>
      </c>
      <c r="D34" s="55">
        <f>D32/MAX(D33,1)</f>
        <v>10000</v>
      </c>
      <c r="E34" s="55">
        <f>E32/MAX(E33,1)</f>
        <v>0</v>
      </c>
      <c r="F34" s="55">
        <f>F32/MAX(F33,1)</f>
        <v>0</v>
      </c>
      <c r="G34" s="52"/>
      <c r="H34" s="49"/>
      <c r="I34" s="55">
        <f>I32/MAX(I33,1)</f>
        <v>0</v>
      </c>
      <c r="J34" s="55">
        <f>J32/MAX(J33,1)</f>
        <v>10000</v>
      </c>
      <c r="K34" s="55">
        <f>K32/MAX(K33,1)</f>
        <v>0</v>
      </c>
      <c r="L34" s="55">
        <f>L32/MAX(L33,1)</f>
        <v>0</v>
      </c>
      <c r="M34" s="52"/>
      <c r="N34" s="49"/>
      <c r="O34" s="55">
        <f>O32/MAX(O33,1)</f>
        <v>0</v>
      </c>
      <c r="P34" s="55">
        <f>P32/MAX(P33,1)</f>
        <v>10000</v>
      </c>
      <c r="Q34" s="55">
        <f>Q32/MAX(Q33,1)</f>
        <v>0</v>
      </c>
      <c r="R34" s="55">
        <f>R32/MAX(R33,1)</f>
        <v>0</v>
      </c>
      <c r="S34" s="52"/>
    </row>
    <row r="35" spans="1:19">
      <c r="A35" s="19"/>
      <c r="B35" s="23" t="s">
        <v>87</v>
      </c>
      <c r="C35" s="52">
        <f>C34*C13</f>
        <v>0</v>
      </c>
      <c r="D35" s="52">
        <f>D34*D13</f>
        <v>0</v>
      </c>
      <c r="E35" s="52">
        <f>E34*E13</f>
        <v>0</v>
      </c>
      <c r="F35" s="52">
        <f>F34*F13</f>
        <v>0</v>
      </c>
      <c r="G35" s="52">
        <f>SUM(C35:F35)</f>
        <v>0</v>
      </c>
      <c r="H35" s="49"/>
      <c r="I35" s="52">
        <f>I34*I13</f>
        <v>0</v>
      </c>
      <c r="J35" s="52">
        <f>J34*J13</f>
        <v>0</v>
      </c>
      <c r="K35" s="52">
        <f>K34*K13</f>
        <v>0</v>
      </c>
      <c r="L35" s="52">
        <f>L34*L13</f>
        <v>0</v>
      </c>
      <c r="M35" s="52">
        <f>SUM(I35:L35)</f>
        <v>0</v>
      </c>
      <c r="N35" s="49"/>
      <c r="O35" s="52">
        <f>O34*O13</f>
        <v>0</v>
      </c>
      <c r="P35" s="52">
        <f>P34*P13</f>
        <v>0</v>
      </c>
      <c r="Q35" s="52">
        <f>Q34*Q13</f>
        <v>0</v>
      </c>
      <c r="R35" s="52">
        <f>R34*R13</f>
        <v>0</v>
      </c>
      <c r="S35" s="52">
        <f>SUM(O35:R35)</f>
        <v>0</v>
      </c>
    </row>
    <row r="36" spans="1:19">
      <c r="A36" s="166" t="s">
        <v>227</v>
      </c>
      <c r="B36" s="39" t="str">
        <f>'Asset Info'!$C$10</f>
        <v>Crossrail</v>
      </c>
      <c r="C36" s="92">
        <v>1</v>
      </c>
      <c r="D36" s="165">
        <v>0</v>
      </c>
      <c r="E36" s="92">
        <v>0</v>
      </c>
      <c r="F36" s="92">
        <v>0</v>
      </c>
      <c r="G36" s="163"/>
      <c r="H36" s="164"/>
      <c r="I36" s="92">
        <v>1</v>
      </c>
      <c r="J36" s="165">
        <v>0</v>
      </c>
      <c r="K36" s="92">
        <v>0</v>
      </c>
      <c r="L36" s="92">
        <v>0</v>
      </c>
      <c r="M36" s="163"/>
      <c r="N36" s="164"/>
      <c r="O36" s="92">
        <v>1</v>
      </c>
      <c r="P36" s="165">
        <v>0</v>
      </c>
      <c r="Q36" s="92">
        <v>0</v>
      </c>
      <c r="R36" s="92">
        <v>0</v>
      </c>
      <c r="S36" s="50"/>
    </row>
    <row r="37" spans="1:19">
      <c r="A37" s="60"/>
      <c r="B37" s="39" t="str">
        <f>'Asset Info'!$D$10</f>
        <v>NR Western</v>
      </c>
      <c r="C37" s="92">
        <v>0</v>
      </c>
      <c r="D37" s="92">
        <v>0.5</v>
      </c>
      <c r="E37" s="92">
        <v>0</v>
      </c>
      <c r="F37" s="92">
        <v>0</v>
      </c>
      <c r="G37" s="163"/>
      <c r="H37" s="164"/>
      <c r="I37" s="92">
        <v>0</v>
      </c>
      <c r="J37" s="92">
        <v>0.5</v>
      </c>
      <c r="K37" s="92">
        <v>0</v>
      </c>
      <c r="L37" s="92">
        <v>0</v>
      </c>
      <c r="M37" s="163"/>
      <c r="N37" s="164"/>
      <c r="O37" s="92">
        <v>0</v>
      </c>
      <c r="P37" s="92">
        <v>0.5</v>
      </c>
      <c r="Q37" s="92">
        <v>0</v>
      </c>
      <c r="R37" s="92">
        <v>0</v>
      </c>
      <c r="S37" s="50"/>
    </row>
    <row r="38" spans="1:19">
      <c r="A38" s="60"/>
      <c r="B38" s="39" t="str">
        <f>'Asset Info'!$E$10</f>
        <v>Balfour Beatty</v>
      </c>
      <c r="C38" s="92">
        <v>0</v>
      </c>
      <c r="D38" s="92">
        <v>0</v>
      </c>
      <c r="E38" s="92">
        <v>0</v>
      </c>
      <c r="F38" s="92">
        <v>0</v>
      </c>
      <c r="G38" s="163"/>
      <c r="H38" s="164"/>
      <c r="I38" s="92">
        <v>0</v>
      </c>
      <c r="J38" s="92">
        <v>0</v>
      </c>
      <c r="K38" s="92">
        <v>0</v>
      </c>
      <c r="L38" s="92">
        <v>0</v>
      </c>
      <c r="M38" s="163"/>
      <c r="N38" s="164"/>
      <c r="O38" s="92">
        <v>0</v>
      </c>
      <c r="P38" s="92">
        <v>0</v>
      </c>
      <c r="Q38" s="92">
        <v>0</v>
      </c>
      <c r="R38" s="92">
        <v>0</v>
      </c>
      <c r="S38" s="50"/>
    </row>
    <row r="39" spans="1:19">
      <c r="A39" s="60"/>
      <c r="B39" s="39" t="str">
        <f>'Asset Info'!$F$10</f>
        <v>RSSB</v>
      </c>
      <c r="C39" s="92">
        <v>0</v>
      </c>
      <c r="D39" s="92">
        <v>0.5</v>
      </c>
      <c r="E39" s="92">
        <v>0</v>
      </c>
      <c r="F39" s="92">
        <v>0</v>
      </c>
      <c r="G39" s="163"/>
      <c r="H39" s="164"/>
      <c r="I39" s="92">
        <v>0</v>
      </c>
      <c r="J39" s="92">
        <v>0.5</v>
      </c>
      <c r="K39" s="92">
        <v>0</v>
      </c>
      <c r="L39" s="92">
        <v>0</v>
      </c>
      <c r="M39" s="163"/>
      <c r="N39" s="164"/>
      <c r="O39" s="92">
        <v>0</v>
      </c>
      <c r="P39" s="92">
        <v>0.5</v>
      </c>
      <c r="Q39" s="92">
        <v>0</v>
      </c>
      <c r="R39" s="92">
        <v>0</v>
      </c>
      <c r="S39" s="50"/>
    </row>
    <row r="40" spans="1:19">
      <c r="A40" s="60"/>
      <c r="B40" s="39"/>
      <c r="C40" s="167"/>
      <c r="D40" s="167"/>
      <c r="E40" s="167"/>
      <c r="F40" s="167"/>
      <c r="G40" s="168"/>
      <c r="H40" s="169"/>
      <c r="I40" s="167"/>
      <c r="J40" s="167"/>
      <c r="K40" s="167"/>
      <c r="L40" s="167"/>
      <c r="M40" s="168"/>
      <c r="N40" s="169"/>
      <c r="O40" s="167"/>
      <c r="P40" s="167"/>
      <c r="Q40" s="170"/>
      <c r="R40" s="170"/>
      <c r="S40" s="50"/>
    </row>
    <row r="41" spans="1:19">
      <c r="A41" s="19"/>
      <c r="B41" s="27" t="s">
        <v>88</v>
      </c>
      <c r="C41" s="93">
        <v>0</v>
      </c>
      <c r="D41" s="93">
        <v>15000</v>
      </c>
      <c r="E41" s="93"/>
      <c r="F41" s="93"/>
      <c r="G41" s="50"/>
      <c r="H41" s="49"/>
      <c r="I41" s="93">
        <v>0</v>
      </c>
      <c r="J41" s="93">
        <v>15750</v>
      </c>
      <c r="K41" s="93"/>
      <c r="L41" s="93"/>
      <c r="M41" s="50"/>
      <c r="N41" s="49"/>
      <c r="O41" s="93">
        <v>0</v>
      </c>
      <c r="P41" s="93">
        <v>14250</v>
      </c>
      <c r="Q41" s="93"/>
      <c r="R41" s="93"/>
      <c r="S41" s="50"/>
    </row>
    <row r="42" spans="1:19">
      <c r="A42" s="19"/>
      <c r="B42" s="23" t="s">
        <v>89</v>
      </c>
      <c r="C42" s="52">
        <f>C41*C13</f>
        <v>0</v>
      </c>
      <c r="D42" s="52">
        <f>D41*D13</f>
        <v>0</v>
      </c>
      <c r="E42" s="52">
        <f>E41*E13</f>
        <v>0</v>
      </c>
      <c r="F42" s="52">
        <f>F41*F13</f>
        <v>0</v>
      </c>
      <c r="G42" s="52">
        <f>SUM(C42:F42)</f>
        <v>0</v>
      </c>
      <c r="H42" s="49"/>
      <c r="I42" s="52">
        <f>I41*I13</f>
        <v>0</v>
      </c>
      <c r="J42" s="52">
        <f>J41*J13</f>
        <v>0</v>
      </c>
      <c r="K42" s="52">
        <f>K41*K13</f>
        <v>0</v>
      </c>
      <c r="L42" s="52">
        <f>L41*L13</f>
        <v>0</v>
      </c>
      <c r="M42" s="52">
        <f>SUM(I42:L42)</f>
        <v>0</v>
      </c>
      <c r="N42" s="49"/>
      <c r="O42" s="52">
        <f>O41*O13</f>
        <v>0</v>
      </c>
      <c r="P42" s="52">
        <f>P41*P13</f>
        <v>0</v>
      </c>
      <c r="Q42" s="52">
        <f>Q41*Q13</f>
        <v>0</v>
      </c>
      <c r="R42" s="52">
        <f>R41*R13</f>
        <v>0</v>
      </c>
      <c r="S42" s="52">
        <f>SUM(O42:R42)</f>
        <v>0</v>
      </c>
    </row>
    <row r="43" spans="1:19">
      <c r="A43" s="166" t="s">
        <v>228</v>
      </c>
      <c r="B43" s="39" t="str">
        <f>'Asset Info'!$C$10</f>
        <v>Crossrail</v>
      </c>
      <c r="C43" s="92">
        <v>0</v>
      </c>
      <c r="D43" s="165">
        <v>0</v>
      </c>
      <c r="E43" s="92">
        <v>0</v>
      </c>
      <c r="F43" s="92">
        <v>0</v>
      </c>
      <c r="G43" s="163"/>
      <c r="H43" s="164"/>
      <c r="I43" s="92">
        <v>0</v>
      </c>
      <c r="J43" s="165">
        <v>0</v>
      </c>
      <c r="K43" s="92">
        <v>0</v>
      </c>
      <c r="L43" s="92">
        <v>0</v>
      </c>
      <c r="M43" s="163"/>
      <c r="N43" s="164"/>
      <c r="O43" s="92">
        <v>0</v>
      </c>
      <c r="P43" s="165">
        <v>0</v>
      </c>
      <c r="Q43" s="92">
        <v>0</v>
      </c>
      <c r="R43" s="92">
        <v>0</v>
      </c>
      <c r="S43" s="50"/>
    </row>
    <row r="44" spans="1:19">
      <c r="A44" s="60"/>
      <c r="B44" s="39" t="str">
        <f>'Asset Info'!$D$10</f>
        <v>NR Western</v>
      </c>
      <c r="C44" s="92">
        <v>0</v>
      </c>
      <c r="D44" s="92">
        <v>0.5</v>
      </c>
      <c r="E44" s="92">
        <v>0</v>
      </c>
      <c r="F44" s="92">
        <v>0</v>
      </c>
      <c r="G44" s="163"/>
      <c r="H44" s="164"/>
      <c r="I44" s="92">
        <v>0</v>
      </c>
      <c r="J44" s="92">
        <v>0.5</v>
      </c>
      <c r="K44" s="92">
        <v>0</v>
      </c>
      <c r="L44" s="92">
        <v>0</v>
      </c>
      <c r="M44" s="163"/>
      <c r="N44" s="164"/>
      <c r="O44" s="92">
        <v>0</v>
      </c>
      <c r="P44" s="92">
        <v>0.5</v>
      </c>
      <c r="Q44" s="92">
        <v>0</v>
      </c>
      <c r="R44" s="92">
        <v>0</v>
      </c>
      <c r="S44" s="50"/>
    </row>
    <row r="45" spans="1:19">
      <c r="A45" s="60"/>
      <c r="B45" s="39" t="str">
        <f>'Asset Info'!$E$10</f>
        <v>Balfour Beatty</v>
      </c>
      <c r="C45" s="92">
        <v>0</v>
      </c>
      <c r="D45" s="92">
        <v>0</v>
      </c>
      <c r="E45" s="92">
        <v>0</v>
      </c>
      <c r="F45" s="92">
        <v>0</v>
      </c>
      <c r="G45" s="163"/>
      <c r="H45" s="164"/>
      <c r="I45" s="92">
        <v>0</v>
      </c>
      <c r="J45" s="92">
        <v>0</v>
      </c>
      <c r="K45" s="92">
        <v>0</v>
      </c>
      <c r="L45" s="92">
        <v>0</v>
      </c>
      <c r="M45" s="163"/>
      <c r="N45" s="164"/>
      <c r="O45" s="92">
        <v>0</v>
      </c>
      <c r="P45" s="92">
        <v>0</v>
      </c>
      <c r="Q45" s="92">
        <v>0</v>
      </c>
      <c r="R45" s="92">
        <v>0</v>
      </c>
      <c r="S45" s="50"/>
    </row>
    <row r="46" spans="1:19">
      <c r="A46" s="60"/>
      <c r="B46" s="39" t="str">
        <f>'Asset Info'!$F$10</f>
        <v>RSSB</v>
      </c>
      <c r="C46" s="92">
        <v>0</v>
      </c>
      <c r="D46" s="92">
        <v>0.5</v>
      </c>
      <c r="E46" s="92">
        <v>0</v>
      </c>
      <c r="F46" s="92">
        <v>0</v>
      </c>
      <c r="G46" s="163"/>
      <c r="H46" s="164"/>
      <c r="I46" s="92">
        <v>0</v>
      </c>
      <c r="J46" s="92">
        <v>0.5</v>
      </c>
      <c r="K46" s="92">
        <v>0</v>
      </c>
      <c r="L46" s="92">
        <v>0</v>
      </c>
      <c r="M46" s="163"/>
      <c r="N46" s="164"/>
      <c r="O46" s="92">
        <v>0</v>
      </c>
      <c r="P46" s="92">
        <v>0.5</v>
      </c>
      <c r="Q46" s="92">
        <v>0</v>
      </c>
      <c r="R46" s="92">
        <v>0</v>
      </c>
      <c r="S46" s="50"/>
    </row>
    <row r="47" spans="1:19">
      <c r="A47" s="19"/>
      <c r="B47" s="19"/>
      <c r="C47" s="50"/>
      <c r="D47" s="50"/>
      <c r="E47" s="50"/>
      <c r="F47" s="50"/>
      <c r="G47" s="50"/>
      <c r="H47" s="49"/>
      <c r="I47" s="50"/>
      <c r="J47" s="50"/>
      <c r="K47" s="50"/>
      <c r="L47" s="50"/>
      <c r="M47" s="50"/>
      <c r="N47" s="49"/>
      <c r="O47" s="50"/>
      <c r="P47" s="50"/>
      <c r="Q47" s="50"/>
      <c r="R47" s="50"/>
      <c r="S47" s="50"/>
    </row>
    <row r="48" spans="1:19">
      <c r="A48" s="28" t="s">
        <v>164</v>
      </c>
      <c r="B48" s="19"/>
      <c r="C48" s="56"/>
      <c r="D48" s="56"/>
      <c r="E48" s="56"/>
      <c r="F48" s="56"/>
      <c r="G48" s="56"/>
      <c r="H48" s="57"/>
      <c r="I48" s="56"/>
      <c r="J48" s="56"/>
      <c r="K48" s="56"/>
      <c r="L48" s="56"/>
      <c r="M48" s="56"/>
      <c r="N48" s="57"/>
      <c r="O48" s="56"/>
      <c r="P48" s="56"/>
      <c r="Q48" s="56"/>
      <c r="R48" s="56"/>
      <c r="S48" s="56"/>
    </row>
    <row r="49" spans="1:19">
      <c r="A49" s="60" t="s">
        <v>91</v>
      </c>
      <c r="B49" s="19" t="s">
        <v>65</v>
      </c>
      <c r="C49" s="93">
        <v>5000</v>
      </c>
      <c r="D49" s="93">
        <v>0</v>
      </c>
      <c r="E49" s="93"/>
      <c r="F49" s="93"/>
      <c r="G49" s="50">
        <f>SUM(C49:F49)</f>
        <v>5000</v>
      </c>
      <c r="H49" s="49"/>
      <c r="I49" s="93">
        <v>5250</v>
      </c>
      <c r="J49" s="93">
        <v>0</v>
      </c>
      <c r="K49" s="93"/>
      <c r="L49" s="93"/>
      <c r="M49" s="50">
        <f>SUM(I49:L49)</f>
        <v>5250</v>
      </c>
      <c r="N49" s="49"/>
      <c r="O49" s="93">
        <v>4750</v>
      </c>
      <c r="P49" s="93">
        <v>0</v>
      </c>
      <c r="Q49" s="93"/>
      <c r="R49" s="93"/>
      <c r="S49" s="50">
        <f>SUM(O49:R49)</f>
        <v>4750</v>
      </c>
    </row>
    <row r="50" spans="1:19">
      <c r="A50" s="19"/>
      <c r="B50" s="19" t="s">
        <v>66</v>
      </c>
      <c r="C50" s="93">
        <v>5000</v>
      </c>
      <c r="D50" s="93">
        <v>0</v>
      </c>
      <c r="E50" s="93"/>
      <c r="F50" s="93"/>
      <c r="G50" s="50">
        <f>SUM(C50:F50)</f>
        <v>5000</v>
      </c>
      <c r="H50" s="49"/>
      <c r="I50" s="93">
        <v>5250</v>
      </c>
      <c r="J50" s="93">
        <v>0</v>
      </c>
      <c r="K50" s="93"/>
      <c r="L50" s="93"/>
      <c r="M50" s="50">
        <f>SUM(I50:L50)</f>
        <v>5250</v>
      </c>
      <c r="N50" s="49"/>
      <c r="O50" s="93">
        <v>4750</v>
      </c>
      <c r="P50" s="93">
        <v>0</v>
      </c>
      <c r="Q50" s="93"/>
      <c r="R50" s="93"/>
      <c r="S50" s="50">
        <f>SUM(O50:R50)</f>
        <v>4750</v>
      </c>
    </row>
    <row r="51" spans="1:19">
      <c r="A51" s="19"/>
      <c r="B51" s="19" t="s">
        <v>67</v>
      </c>
      <c r="C51" s="93">
        <v>5000</v>
      </c>
      <c r="D51" s="93">
        <v>0</v>
      </c>
      <c r="E51" s="93"/>
      <c r="F51" s="93"/>
      <c r="G51" s="50">
        <f>SUM(C51:F51)</f>
        <v>5000</v>
      </c>
      <c r="H51" s="49"/>
      <c r="I51" s="93">
        <v>5250</v>
      </c>
      <c r="J51" s="93">
        <v>0</v>
      </c>
      <c r="K51" s="93"/>
      <c r="L51" s="93"/>
      <c r="M51" s="50">
        <f>SUM(I51:L51)</f>
        <v>5250</v>
      </c>
      <c r="N51" s="49"/>
      <c r="O51" s="93">
        <v>4750</v>
      </c>
      <c r="P51" s="93">
        <v>0</v>
      </c>
      <c r="Q51" s="93"/>
      <c r="R51" s="93"/>
      <c r="S51" s="50">
        <f>SUM(O51:R51)</f>
        <v>4750</v>
      </c>
    </row>
    <row r="52" spans="1:19">
      <c r="A52" s="19"/>
      <c r="B52" s="23" t="s">
        <v>95</v>
      </c>
      <c r="C52" s="52">
        <f>SUM(C49:C51)</f>
        <v>15000</v>
      </c>
      <c r="D52" s="52">
        <f>SUM(D49:D51)</f>
        <v>0</v>
      </c>
      <c r="E52" s="52">
        <f>SUM(E49:E51)</f>
        <v>0</v>
      </c>
      <c r="F52" s="52">
        <f>SUM(F49:F51)</f>
        <v>0</v>
      </c>
      <c r="G52" s="52">
        <f>SUM(G49:G51)</f>
        <v>15000</v>
      </c>
      <c r="H52" s="49"/>
      <c r="I52" s="52">
        <f>SUM(I49:I51)</f>
        <v>15750</v>
      </c>
      <c r="J52" s="52">
        <f>SUM(J49:J51)</f>
        <v>0</v>
      </c>
      <c r="K52" s="52">
        <f>SUM(K49:K51)</f>
        <v>0</v>
      </c>
      <c r="L52" s="52">
        <f>SUM(L49:L51)</f>
        <v>0</v>
      </c>
      <c r="M52" s="52">
        <f>SUM(M49:M51)</f>
        <v>15750</v>
      </c>
      <c r="N52" s="49"/>
      <c r="O52" s="52">
        <f>SUM(O49:O51)</f>
        <v>14250</v>
      </c>
      <c r="P52" s="52">
        <f>SUM(P49:P51)</f>
        <v>0</v>
      </c>
      <c r="Q52" s="52">
        <f>SUM(Q49:Q51)</f>
        <v>0</v>
      </c>
      <c r="R52" s="52">
        <f>SUM(R49:R51)</f>
        <v>0</v>
      </c>
      <c r="S52" s="52">
        <f>SUM(S49:S51)</f>
        <v>14250</v>
      </c>
    </row>
    <row r="53" spans="1:19">
      <c r="A53" s="61" t="s">
        <v>229</v>
      </c>
      <c r="B53" s="39" t="str">
        <f>'Asset Info'!$C$10</f>
        <v>Crossrail</v>
      </c>
      <c r="C53" s="92">
        <v>0</v>
      </c>
      <c r="D53" s="165">
        <v>0</v>
      </c>
      <c r="E53" s="92">
        <v>0</v>
      </c>
      <c r="F53" s="92">
        <v>0</v>
      </c>
      <c r="G53" s="163"/>
      <c r="H53" s="164"/>
      <c r="I53" s="92">
        <v>0</v>
      </c>
      <c r="J53" s="165">
        <v>0</v>
      </c>
      <c r="K53" s="92">
        <v>0</v>
      </c>
      <c r="L53" s="92">
        <v>0</v>
      </c>
      <c r="M53" s="163"/>
      <c r="N53" s="164"/>
      <c r="O53" s="92">
        <v>0</v>
      </c>
      <c r="P53" s="165">
        <v>0</v>
      </c>
      <c r="Q53" s="92">
        <v>0</v>
      </c>
      <c r="R53" s="92">
        <v>0</v>
      </c>
      <c r="S53" s="50"/>
    </row>
    <row r="54" spans="1:19">
      <c r="A54" s="60"/>
      <c r="B54" s="39" t="str">
        <f>'Asset Info'!$D$10</f>
        <v>NR Western</v>
      </c>
      <c r="C54" s="92">
        <v>1</v>
      </c>
      <c r="D54" s="92">
        <v>0.5</v>
      </c>
      <c r="E54" s="92">
        <v>0</v>
      </c>
      <c r="F54" s="92">
        <v>0</v>
      </c>
      <c r="G54" s="163"/>
      <c r="H54" s="164"/>
      <c r="I54" s="92">
        <v>1</v>
      </c>
      <c r="J54" s="92">
        <v>0.5</v>
      </c>
      <c r="K54" s="92">
        <v>0</v>
      </c>
      <c r="L54" s="92">
        <v>0</v>
      </c>
      <c r="M54" s="163"/>
      <c r="N54" s="164"/>
      <c r="O54" s="92">
        <v>1</v>
      </c>
      <c r="P54" s="92">
        <v>0.5</v>
      </c>
      <c r="Q54" s="92">
        <v>0</v>
      </c>
      <c r="R54" s="92">
        <v>0</v>
      </c>
      <c r="S54" s="50"/>
    </row>
    <row r="55" spans="1:19">
      <c r="A55" s="60"/>
      <c r="B55" s="39" t="str">
        <f>'Asset Info'!$E$10</f>
        <v>Balfour Beatty</v>
      </c>
      <c r="C55" s="92">
        <v>0</v>
      </c>
      <c r="D55" s="92">
        <v>0</v>
      </c>
      <c r="E55" s="92">
        <v>0</v>
      </c>
      <c r="F55" s="92">
        <v>0</v>
      </c>
      <c r="G55" s="163"/>
      <c r="H55" s="164"/>
      <c r="I55" s="92">
        <v>0</v>
      </c>
      <c r="J55" s="92">
        <v>0</v>
      </c>
      <c r="K55" s="92">
        <v>0</v>
      </c>
      <c r="L55" s="92">
        <v>0</v>
      </c>
      <c r="M55" s="163"/>
      <c r="N55" s="164"/>
      <c r="O55" s="92">
        <v>0</v>
      </c>
      <c r="P55" s="92">
        <v>0</v>
      </c>
      <c r="Q55" s="92">
        <v>0</v>
      </c>
      <c r="R55" s="92">
        <v>0</v>
      </c>
      <c r="S55" s="50"/>
    </row>
    <row r="56" spans="1:19">
      <c r="A56" s="60"/>
      <c r="B56" s="39" t="str">
        <f>'Asset Info'!$F$10</f>
        <v>RSSB</v>
      </c>
      <c r="C56" s="92">
        <v>0</v>
      </c>
      <c r="D56" s="92">
        <v>0.5</v>
      </c>
      <c r="E56" s="92">
        <v>0</v>
      </c>
      <c r="F56" s="92">
        <v>0</v>
      </c>
      <c r="G56" s="163"/>
      <c r="H56" s="164"/>
      <c r="I56" s="92">
        <v>0</v>
      </c>
      <c r="J56" s="92">
        <v>0.5</v>
      </c>
      <c r="K56" s="92">
        <v>0</v>
      </c>
      <c r="L56" s="92">
        <v>0</v>
      </c>
      <c r="M56" s="163"/>
      <c r="N56" s="164"/>
      <c r="O56" s="92">
        <v>0</v>
      </c>
      <c r="P56" s="92">
        <v>0.5</v>
      </c>
      <c r="Q56" s="92">
        <v>0</v>
      </c>
      <c r="R56" s="92">
        <v>0</v>
      </c>
      <c r="S56" s="50"/>
    </row>
  </sheetData>
  <mergeCells count="1">
    <mergeCell ref="A27:A30"/>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28" r:id="rId4" name="Button 92">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4429" r:id="rId5" name="Button 93">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4430" r:id="rId6" name="Button 94">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4431" r:id="rId7" name="Button 95">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4432" r:id="rId8" name="Button 96">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FC">
    <tabColor indexed="57"/>
  </sheetPr>
  <dimension ref="A1:S37"/>
  <sheetViews>
    <sheetView workbookViewId="0">
      <selection activeCell="D23" sqref="D23"/>
    </sheetView>
  </sheetViews>
  <sheetFormatPr defaultColWidth="41" defaultRowHeight="12.75"/>
  <cols>
    <col min="1" max="1" width="30.5703125" style="1" customWidth="1"/>
    <col min="2" max="2" width="26.5703125" style="1" bestFit="1" customWidth="1"/>
    <col min="3" max="6" width="14.7109375" style="1" customWidth="1"/>
    <col min="7" max="7" width="17" style="1" customWidth="1"/>
    <col min="8" max="8" width="5" style="1" customWidth="1"/>
    <col min="9" max="12" width="14.7109375" style="1" customWidth="1"/>
    <col min="13" max="13" width="17" style="1" customWidth="1"/>
    <col min="14" max="14" width="5" style="1" customWidth="1"/>
    <col min="15" max="16" width="14.7109375" style="1" customWidth="1"/>
    <col min="17" max="17" width="17.140625" style="1" bestFit="1" customWidth="1"/>
    <col min="18" max="18" width="14.7109375" style="1" customWidth="1"/>
    <col min="19" max="19" width="17" style="1" customWidth="1"/>
    <col min="20" max="16384" width="41" style="1"/>
  </cols>
  <sheetData>
    <row r="1" spans="1:19">
      <c r="A1" s="19"/>
      <c r="B1" s="19"/>
    </row>
    <row r="2" spans="1:19">
      <c r="A2" s="19"/>
      <c r="B2" s="19"/>
    </row>
    <row r="3" spans="1:19">
      <c r="A3" s="19"/>
      <c r="B3" s="19"/>
    </row>
    <row r="4" spans="1:19" ht="15.75">
      <c r="A4" s="19"/>
      <c r="B4" s="19"/>
      <c r="C4" s="8"/>
      <c r="E4" s="2"/>
      <c r="J4" s="2"/>
    </row>
    <row r="5" spans="1:19" s="10" customFormat="1" ht="18">
      <c r="A5" s="9" t="s">
        <v>218</v>
      </c>
      <c r="C5" s="11"/>
      <c r="E5" s="12"/>
      <c r="J5" s="12"/>
    </row>
    <row r="6" spans="1:19">
      <c r="A6" s="3"/>
      <c r="B6" s="3"/>
    </row>
    <row r="7" spans="1:19">
      <c r="A7" s="23" t="s">
        <v>2</v>
      </c>
      <c r="B7" s="19" t="str">
        <f>'Asset Info'!B7</f>
        <v>Plain Line Track</v>
      </c>
    </row>
    <row r="8" spans="1:19">
      <c r="A8" s="23" t="s">
        <v>153</v>
      </c>
      <c r="B8" s="86" t="s">
        <v>308</v>
      </c>
    </row>
    <row r="9" spans="1:19">
      <c r="A9" s="19"/>
      <c r="B9" s="19"/>
      <c r="H9" s="19"/>
    </row>
    <row r="10" spans="1:19">
      <c r="A10" s="23" t="s">
        <v>216</v>
      </c>
      <c r="B10" s="23"/>
      <c r="C10" s="17" t="s">
        <v>80</v>
      </c>
      <c r="D10" s="18"/>
      <c r="E10" s="18"/>
      <c r="F10" s="18"/>
      <c r="G10" s="18"/>
      <c r="H10" s="19"/>
      <c r="I10" s="13" t="s">
        <v>81</v>
      </c>
      <c r="J10" s="14"/>
      <c r="K10" s="14"/>
      <c r="L10" s="14"/>
      <c r="M10" s="14"/>
      <c r="N10" s="19"/>
      <c r="O10" s="15" t="s">
        <v>82</v>
      </c>
      <c r="P10" s="16"/>
      <c r="Q10" s="16"/>
      <c r="R10" s="16"/>
      <c r="S10" s="16"/>
    </row>
    <row r="11" spans="1:19">
      <c r="A11" s="28"/>
      <c r="B11" s="28"/>
      <c r="C11" s="39" t="s">
        <v>60</v>
      </c>
      <c r="D11" s="39" t="s">
        <v>61</v>
      </c>
      <c r="E11" s="39" t="s">
        <v>62</v>
      </c>
      <c r="F11" s="39" t="s">
        <v>63</v>
      </c>
      <c r="G11" s="39" t="s">
        <v>29</v>
      </c>
      <c r="H11" s="19"/>
      <c r="I11" s="39" t="s">
        <v>60</v>
      </c>
      <c r="J11" s="39" t="s">
        <v>61</v>
      </c>
      <c r="K11" s="39" t="s">
        <v>62</v>
      </c>
      <c r="L11" s="39" t="s">
        <v>63</v>
      </c>
      <c r="M11" s="39" t="s">
        <v>29</v>
      </c>
      <c r="N11" s="19"/>
      <c r="O11" s="39" t="s">
        <v>60</v>
      </c>
      <c r="P11" s="39" t="s">
        <v>61</v>
      </c>
      <c r="Q11" s="39" t="s">
        <v>62</v>
      </c>
      <c r="R11" s="39" t="s">
        <v>63</v>
      </c>
      <c r="S11" s="39" t="s">
        <v>29</v>
      </c>
    </row>
    <row r="12" spans="1:19">
      <c r="A12" s="28" t="s">
        <v>163</v>
      </c>
      <c r="B12" s="28"/>
      <c r="C12" s="39"/>
      <c r="D12" s="39"/>
      <c r="E12" s="39"/>
      <c r="F12" s="39"/>
      <c r="G12" s="39"/>
      <c r="H12" s="19"/>
      <c r="I12" s="39"/>
      <c r="J12" s="39"/>
      <c r="K12" s="39"/>
      <c r="L12" s="39"/>
      <c r="M12" s="39"/>
      <c r="N12" s="19"/>
      <c r="O12" s="39"/>
      <c r="P12" s="39"/>
      <c r="Q12" s="39"/>
      <c r="R12" s="39"/>
      <c r="S12" s="39"/>
    </row>
    <row r="13" spans="1:19">
      <c r="A13" s="62" t="s">
        <v>155</v>
      </c>
      <c r="B13" s="27" t="s">
        <v>64</v>
      </c>
      <c r="C13" s="39" t="str">
        <f>'RCM Current'!C12</f>
        <v>UTGM on trains</v>
      </c>
      <c r="D13" s="39" t="str">
        <f>'RCM Current'!D12</f>
        <v>UTGM NR interface</v>
      </c>
      <c r="E13" s="39">
        <f>'RCM Current'!E12</f>
        <v>0</v>
      </c>
      <c r="F13" s="39">
        <f>'RCM Current'!F12</f>
        <v>0</v>
      </c>
      <c r="G13" s="19"/>
      <c r="H13" s="19"/>
      <c r="I13" s="39" t="str">
        <f>'RCM Current'!I12</f>
        <v>UTGM on trains</v>
      </c>
      <c r="J13" s="39" t="str">
        <f>'RCM Current'!J12</f>
        <v>UTGM NR interface</v>
      </c>
      <c r="K13" s="39">
        <f>'RCM Current'!K12</f>
        <v>0</v>
      </c>
      <c r="L13" s="39">
        <f>'RCM Current'!L12</f>
        <v>0</v>
      </c>
      <c r="M13" s="19"/>
      <c r="N13" s="19"/>
      <c r="O13" s="39" t="str">
        <f>'RCM Current'!O12</f>
        <v>UTGM on trains</v>
      </c>
      <c r="P13" s="39" t="str">
        <f>'RCM Current'!P12</f>
        <v>UTGM NR interface</v>
      </c>
      <c r="Q13" s="39">
        <f>'RCM Current'!Q12</f>
        <v>0</v>
      </c>
      <c r="R13" s="39">
        <f>'RCM Current'!R12</f>
        <v>0</v>
      </c>
      <c r="S13" s="19"/>
    </row>
    <row r="14" spans="1:19">
      <c r="A14" s="60"/>
      <c r="B14" s="19" t="s">
        <v>71</v>
      </c>
      <c r="C14" s="33">
        <f>'RCM Current'!C13</f>
        <v>3</v>
      </c>
      <c r="D14" s="33">
        <f>'RCM Current'!D13</f>
        <v>0</v>
      </c>
      <c r="E14" s="33">
        <f>'RCM Current'!E13</f>
        <v>0</v>
      </c>
      <c r="F14" s="33">
        <f>'RCM Current'!F13</f>
        <v>0</v>
      </c>
      <c r="G14" s="34"/>
      <c r="H14" s="19"/>
      <c r="I14" s="33">
        <f>'RCM Current'!I13</f>
        <v>3</v>
      </c>
      <c r="J14" s="33">
        <f>'RCM Current'!J13</f>
        <v>0</v>
      </c>
      <c r="K14" s="33">
        <f>'RCM Current'!K13</f>
        <v>0</v>
      </c>
      <c r="L14" s="33">
        <f>'RCM Current'!L13</f>
        <v>0</v>
      </c>
      <c r="M14" s="34"/>
      <c r="N14" s="19"/>
      <c r="O14" s="33">
        <f>'RCM Current'!O13</f>
        <v>3</v>
      </c>
      <c r="P14" s="33">
        <f>'RCM Current'!P13</f>
        <v>0</v>
      </c>
      <c r="Q14" s="33">
        <f>'RCM Current'!Q13</f>
        <v>0</v>
      </c>
      <c r="R14" s="33">
        <f>'RCM Current'!R13</f>
        <v>0</v>
      </c>
      <c r="S14" s="34"/>
    </row>
    <row r="15" spans="1:19">
      <c r="A15" s="60"/>
      <c r="B15" s="19"/>
      <c r="C15" s="33"/>
      <c r="D15" s="33"/>
      <c r="E15" s="33"/>
      <c r="F15" s="33"/>
      <c r="G15" s="34"/>
      <c r="H15" s="19"/>
      <c r="I15" s="33"/>
      <c r="J15" s="33"/>
      <c r="K15" s="33"/>
      <c r="L15" s="33"/>
      <c r="M15" s="34"/>
      <c r="N15" s="19"/>
      <c r="O15" s="33"/>
      <c r="P15" s="33"/>
      <c r="Q15" s="33"/>
      <c r="R15" s="33"/>
      <c r="S15" s="34"/>
    </row>
    <row r="16" spans="1:19">
      <c r="A16" s="60" t="s">
        <v>37</v>
      </c>
      <c r="B16" s="19"/>
      <c r="C16" s="33"/>
      <c r="D16" s="33"/>
      <c r="E16" s="33"/>
      <c r="F16" s="33"/>
      <c r="G16" s="34"/>
      <c r="H16" s="19"/>
      <c r="I16" s="33"/>
      <c r="J16" s="33"/>
      <c r="K16" s="33"/>
      <c r="L16" s="33"/>
      <c r="M16" s="34"/>
      <c r="N16" s="19"/>
      <c r="O16" s="33"/>
      <c r="P16" s="33"/>
      <c r="Q16" s="33"/>
      <c r="R16" s="33"/>
      <c r="S16" s="34"/>
    </row>
    <row r="17" spans="1:19">
      <c r="A17" s="60"/>
      <c r="B17" s="23" t="s">
        <v>38</v>
      </c>
      <c r="C17" s="33"/>
      <c r="D17" s="33"/>
      <c r="E17" s="33"/>
      <c r="F17" s="33"/>
      <c r="G17" s="34"/>
      <c r="H17" s="19"/>
      <c r="I17" s="33"/>
      <c r="J17" s="33"/>
      <c r="K17" s="33"/>
      <c r="L17" s="33"/>
      <c r="M17" s="34"/>
      <c r="N17" s="19"/>
      <c r="O17" s="33"/>
      <c r="P17" s="33"/>
      <c r="Q17" s="33"/>
      <c r="R17" s="33"/>
      <c r="S17" s="34"/>
    </row>
    <row r="18" spans="1:19">
      <c r="A18" s="60"/>
      <c r="B18" s="28"/>
      <c r="C18" s="33"/>
      <c r="D18" s="33"/>
      <c r="E18" s="33"/>
      <c r="F18" s="33"/>
      <c r="G18" s="34"/>
      <c r="H18" s="19"/>
      <c r="I18" s="33"/>
      <c r="J18" s="33"/>
      <c r="K18" s="33"/>
      <c r="L18" s="33"/>
      <c r="M18" s="34"/>
      <c r="N18" s="19"/>
      <c r="O18" s="33"/>
      <c r="P18" s="33"/>
      <c r="Q18" s="33"/>
      <c r="R18" s="33"/>
      <c r="S18" s="34"/>
    </row>
    <row r="19" spans="1:19">
      <c r="A19" s="60" t="s">
        <v>86</v>
      </c>
      <c r="B19" s="19" t="s">
        <v>72</v>
      </c>
      <c r="C19" s="87">
        <v>3</v>
      </c>
      <c r="D19" s="87">
        <v>1</v>
      </c>
      <c r="E19" s="87"/>
      <c r="F19" s="87"/>
      <c r="G19" s="38"/>
      <c r="H19" s="19"/>
      <c r="I19" s="87">
        <v>3</v>
      </c>
      <c r="J19" s="87">
        <v>1</v>
      </c>
      <c r="K19" s="87"/>
      <c r="L19" s="87"/>
      <c r="M19" s="38"/>
      <c r="N19" s="19"/>
      <c r="O19" s="87">
        <v>3</v>
      </c>
      <c r="P19" s="87">
        <v>1</v>
      </c>
      <c r="Q19" s="87"/>
      <c r="R19" s="87"/>
      <c r="S19" s="38"/>
    </row>
    <row r="20" spans="1:19">
      <c r="A20" s="61"/>
      <c r="B20" s="19"/>
      <c r="C20" s="34"/>
      <c r="D20" s="34"/>
      <c r="E20" s="34"/>
      <c r="F20" s="34"/>
      <c r="G20" s="34"/>
      <c r="H20" s="19"/>
      <c r="I20" s="34"/>
      <c r="J20" s="34"/>
      <c r="K20" s="34"/>
      <c r="L20" s="34"/>
      <c r="M20" s="34"/>
      <c r="N20" s="19"/>
      <c r="O20" s="34"/>
      <c r="P20" s="34"/>
      <c r="Q20" s="34"/>
      <c r="R20" s="34"/>
      <c r="S20" s="34"/>
    </row>
    <row r="21" spans="1:19">
      <c r="A21" s="60"/>
      <c r="B21" s="19" t="s">
        <v>105</v>
      </c>
      <c r="C21" s="33">
        <f>IF($B21&lt;&gt;"Not used", C19-C$14,0)</f>
        <v>0</v>
      </c>
      <c r="D21" s="33">
        <f>IF($B21&lt;&gt;"Not used", D19-D$14,0)</f>
        <v>1</v>
      </c>
      <c r="E21" s="33">
        <f>IF($B21&lt;&gt;"Not used", E19-E$14,0)</f>
        <v>0</v>
      </c>
      <c r="F21" s="33">
        <f>IF($B21&lt;&gt;"Not used", F19-F$14,0)</f>
        <v>0</v>
      </c>
      <c r="G21" s="34"/>
      <c r="H21" s="19"/>
      <c r="I21" s="33">
        <f>IF($B21&lt;&gt;"Not used", I19-I$14,0)</f>
        <v>0</v>
      </c>
      <c r="J21" s="33">
        <f>IF($B21&lt;&gt;"Not used", J19-J$14,0)</f>
        <v>1</v>
      </c>
      <c r="K21" s="33">
        <f>IF($B21&lt;&gt;"Not used", K19-K$14,0)</f>
        <v>0</v>
      </c>
      <c r="L21" s="33">
        <f>IF($B21&lt;&gt;"Not used", L19-L$14,0)</f>
        <v>0</v>
      </c>
      <c r="M21" s="34"/>
      <c r="N21" s="19"/>
      <c r="O21" s="33">
        <f>IF($B21&lt;&gt;"Not used", O19-O$14,0)</f>
        <v>0</v>
      </c>
      <c r="P21" s="33">
        <f>IF($B21&lt;&gt;"Not used", P19-P$14,0)</f>
        <v>1</v>
      </c>
      <c r="Q21" s="33">
        <f>IF($B21&lt;&gt;"Not used", Q19-Q$14,0)</f>
        <v>0</v>
      </c>
      <c r="R21" s="33">
        <f>IF($B21&lt;&gt;"Not used", R19-R$14,0)</f>
        <v>0</v>
      </c>
      <c r="S21" s="34"/>
    </row>
    <row r="22" spans="1:19">
      <c r="A22" s="60"/>
      <c r="B22" s="19"/>
      <c r="C22" s="34"/>
      <c r="D22" s="34"/>
      <c r="E22" s="34"/>
      <c r="F22" s="34"/>
      <c r="G22" s="39"/>
      <c r="H22" s="19"/>
      <c r="I22" s="34"/>
      <c r="J22" s="34"/>
      <c r="K22" s="34"/>
      <c r="L22" s="34"/>
      <c r="M22" s="39"/>
      <c r="N22" s="23"/>
      <c r="O22" s="34"/>
      <c r="P22" s="34"/>
      <c r="Q22" s="34"/>
      <c r="R22" s="34"/>
      <c r="S22" s="39"/>
    </row>
    <row r="23" spans="1:19">
      <c r="A23" s="60" t="s">
        <v>92</v>
      </c>
      <c r="B23" s="30" t="s">
        <v>93</v>
      </c>
      <c r="C23" s="51">
        <f>'RCM Current'!C32</f>
        <v>0</v>
      </c>
      <c r="D23" s="51">
        <f>'RCM Current'!D32</f>
        <v>70000</v>
      </c>
      <c r="E23" s="51">
        <f>'RCM Current'!E32</f>
        <v>0</v>
      </c>
      <c r="F23" s="51">
        <f>'RCM Current'!F32</f>
        <v>0</v>
      </c>
      <c r="G23" s="52"/>
      <c r="H23" s="49"/>
      <c r="I23" s="51">
        <f>'RCM Current'!I32</f>
        <v>0</v>
      </c>
      <c r="J23" s="51">
        <f>'RCM Current'!J32</f>
        <v>73500</v>
      </c>
      <c r="K23" s="51">
        <f>'RCM Current'!K32</f>
        <v>0</v>
      </c>
      <c r="L23" s="51">
        <f>'RCM Current'!L32</f>
        <v>0</v>
      </c>
      <c r="M23" s="52"/>
      <c r="N23" s="54"/>
      <c r="O23" s="51">
        <f>'RCM Current'!O32</f>
        <v>0</v>
      </c>
      <c r="P23" s="51">
        <f>'RCM Current'!P32</f>
        <v>66500</v>
      </c>
      <c r="Q23" s="51">
        <f>'RCM Current'!Q32</f>
        <v>0</v>
      </c>
      <c r="R23" s="51">
        <f>'RCM Current'!R32</f>
        <v>0</v>
      </c>
      <c r="S23" s="52"/>
    </row>
    <row r="24" spans="1:19">
      <c r="A24" s="60"/>
      <c r="B24" s="19" t="s">
        <v>104</v>
      </c>
      <c r="C24" s="50">
        <f>MAX(C$23*C21,0)</f>
        <v>0</v>
      </c>
      <c r="D24" s="50">
        <f>MAX(D$23*D21,0)</f>
        <v>70000</v>
      </c>
      <c r="E24" s="50">
        <f>MAX(E$23*E21,0)</f>
        <v>0</v>
      </c>
      <c r="F24" s="50">
        <f>MAX(F$23*F21,0)</f>
        <v>0</v>
      </c>
      <c r="G24" s="52">
        <f>SUM(C24:F24)</f>
        <v>70000</v>
      </c>
      <c r="H24" s="49"/>
      <c r="I24" s="50">
        <f>MAX(I$23*I21,0)</f>
        <v>0</v>
      </c>
      <c r="J24" s="50">
        <f>MAX(J$23*J21,0)</f>
        <v>73500</v>
      </c>
      <c r="K24" s="50">
        <f>MAX(K$23*K21,0)</f>
        <v>0</v>
      </c>
      <c r="L24" s="50">
        <f>MAX(L$23*L21,0)</f>
        <v>0</v>
      </c>
      <c r="M24" s="52">
        <f>SUM(I24:L24)</f>
        <v>73500</v>
      </c>
      <c r="N24" s="54"/>
      <c r="O24" s="50">
        <f>MAX(O$23*O21,0)</f>
        <v>0</v>
      </c>
      <c r="P24" s="50">
        <f>MAX(P$23*P21,0)</f>
        <v>66500</v>
      </c>
      <c r="Q24" s="50">
        <f>MAX(Q$23*Q21,0)</f>
        <v>0</v>
      </c>
      <c r="R24" s="50">
        <f>MAX(R$23*R21,0)</f>
        <v>0</v>
      </c>
      <c r="S24" s="52">
        <f>SUM(O24:R24)</f>
        <v>66500</v>
      </c>
    </row>
    <row r="25" spans="1:19">
      <c r="A25" s="60"/>
      <c r="B25" s="19"/>
      <c r="C25" s="50"/>
      <c r="D25" s="50"/>
      <c r="E25" s="50"/>
      <c r="F25" s="50"/>
      <c r="G25" s="52"/>
      <c r="H25" s="49"/>
      <c r="I25" s="50"/>
      <c r="J25" s="50"/>
      <c r="K25" s="50"/>
      <c r="L25" s="50"/>
      <c r="M25" s="52"/>
      <c r="N25" s="54"/>
      <c r="O25" s="50"/>
      <c r="P25" s="50"/>
      <c r="Q25" s="50"/>
      <c r="R25" s="50"/>
      <c r="S25" s="52"/>
    </row>
    <row r="26" spans="1:19">
      <c r="A26" s="60" t="s">
        <v>98</v>
      </c>
      <c r="B26" s="30" t="s">
        <v>94</v>
      </c>
      <c r="C26" s="51">
        <f>'RCM Current'!C41</f>
        <v>0</v>
      </c>
      <c r="D26" s="51">
        <f>'RCM Current'!D41</f>
        <v>15000</v>
      </c>
      <c r="E26" s="51">
        <f>'RCM Current'!E41</f>
        <v>0</v>
      </c>
      <c r="F26" s="51">
        <f>'RCM Current'!F41</f>
        <v>0</v>
      </c>
      <c r="G26" s="52"/>
      <c r="H26" s="49"/>
      <c r="I26" s="51">
        <f>'RCM Current'!I41</f>
        <v>0</v>
      </c>
      <c r="J26" s="51">
        <f>'RCM Current'!J41</f>
        <v>15750</v>
      </c>
      <c r="K26" s="51">
        <f>'RCM Current'!K41</f>
        <v>0</v>
      </c>
      <c r="L26" s="51">
        <f>'RCM Current'!L41</f>
        <v>0</v>
      </c>
      <c r="M26" s="52"/>
      <c r="N26" s="54"/>
      <c r="O26" s="51">
        <f>'RCM Current'!O41</f>
        <v>0</v>
      </c>
      <c r="P26" s="51">
        <f>'RCM Current'!P41</f>
        <v>14250</v>
      </c>
      <c r="Q26" s="51">
        <f>'RCM Current'!Q41</f>
        <v>0</v>
      </c>
      <c r="R26" s="51">
        <f>'RCM Current'!R41</f>
        <v>0</v>
      </c>
      <c r="S26" s="52"/>
    </row>
    <row r="27" spans="1:19">
      <c r="A27" s="60"/>
      <c r="B27" s="19" t="s">
        <v>106</v>
      </c>
      <c r="C27" s="50">
        <f>C26*C21</f>
        <v>0</v>
      </c>
      <c r="D27" s="50">
        <f>D26*D21</f>
        <v>15000</v>
      </c>
      <c r="E27" s="50">
        <f>E26*E21</f>
        <v>0</v>
      </c>
      <c r="F27" s="50">
        <f>F26*F21</f>
        <v>0</v>
      </c>
      <c r="G27" s="52">
        <f>SUM(C27:F27)</f>
        <v>15000</v>
      </c>
      <c r="H27" s="49"/>
      <c r="I27" s="50">
        <f>I26*I21</f>
        <v>0</v>
      </c>
      <c r="J27" s="50">
        <f>J26*J21</f>
        <v>15750</v>
      </c>
      <c r="K27" s="50">
        <f>K26*K21</f>
        <v>0</v>
      </c>
      <c r="L27" s="50">
        <f>L26*L21</f>
        <v>0</v>
      </c>
      <c r="M27" s="52">
        <f>SUM(I27:L27)</f>
        <v>15750</v>
      </c>
      <c r="N27" s="54"/>
      <c r="O27" s="50">
        <f>O26*O21</f>
        <v>0</v>
      </c>
      <c r="P27" s="50">
        <f>P26*P21</f>
        <v>14250</v>
      </c>
      <c r="Q27" s="50">
        <f>Q26*Q21</f>
        <v>0</v>
      </c>
      <c r="R27" s="50">
        <f>R26*R21</f>
        <v>0</v>
      </c>
      <c r="S27" s="52">
        <f>SUM(O27:R27)</f>
        <v>14250</v>
      </c>
    </row>
    <row r="28" spans="1:19">
      <c r="A28" s="19"/>
      <c r="B28" s="19"/>
      <c r="C28" s="34"/>
      <c r="D28" s="34"/>
      <c r="E28" s="34"/>
      <c r="F28" s="34"/>
      <c r="G28" s="35"/>
      <c r="H28" s="19"/>
      <c r="I28" s="34"/>
      <c r="J28" s="34"/>
      <c r="K28" s="34"/>
      <c r="L28" s="34"/>
      <c r="M28" s="35"/>
      <c r="N28" s="26"/>
      <c r="O28" s="34"/>
      <c r="P28" s="34"/>
      <c r="Q28" s="34"/>
      <c r="R28" s="34"/>
      <c r="S28" s="35"/>
    </row>
    <row r="29" spans="1:19">
      <c r="A29" s="28" t="s">
        <v>164</v>
      </c>
      <c r="B29" s="19"/>
      <c r="C29" s="34"/>
      <c r="D29" s="34"/>
      <c r="E29" s="34"/>
      <c r="F29" s="34"/>
      <c r="G29" s="39"/>
      <c r="H29" s="19"/>
      <c r="I29" s="34"/>
      <c r="J29" s="34"/>
      <c r="K29" s="34"/>
      <c r="L29" s="34"/>
      <c r="M29" s="39"/>
      <c r="N29" s="19"/>
      <c r="O29" s="34"/>
      <c r="P29" s="34"/>
      <c r="Q29" s="34"/>
      <c r="R29" s="34"/>
      <c r="S29" s="39"/>
    </row>
    <row r="30" spans="1:19">
      <c r="A30" s="60" t="s">
        <v>96</v>
      </c>
      <c r="B30" s="30" t="s">
        <v>97</v>
      </c>
      <c r="C30" s="51">
        <f>'RCM Current'!C52</f>
        <v>15000</v>
      </c>
      <c r="D30" s="51">
        <f>'RCM Current'!D52</f>
        <v>0</v>
      </c>
      <c r="E30" s="51">
        <f>'RCM Current'!E52</f>
        <v>0</v>
      </c>
      <c r="F30" s="51">
        <f>'RCM Current'!F52</f>
        <v>0</v>
      </c>
      <c r="G30" s="56"/>
      <c r="H30" s="49"/>
      <c r="I30" s="51">
        <f>'RCM Current'!I52</f>
        <v>15750</v>
      </c>
      <c r="J30" s="51">
        <f>'RCM Current'!J52</f>
        <v>0</v>
      </c>
      <c r="K30" s="51">
        <f>'RCM Current'!K52</f>
        <v>0</v>
      </c>
      <c r="L30" s="51">
        <f>'RCM Current'!L52</f>
        <v>0</v>
      </c>
      <c r="M30" s="56"/>
      <c r="N30" s="54"/>
      <c r="O30" s="51">
        <f>'RCM Current'!O52</f>
        <v>14250</v>
      </c>
      <c r="P30" s="51">
        <f>'RCM Current'!P52</f>
        <v>0</v>
      </c>
      <c r="Q30" s="51">
        <f>'RCM Current'!Q52</f>
        <v>0</v>
      </c>
      <c r="R30" s="51">
        <f>'RCM Current'!R52</f>
        <v>0</v>
      </c>
      <c r="S30" s="56"/>
    </row>
    <row r="31" spans="1:19">
      <c r="A31" s="19"/>
      <c r="B31" s="19" t="s">
        <v>123</v>
      </c>
      <c r="C31" s="50">
        <f>IF(C19&gt;0,C$30,0)</f>
        <v>15000</v>
      </c>
      <c r="D31" s="50">
        <f>IF(D19&gt;0,D$30,0)</f>
        <v>0</v>
      </c>
      <c r="E31" s="50">
        <f>IF(E19&gt;0,E$30,0)</f>
        <v>0</v>
      </c>
      <c r="F31" s="50">
        <f>IF(F19&gt;0,F$30,0)</f>
        <v>0</v>
      </c>
      <c r="G31" s="52">
        <f>SUM(C31:F31)</f>
        <v>15000</v>
      </c>
      <c r="H31" s="49"/>
      <c r="I31" s="50">
        <f>IF(I19&gt;0,I$30,0)</f>
        <v>15750</v>
      </c>
      <c r="J31" s="50">
        <f>IF(J19&gt;0,J$30,0)</f>
        <v>0</v>
      </c>
      <c r="K31" s="50">
        <f>IF(K19&gt;0,K$30,0)</f>
        <v>0</v>
      </c>
      <c r="L31" s="50">
        <f>IF(L19&gt;0,L$30,0)</f>
        <v>0</v>
      </c>
      <c r="M31" s="52">
        <f>SUM(I31:L31)</f>
        <v>15750</v>
      </c>
      <c r="N31" s="54"/>
      <c r="O31" s="50">
        <f>IF(O19&gt;0,O$30,0)</f>
        <v>14250</v>
      </c>
      <c r="P31" s="50">
        <f>IF(P19&gt;0,P$30,0)</f>
        <v>0</v>
      </c>
      <c r="Q31" s="50">
        <f>IF(Q19&gt;0,Q$30,0)</f>
        <v>0</v>
      </c>
      <c r="R31" s="50">
        <f>IF(R19&gt;0,R$30,0)</f>
        <v>0</v>
      </c>
      <c r="S31" s="52">
        <f>SUM(O31:R31)</f>
        <v>14250</v>
      </c>
    </row>
    <row r="32" spans="1:19">
      <c r="A32" s="19"/>
      <c r="B32" s="19"/>
      <c r="C32" s="19"/>
      <c r="D32" s="19"/>
      <c r="E32" s="19"/>
      <c r="F32" s="19"/>
      <c r="G32" s="19"/>
      <c r="H32" s="19"/>
      <c r="I32" s="19"/>
      <c r="J32" s="19"/>
      <c r="K32" s="19"/>
      <c r="L32" s="19"/>
      <c r="M32" s="19"/>
      <c r="N32" s="19"/>
      <c r="O32" s="19"/>
      <c r="P32" s="19"/>
      <c r="Q32" s="19"/>
      <c r="R32" s="19"/>
      <c r="S32" s="19"/>
    </row>
    <row r="33" spans="1:19">
      <c r="A33" s="28" t="s">
        <v>124</v>
      </c>
      <c r="B33" s="19"/>
      <c r="C33" s="19"/>
      <c r="D33" s="19"/>
      <c r="E33" s="19"/>
      <c r="F33" s="19"/>
      <c r="G33" s="52">
        <f>SUMPRODUCT('RCM Future - Costs'!C19:F19,'RCM Current'!C34:F34)+SUMPRODUCT('RCM Future - Costs'!C19:F19,'RCM Current'!C41:F41)+'RCM Future - Costs'!G31</f>
        <v>40000</v>
      </c>
      <c r="H33" s="49"/>
      <c r="I33" s="19"/>
      <c r="J33" s="19"/>
      <c r="K33" s="19"/>
      <c r="L33" s="19"/>
      <c r="M33" s="52">
        <f>SUMPRODUCT('RCM Future - Costs'!I19:L19,'RCM Current'!I34:L34)+SUMPRODUCT('RCM Future - Costs'!I19:L19,'RCM Current'!I41:L41)+'RCM Future - Costs'!M31</f>
        <v>41500</v>
      </c>
      <c r="N33" s="49"/>
      <c r="O33" s="19"/>
      <c r="P33" s="19"/>
      <c r="Q33" s="19"/>
      <c r="R33" s="19"/>
      <c r="S33" s="52">
        <f>SUMPRODUCT('RCM Future - Costs'!O19:R19,'RCM Current'!O34:R34)+SUMPRODUCT('RCM Future - Costs'!O19:R19,'RCM Current'!O41:R41)+'RCM Future - Costs'!S31</f>
        <v>38500</v>
      </c>
    </row>
    <row r="34" spans="1:19" s="3" customFormat="1">
      <c r="A34" s="324" t="s">
        <v>231</v>
      </c>
      <c r="B34" s="3" t="str">
        <f>'Asset Info'!$C$10</f>
        <v>Crossrail</v>
      </c>
      <c r="G34" s="55">
        <f>SUMPRODUCT('RCM Future - Costs'!$C$19:$F$19,'RCM Current'!$C$34:$F$34,'RCM Current'!C36:F36)+SUMPRODUCT('RCM Future - Costs'!$C$19:$F$19,'RCM Current'!$C$41:$F$41,'RCM Current'!C43:F43)+SUMPRODUCT($C$31:$F$31,'RCM Current'!C53:F53)</f>
        <v>0</v>
      </c>
      <c r="M34" s="55">
        <f>SUMPRODUCT('RCM Future - Costs'!$I$19:$L$19,'RCM Current'!$I$34:$L$34,'RCM Current'!I36:L36)+SUMPRODUCT('RCM Future - Costs'!$I$19:$L$19,'RCM Current'!$I$41:$L$41,'RCM Current'!I43:L43)+SUMPRODUCT($I$31:$L$31,'RCM Current'!I53:L53)</f>
        <v>0</v>
      </c>
      <c r="S34" s="55">
        <f>SUMPRODUCT('RCM Future - Costs'!$O$19:$R$19,'RCM Current'!$O$34:$R$34,'RCM Current'!O36:R36)+SUMPRODUCT('RCM Future - Costs'!$O$19:$R$19,'RCM Current'!$O$41:$R$41,'RCM Current'!O43:R43)+SUMPRODUCT($O$31:$R$31,'RCM Current'!O53:R53)</f>
        <v>0</v>
      </c>
    </row>
    <row r="35" spans="1:19">
      <c r="A35" s="324"/>
      <c r="B35" s="3" t="str">
        <f>'Asset Info'!$D$10</f>
        <v>NR Western</v>
      </c>
      <c r="G35" s="55">
        <f>SUMPRODUCT('RCM Future - Costs'!$C$19:$F$19,'RCM Current'!$C$34:$F$34,'RCM Current'!C37:F37)+SUMPRODUCT('RCM Future - Costs'!$C$19:$F$19,'RCM Current'!$C$41:$F$41,'RCM Current'!C44:F44)+SUMPRODUCT($C$31:$F$31,'RCM Current'!C54:F54)</f>
        <v>27500</v>
      </c>
      <c r="M35" s="55">
        <f>SUMPRODUCT('RCM Future - Costs'!$I$19:$L$19,'RCM Current'!$I$34:$L$34,'RCM Current'!I37:L37)+SUMPRODUCT('RCM Future - Costs'!$I$19:$L$19,'RCM Current'!$I$41:$L$41,'RCM Current'!I44:L44)+SUMPRODUCT($I$31:$L$31,'RCM Current'!I54:L54)</f>
        <v>28625</v>
      </c>
      <c r="S35" s="55">
        <f>SUMPRODUCT('RCM Future - Costs'!$O$19:$R$19,'RCM Current'!$O$34:$R$34,'RCM Current'!O37:R37)+SUMPRODUCT('RCM Future - Costs'!$O$19:$R$19,'RCM Current'!$O$41:$R$41,'RCM Current'!O44:R44)+SUMPRODUCT($O$31:$R$31,'RCM Current'!O54:R54)</f>
        <v>26375</v>
      </c>
    </row>
    <row r="36" spans="1:19">
      <c r="A36" s="324"/>
      <c r="B36" s="3" t="str">
        <f>'Asset Info'!$E$10</f>
        <v>Balfour Beatty</v>
      </c>
      <c r="G36" s="55">
        <f>SUMPRODUCT('RCM Future - Costs'!$C$19:$F$19,'RCM Current'!$C$34:$F$34,'RCM Current'!C38:F38)+SUMPRODUCT('RCM Future - Costs'!$C$19:$F$19,'RCM Current'!$C$41:$F$41,'RCM Current'!C45:F45)+SUMPRODUCT($C$31:$F$31,'RCM Current'!C55:F55)</f>
        <v>0</v>
      </c>
      <c r="M36" s="55">
        <f>SUMPRODUCT('RCM Future - Costs'!$I$19:$L$19,'RCM Current'!$I$34:$L$34,'RCM Current'!I38:L38)+SUMPRODUCT('RCM Future - Costs'!$I$19:$L$19,'RCM Current'!$I$41:$L$41,'RCM Current'!I45:L45)+SUMPRODUCT($I$31:$L$31,'RCM Current'!I55:L55)</f>
        <v>0</v>
      </c>
      <c r="S36" s="55">
        <f>SUMPRODUCT('RCM Future - Costs'!$O$19:$R$19,'RCM Current'!$O$34:$R$34,'RCM Current'!O38:R38)+SUMPRODUCT('RCM Future - Costs'!$O$19:$R$19,'RCM Current'!$O$41:$R$41,'RCM Current'!O45:R45)+SUMPRODUCT($O$31:$R$31,'RCM Current'!O55:R55)</f>
        <v>0</v>
      </c>
    </row>
    <row r="37" spans="1:19">
      <c r="A37" s="324"/>
      <c r="B37" s="3" t="str">
        <f>'Asset Info'!$F$10</f>
        <v>RSSB</v>
      </c>
      <c r="G37" s="55">
        <f>SUMPRODUCT('RCM Future - Costs'!$C$19:$F$19,'RCM Current'!$C$34:$F$34,'RCM Current'!C39:F39)+SUMPRODUCT('RCM Future - Costs'!$C$19:$F$19,'RCM Current'!$C$41:$F$41,'RCM Current'!C46:F46)+SUMPRODUCT($C$31:$F$31,'RCM Current'!C56:F56)</f>
        <v>12500</v>
      </c>
      <c r="M37" s="55">
        <f>SUMPRODUCT('RCM Future - Costs'!$I$19:$L$19,'RCM Current'!$I$34:$L$34,'RCM Current'!I39:L39)+SUMPRODUCT('RCM Future - Costs'!$I$19:$L$19,'RCM Current'!$I$41:$L$41,'RCM Current'!I46:L46)+SUMPRODUCT($I$31:$L$31,'RCM Current'!I56:L56)</f>
        <v>12875</v>
      </c>
      <c r="S37" s="55">
        <f>SUMPRODUCT('RCM Future - Costs'!$O$19:$R$19,'RCM Current'!$O$34:$R$34,'RCM Current'!O39:R39)+SUMPRODUCT('RCM Future - Costs'!$O$19:$R$19,'RCM Current'!$O$41:$R$41,'RCM Current'!O46:R46)+SUMPRODUCT($O$31:$R$31,'RCM Current'!O56:R56)</f>
        <v>12125</v>
      </c>
    </row>
  </sheetData>
  <mergeCells count="1">
    <mergeCell ref="A34:A37"/>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87" r:id="rId4" name="Button 43">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6188" r:id="rId5" name="Button 44">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6189" r:id="rId6" name="Button 45">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6190" r:id="rId7" name="Button 46">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6191" r:id="rId8" name="Button 47">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FB">
    <tabColor indexed="57"/>
  </sheetPr>
  <dimension ref="A1:S55"/>
  <sheetViews>
    <sheetView topLeftCell="A10" workbookViewId="0">
      <selection activeCell="D47" sqref="D47"/>
    </sheetView>
  </sheetViews>
  <sheetFormatPr defaultColWidth="41" defaultRowHeight="12.75"/>
  <cols>
    <col min="1" max="1" width="34.5703125" style="1" customWidth="1"/>
    <col min="2" max="2" width="21.85546875" style="1" customWidth="1"/>
    <col min="3" max="7" width="14.7109375" style="1" customWidth="1"/>
    <col min="8" max="8" width="5" style="1" customWidth="1"/>
    <col min="9" max="11" width="14.7109375" style="1" customWidth="1"/>
    <col min="12" max="13" width="14.28515625" style="1" customWidth="1"/>
    <col min="14" max="14" width="5" style="1" customWidth="1"/>
    <col min="15" max="18" width="14.7109375" style="1" customWidth="1"/>
    <col min="19" max="19" width="17" style="1" customWidth="1"/>
    <col min="20" max="16384" width="41" style="1"/>
  </cols>
  <sheetData>
    <row r="1" spans="1:19">
      <c r="A1" s="19"/>
      <c r="B1" s="19"/>
    </row>
    <row r="2" spans="1:19">
      <c r="A2" s="19"/>
      <c r="B2" s="19"/>
    </row>
    <row r="3" spans="1:19">
      <c r="A3" s="19"/>
      <c r="B3" s="19"/>
    </row>
    <row r="4" spans="1:19" ht="15.75">
      <c r="A4" s="19"/>
      <c r="B4" s="19"/>
      <c r="C4" s="8"/>
      <c r="E4" s="2"/>
      <c r="K4" s="2"/>
    </row>
    <row r="5" spans="1:19" s="10" customFormat="1" ht="18">
      <c r="A5" s="9" t="s">
        <v>150</v>
      </c>
      <c r="C5" s="11"/>
      <c r="E5" s="12"/>
      <c r="K5" s="12"/>
    </row>
    <row r="6" spans="1:19">
      <c r="A6" s="2"/>
      <c r="B6" s="2"/>
      <c r="C6" s="134"/>
      <c r="D6" s="134"/>
      <c r="E6" s="134"/>
    </row>
    <row r="7" spans="1:19">
      <c r="A7" s="23" t="s">
        <v>2</v>
      </c>
      <c r="B7" s="19" t="str">
        <f>'Asset Info'!B7</f>
        <v>Plain Line Track</v>
      </c>
    </row>
    <row r="8" spans="1:19">
      <c r="A8" s="23" t="s">
        <v>153</v>
      </c>
      <c r="B8" s="19" t="str">
        <f>'RCM Future - Costs'!B8</f>
        <v>Option 1 - Daily track data</v>
      </c>
    </row>
    <row r="9" spans="1:19">
      <c r="A9" s="23"/>
      <c r="B9" s="19"/>
    </row>
    <row r="10" spans="1:19">
      <c r="A10" s="23" t="s">
        <v>150</v>
      </c>
      <c r="B10" s="23"/>
      <c r="C10" s="17" t="s">
        <v>80</v>
      </c>
      <c r="D10" s="6"/>
      <c r="E10" s="7"/>
      <c r="F10" s="7"/>
      <c r="G10" s="7"/>
      <c r="H10" s="19"/>
      <c r="I10" s="13" t="s">
        <v>81</v>
      </c>
      <c r="J10" s="14"/>
      <c r="K10" s="14"/>
      <c r="L10" s="14"/>
      <c r="M10" s="14"/>
      <c r="N10" s="19"/>
      <c r="O10" s="15" t="s">
        <v>82</v>
      </c>
      <c r="P10" s="16"/>
      <c r="Q10" s="16"/>
      <c r="R10" s="16"/>
      <c r="S10" s="16"/>
    </row>
    <row r="11" spans="1:19">
      <c r="A11" s="28"/>
      <c r="B11" s="28"/>
      <c r="C11" s="39" t="s">
        <v>116</v>
      </c>
      <c r="D11" s="39" t="s">
        <v>117</v>
      </c>
      <c r="E11" s="39" t="s">
        <v>118</v>
      </c>
      <c r="F11" s="39" t="s">
        <v>112</v>
      </c>
      <c r="G11" s="39" t="s">
        <v>113</v>
      </c>
      <c r="H11" s="37"/>
      <c r="I11" s="39" t="s">
        <v>116</v>
      </c>
      <c r="J11" s="39" t="s">
        <v>117</v>
      </c>
      <c r="K11" s="39" t="s">
        <v>118</v>
      </c>
      <c r="L11" s="39" t="s">
        <v>112</v>
      </c>
      <c r="M11" s="39" t="s">
        <v>113</v>
      </c>
      <c r="N11" s="37"/>
      <c r="O11" s="39" t="s">
        <v>116</v>
      </c>
      <c r="P11" s="39" t="s">
        <v>117</v>
      </c>
      <c r="Q11" s="39" t="s">
        <v>118</v>
      </c>
      <c r="R11" s="39" t="s">
        <v>112</v>
      </c>
      <c r="S11" s="39" t="s">
        <v>113</v>
      </c>
    </row>
    <row r="12" spans="1:19">
      <c r="A12" s="28" t="s">
        <v>78</v>
      </c>
      <c r="B12" s="28"/>
      <c r="C12" s="39"/>
      <c r="D12" s="39"/>
      <c r="E12" s="39"/>
      <c r="F12" s="39"/>
      <c r="G12" s="39"/>
      <c r="H12" s="37"/>
      <c r="I12" s="39"/>
      <c r="J12" s="39"/>
      <c r="K12" s="39"/>
      <c r="L12" s="39"/>
      <c r="M12" s="39"/>
      <c r="N12" s="37"/>
      <c r="O12" s="39"/>
      <c r="P12" s="39"/>
      <c r="Q12" s="39"/>
      <c r="R12" s="39"/>
      <c r="S12" s="39"/>
    </row>
    <row r="13" spans="1:19">
      <c r="A13" s="60" t="s">
        <v>121</v>
      </c>
      <c r="B13" s="19"/>
      <c r="C13" s="99">
        <v>0</v>
      </c>
      <c r="D13" s="99">
        <v>0</v>
      </c>
      <c r="E13" s="99">
        <v>0</v>
      </c>
      <c r="F13" s="99">
        <v>0</v>
      </c>
      <c r="G13" s="99">
        <v>0</v>
      </c>
      <c r="H13" s="34"/>
      <c r="I13" s="99">
        <v>0</v>
      </c>
      <c r="J13" s="99">
        <v>0</v>
      </c>
      <c r="K13" s="99">
        <v>0</v>
      </c>
      <c r="L13" s="99">
        <v>0</v>
      </c>
      <c r="M13" s="99">
        <v>0</v>
      </c>
      <c r="N13" s="34"/>
      <c r="O13" s="99">
        <v>0</v>
      </c>
      <c r="P13" s="99">
        <v>0</v>
      </c>
      <c r="Q13" s="99">
        <v>0</v>
      </c>
      <c r="R13" s="99">
        <v>0</v>
      </c>
      <c r="S13" s="99">
        <v>0</v>
      </c>
    </row>
    <row r="14" spans="1:19">
      <c r="A14" s="60" t="s">
        <v>115</v>
      </c>
      <c r="B14" s="19"/>
      <c r="C14" s="99">
        <v>0</v>
      </c>
      <c r="D14" s="99">
        <v>0</v>
      </c>
      <c r="E14" s="99">
        <v>0</v>
      </c>
      <c r="F14" s="99">
        <v>0</v>
      </c>
      <c r="G14" s="99">
        <v>0</v>
      </c>
      <c r="H14" s="34"/>
      <c r="I14" s="99">
        <v>0</v>
      </c>
      <c r="J14" s="99">
        <v>0</v>
      </c>
      <c r="K14" s="99">
        <v>0</v>
      </c>
      <c r="L14" s="99">
        <v>0</v>
      </c>
      <c r="M14" s="99">
        <v>0</v>
      </c>
      <c r="N14" s="34"/>
      <c r="O14" s="99">
        <v>0</v>
      </c>
      <c r="P14" s="99">
        <v>0</v>
      </c>
      <c r="Q14" s="99">
        <v>0</v>
      </c>
      <c r="R14" s="99">
        <v>0</v>
      </c>
      <c r="S14" s="99">
        <v>0</v>
      </c>
    </row>
    <row r="15" spans="1:19">
      <c r="A15" s="60"/>
      <c r="B15" s="132"/>
      <c r="C15" s="47"/>
      <c r="D15" s="47"/>
      <c r="E15" s="47"/>
      <c r="F15" s="47"/>
      <c r="G15" s="47"/>
      <c r="H15" s="34"/>
      <c r="I15" s="47"/>
      <c r="J15" s="47"/>
      <c r="K15" s="47"/>
      <c r="L15" s="47"/>
      <c r="M15" s="47"/>
      <c r="N15" s="34"/>
      <c r="O15" s="47"/>
      <c r="P15" s="47"/>
      <c r="Q15" s="47"/>
      <c r="R15" s="47"/>
      <c r="S15" s="47"/>
    </row>
    <row r="16" spans="1:19">
      <c r="A16" s="61" t="s">
        <v>230</v>
      </c>
      <c r="B16" s="133">
        <f>SUMPRODUCT('RCM Future - Costs'!$C$19:$F$19,'RCM Current'!$C$26:$F$26)</f>
        <v>6.75</v>
      </c>
      <c r="C16" s="50">
        <f>$B16*(1-C$13)*(1-C$14)</f>
        <v>6.75</v>
      </c>
      <c r="D16" s="50">
        <f t="shared" ref="D16:G16" si="0">$B16*(1-D$13)*(1-D$14)</f>
        <v>6.75</v>
      </c>
      <c r="E16" s="50">
        <f t="shared" si="0"/>
        <v>6.75</v>
      </c>
      <c r="F16" s="50">
        <f t="shared" si="0"/>
        <v>6.75</v>
      </c>
      <c r="G16" s="50">
        <f t="shared" si="0"/>
        <v>6.75</v>
      </c>
      <c r="H16" s="50"/>
      <c r="I16" s="50">
        <f>$B16*(1-I$13)*(1-I$14)</f>
        <v>6.75</v>
      </c>
      <c r="J16" s="50">
        <f>$B16*(1-J13)*(1-J14)</f>
        <v>6.75</v>
      </c>
      <c r="K16" s="50">
        <f>$B16*(1-K13)*(1-K14)</f>
        <v>6.75</v>
      </c>
      <c r="L16" s="50">
        <f>$B16*(1-L13)*(1-L14)</f>
        <v>6.75</v>
      </c>
      <c r="M16" s="50">
        <f>$B16*(1-M13)*(1-M14)</f>
        <v>6.75</v>
      </c>
      <c r="N16" s="50"/>
      <c r="O16" s="50">
        <f>$B16*(1-O$13)*(1-O$14)</f>
        <v>6.75</v>
      </c>
      <c r="P16" s="50">
        <f>$B16*(1-P13)*(1-P14)</f>
        <v>6.75</v>
      </c>
      <c r="Q16" s="50">
        <f>$B16*(1-Q13)*(1-Q14)</f>
        <v>6.75</v>
      </c>
      <c r="R16" s="50">
        <f>$B16*(1-R13)*(1-R14)</f>
        <v>6.75</v>
      </c>
      <c r="S16" s="50">
        <f>$B16*(1-S13)*(1-S14)</f>
        <v>6.75</v>
      </c>
    </row>
    <row r="17" spans="1:19">
      <c r="A17" s="36" t="str">
        <f>'Asset Info'!$C$10</f>
        <v>Crossrail</v>
      </c>
      <c r="B17" s="133">
        <f>SUMPRODUCT('RCM Future - Costs'!$C$19:$F$19,'RCM Current'!$C$26:$F$26,'RCM Current'!$C$27:$F$27)</f>
        <v>6.75</v>
      </c>
      <c r="C17" s="50">
        <f t="shared" ref="C17:G20" si="1">$B17*(1-C$13)*(1-C$14)</f>
        <v>6.75</v>
      </c>
      <c r="D17" s="50">
        <f t="shared" si="1"/>
        <v>6.75</v>
      </c>
      <c r="E17" s="50">
        <f t="shared" si="1"/>
        <v>6.75</v>
      </c>
      <c r="F17" s="50">
        <f t="shared" si="1"/>
        <v>6.75</v>
      </c>
      <c r="G17" s="50">
        <f t="shared" si="1"/>
        <v>6.75</v>
      </c>
      <c r="H17" s="50"/>
      <c r="I17" s="50">
        <f t="shared" ref="I17:M20" si="2">$B17*(1-I$13)*(1-I$14)</f>
        <v>6.75</v>
      </c>
      <c r="J17" s="50">
        <f t="shared" si="2"/>
        <v>6.75</v>
      </c>
      <c r="K17" s="50">
        <f t="shared" si="2"/>
        <v>6.75</v>
      </c>
      <c r="L17" s="50">
        <f t="shared" si="2"/>
        <v>6.75</v>
      </c>
      <c r="M17" s="50">
        <f t="shared" si="2"/>
        <v>6.75</v>
      </c>
      <c r="N17" s="50"/>
      <c r="O17" s="50">
        <f t="shared" ref="O17:S20" si="3">$B17*(1-O$13)*(1-O$14)</f>
        <v>6.75</v>
      </c>
      <c r="P17" s="50">
        <f t="shared" si="3"/>
        <v>6.75</v>
      </c>
      <c r="Q17" s="50">
        <f t="shared" si="3"/>
        <v>6.75</v>
      </c>
      <c r="R17" s="50">
        <f t="shared" si="3"/>
        <v>6.75</v>
      </c>
      <c r="S17" s="50">
        <f t="shared" si="3"/>
        <v>6.75</v>
      </c>
    </row>
    <row r="18" spans="1:19">
      <c r="A18" s="36" t="str">
        <f>'Asset Info'!$D$10</f>
        <v>NR Western</v>
      </c>
      <c r="B18" s="133">
        <f>SUMPRODUCT('RCM Future - Costs'!$C$19:$F$19,'RCM Current'!$C$26:$F$26,'RCM Current'!$C$28:$F$28)</f>
        <v>0</v>
      </c>
      <c r="C18" s="50">
        <f t="shared" si="1"/>
        <v>0</v>
      </c>
      <c r="D18" s="50">
        <f t="shared" si="1"/>
        <v>0</v>
      </c>
      <c r="E18" s="50">
        <f t="shared" si="1"/>
        <v>0</v>
      </c>
      <c r="F18" s="50">
        <f t="shared" si="1"/>
        <v>0</v>
      </c>
      <c r="G18" s="50">
        <f t="shared" si="1"/>
        <v>0</v>
      </c>
      <c r="H18" s="50"/>
      <c r="I18" s="50">
        <f t="shared" si="2"/>
        <v>0</v>
      </c>
      <c r="J18" s="50">
        <f t="shared" si="2"/>
        <v>0</v>
      </c>
      <c r="K18" s="50">
        <f t="shared" si="2"/>
        <v>0</v>
      </c>
      <c r="L18" s="50">
        <f t="shared" si="2"/>
        <v>0</v>
      </c>
      <c r="M18" s="50">
        <f t="shared" si="2"/>
        <v>0</v>
      </c>
      <c r="N18" s="50"/>
      <c r="O18" s="50">
        <f t="shared" si="3"/>
        <v>0</v>
      </c>
      <c r="P18" s="50">
        <f t="shared" si="3"/>
        <v>0</v>
      </c>
      <c r="Q18" s="50">
        <f t="shared" si="3"/>
        <v>0</v>
      </c>
      <c r="R18" s="50">
        <f t="shared" si="3"/>
        <v>0</v>
      </c>
      <c r="S18" s="50">
        <f t="shared" si="3"/>
        <v>0</v>
      </c>
    </row>
    <row r="19" spans="1:19">
      <c r="A19" s="36" t="str">
        <f>'Asset Info'!$E$10</f>
        <v>Balfour Beatty</v>
      </c>
      <c r="B19" s="133">
        <f>SUMPRODUCT('RCM Future - Costs'!$C$19:$F$19,'RCM Current'!$C$26:$F$26,'RCM Current'!$C$29:$F$29)</f>
        <v>0</v>
      </c>
      <c r="C19" s="50">
        <f t="shared" si="1"/>
        <v>0</v>
      </c>
      <c r="D19" s="50">
        <f t="shared" si="1"/>
        <v>0</v>
      </c>
      <c r="E19" s="50">
        <f t="shared" si="1"/>
        <v>0</v>
      </c>
      <c r="F19" s="50">
        <f t="shared" si="1"/>
        <v>0</v>
      </c>
      <c r="G19" s="50">
        <f t="shared" si="1"/>
        <v>0</v>
      </c>
      <c r="H19" s="50"/>
      <c r="I19" s="50">
        <f t="shared" si="2"/>
        <v>0</v>
      </c>
      <c r="J19" s="50">
        <f t="shared" si="2"/>
        <v>0</v>
      </c>
      <c r="K19" s="50">
        <f t="shared" si="2"/>
        <v>0</v>
      </c>
      <c r="L19" s="50">
        <f t="shared" si="2"/>
        <v>0</v>
      </c>
      <c r="M19" s="50">
        <f t="shared" si="2"/>
        <v>0</v>
      </c>
      <c r="N19" s="50"/>
      <c r="O19" s="50">
        <f t="shared" si="3"/>
        <v>0</v>
      </c>
      <c r="P19" s="50">
        <f t="shared" si="3"/>
        <v>0</v>
      </c>
      <c r="Q19" s="50">
        <f t="shared" si="3"/>
        <v>0</v>
      </c>
      <c r="R19" s="50">
        <f t="shared" si="3"/>
        <v>0</v>
      </c>
      <c r="S19" s="50">
        <f t="shared" si="3"/>
        <v>0</v>
      </c>
    </row>
    <row r="20" spans="1:19">
      <c r="A20" s="36" t="str">
        <f>'Asset Info'!$F$10</f>
        <v>RSSB</v>
      </c>
      <c r="B20" s="133">
        <f>SUMPRODUCT('RCM Future - Costs'!$C$19:$F$19,'RCM Current'!$C$26:$F$26,'RCM Current'!$C$30:$F$30)</f>
        <v>0</v>
      </c>
      <c r="C20" s="50">
        <f t="shared" si="1"/>
        <v>0</v>
      </c>
      <c r="D20" s="50">
        <f t="shared" si="1"/>
        <v>0</v>
      </c>
      <c r="E20" s="50">
        <f t="shared" si="1"/>
        <v>0</v>
      </c>
      <c r="F20" s="50">
        <f t="shared" si="1"/>
        <v>0</v>
      </c>
      <c r="G20" s="50">
        <f t="shared" si="1"/>
        <v>0</v>
      </c>
      <c r="H20" s="50"/>
      <c r="I20" s="50">
        <f t="shared" si="2"/>
        <v>0</v>
      </c>
      <c r="J20" s="50">
        <f t="shared" si="2"/>
        <v>0</v>
      </c>
      <c r="K20" s="50">
        <f t="shared" si="2"/>
        <v>0</v>
      </c>
      <c r="L20" s="50">
        <f t="shared" si="2"/>
        <v>0</v>
      </c>
      <c r="M20" s="50">
        <f t="shared" si="2"/>
        <v>0</v>
      </c>
      <c r="N20" s="50"/>
      <c r="O20" s="50">
        <f t="shared" si="3"/>
        <v>0</v>
      </c>
      <c r="P20" s="50">
        <f t="shared" si="3"/>
        <v>0</v>
      </c>
      <c r="Q20" s="50">
        <f t="shared" si="3"/>
        <v>0</v>
      </c>
      <c r="R20" s="50">
        <f t="shared" si="3"/>
        <v>0</v>
      </c>
      <c r="S20" s="50">
        <f t="shared" si="3"/>
        <v>0</v>
      </c>
    </row>
    <row r="21" spans="1:19" s="3" customFormat="1">
      <c r="A21" s="19"/>
      <c r="B21" s="19"/>
      <c r="C21" s="31"/>
      <c r="D21" s="31"/>
      <c r="E21" s="31"/>
      <c r="F21" s="31"/>
      <c r="G21" s="31"/>
      <c r="H21" s="19"/>
      <c r="I21" s="31"/>
      <c r="J21" s="31"/>
      <c r="K21" s="31"/>
      <c r="L21" s="31"/>
      <c r="M21" s="31"/>
      <c r="N21" s="19"/>
      <c r="O21" s="31"/>
      <c r="P21" s="31"/>
      <c r="Q21" s="31"/>
      <c r="R21" s="31"/>
      <c r="S21" s="31"/>
    </row>
    <row r="22" spans="1:19">
      <c r="A22" s="28" t="s">
        <v>119</v>
      </c>
      <c r="B22" s="28"/>
      <c r="C22" s="46"/>
      <c r="D22" s="46"/>
      <c r="E22" s="46"/>
      <c r="F22" s="46"/>
      <c r="G22" s="46"/>
      <c r="H22" s="37"/>
      <c r="I22" s="46"/>
      <c r="J22" s="46"/>
      <c r="K22" s="46"/>
      <c r="L22" s="46"/>
      <c r="M22" s="46"/>
      <c r="N22" s="37"/>
      <c r="O22" s="46"/>
      <c r="P22" s="46"/>
      <c r="Q22" s="46"/>
      <c r="R22" s="46"/>
      <c r="S22" s="46"/>
    </row>
    <row r="23" spans="1:19">
      <c r="A23" s="60" t="s">
        <v>114</v>
      </c>
      <c r="B23" s="19"/>
      <c r="C23" s="99">
        <v>0.05</v>
      </c>
      <c r="D23" s="99">
        <v>0.08</v>
      </c>
      <c r="E23" s="99">
        <v>0.11</v>
      </c>
      <c r="F23" s="99">
        <v>0.2</v>
      </c>
      <c r="G23" s="99">
        <v>0.2</v>
      </c>
      <c r="H23" s="34"/>
      <c r="I23" s="99">
        <v>4.7500000000000001E-2</v>
      </c>
      <c r="J23" s="99">
        <v>7.5999999999999998E-2</v>
      </c>
      <c r="K23" s="99">
        <v>0.1045</v>
      </c>
      <c r="L23" s="99">
        <v>0.19</v>
      </c>
      <c r="M23" s="99">
        <v>0.19</v>
      </c>
      <c r="N23" s="34"/>
      <c r="O23" s="99">
        <v>5.2499999999999998E-2</v>
      </c>
      <c r="P23" s="99">
        <v>8.4000000000000005E-2</v>
      </c>
      <c r="Q23" s="99">
        <v>0.11550000000000001</v>
      </c>
      <c r="R23" s="99">
        <v>0.21</v>
      </c>
      <c r="S23" s="99">
        <v>0.21</v>
      </c>
    </row>
    <row r="24" spans="1:19">
      <c r="A24" s="60" t="s">
        <v>120</v>
      </c>
      <c r="B24" s="19" t="s">
        <v>68</v>
      </c>
      <c r="C24" s="99">
        <v>0</v>
      </c>
      <c r="D24" s="99">
        <v>0</v>
      </c>
      <c r="E24" s="99">
        <v>0</v>
      </c>
      <c r="F24" s="99">
        <v>0</v>
      </c>
      <c r="G24" s="99">
        <v>0</v>
      </c>
      <c r="H24" s="34"/>
      <c r="I24" s="99">
        <v>0</v>
      </c>
      <c r="J24" s="99">
        <v>0</v>
      </c>
      <c r="K24" s="99">
        <v>0</v>
      </c>
      <c r="L24" s="99">
        <v>0</v>
      </c>
      <c r="M24" s="99">
        <v>0</v>
      </c>
      <c r="N24" s="34"/>
      <c r="O24" s="99">
        <v>0</v>
      </c>
      <c r="P24" s="99">
        <v>0</v>
      </c>
      <c r="Q24" s="99">
        <v>0</v>
      </c>
      <c r="R24" s="99">
        <v>0</v>
      </c>
      <c r="S24" s="99">
        <v>0</v>
      </c>
    </row>
    <row r="25" spans="1:19">
      <c r="A25" s="60"/>
      <c r="B25" s="19" t="s">
        <v>69</v>
      </c>
      <c r="C25" s="99">
        <v>0</v>
      </c>
      <c r="D25" s="99">
        <v>0</v>
      </c>
      <c r="E25" s="99">
        <v>0</v>
      </c>
      <c r="F25" s="99">
        <v>0</v>
      </c>
      <c r="G25" s="99">
        <v>0</v>
      </c>
      <c r="H25" s="34"/>
      <c r="I25" s="99">
        <v>0</v>
      </c>
      <c r="J25" s="99">
        <v>0</v>
      </c>
      <c r="K25" s="99">
        <v>0</v>
      </c>
      <c r="L25" s="99">
        <v>0</v>
      </c>
      <c r="M25" s="99">
        <v>0</v>
      </c>
      <c r="N25" s="34"/>
      <c r="O25" s="99">
        <v>0</v>
      </c>
      <c r="P25" s="99">
        <v>0</v>
      </c>
      <c r="Q25" s="99">
        <v>0</v>
      </c>
      <c r="R25" s="99">
        <v>0</v>
      </c>
      <c r="S25" s="99">
        <v>0</v>
      </c>
    </row>
    <row r="26" spans="1:19">
      <c r="A26" s="60"/>
      <c r="B26" s="19" t="s">
        <v>3</v>
      </c>
      <c r="C26" s="92">
        <v>0</v>
      </c>
      <c r="D26" s="92">
        <v>0</v>
      </c>
      <c r="E26" s="92">
        <v>0</v>
      </c>
      <c r="F26" s="92">
        <v>0</v>
      </c>
      <c r="G26" s="92">
        <v>0</v>
      </c>
      <c r="H26" s="34"/>
      <c r="I26" s="92">
        <v>0</v>
      </c>
      <c r="J26" s="92">
        <v>0</v>
      </c>
      <c r="K26" s="92">
        <v>0</v>
      </c>
      <c r="L26" s="92">
        <v>0</v>
      </c>
      <c r="M26" s="92">
        <v>0</v>
      </c>
      <c r="N26" s="34"/>
      <c r="O26" s="92">
        <v>0</v>
      </c>
      <c r="P26" s="92">
        <v>0</v>
      </c>
      <c r="Q26" s="92">
        <v>0</v>
      </c>
      <c r="R26" s="92">
        <v>0</v>
      </c>
      <c r="S26" s="92">
        <v>0</v>
      </c>
    </row>
    <row r="27" spans="1:19">
      <c r="A27" s="60"/>
      <c r="B27" s="19"/>
      <c r="C27" s="34"/>
      <c r="D27" s="34"/>
      <c r="E27" s="34"/>
      <c r="F27" s="34"/>
      <c r="G27" s="34"/>
      <c r="H27" s="34"/>
      <c r="I27" s="34"/>
      <c r="J27" s="34"/>
      <c r="K27" s="34"/>
      <c r="L27" s="34"/>
      <c r="M27" s="34"/>
      <c r="N27" s="34"/>
      <c r="O27" s="34"/>
      <c r="P27" s="34"/>
      <c r="Q27" s="34"/>
      <c r="R27" s="34"/>
      <c r="S27" s="34"/>
    </row>
    <row r="28" spans="1:19">
      <c r="A28" s="48" t="s">
        <v>188</v>
      </c>
      <c r="B28" s="19" t="s">
        <v>68</v>
      </c>
      <c r="C28" s="50">
        <f>'Asset Risk'!$G$15*(1-'RCM Advancement - Benefits'!C23)*(1-'RCM Advancement - Benefits'!C24)</f>
        <v>169437.82</v>
      </c>
      <c r="D28" s="50">
        <f>'Asset Risk'!$G$15*(1-'RCM Advancement - Benefits'!D23)*(1-'RCM Advancement - Benefits'!D24)</f>
        <v>164087.152</v>
      </c>
      <c r="E28" s="50">
        <f>'Asset Risk'!$G$15*(1-'RCM Advancement - Benefits'!E23)*(1-'RCM Advancement - Benefits'!E24)</f>
        <v>158736.484</v>
      </c>
      <c r="F28" s="50">
        <f>'Asset Risk'!$G$15*(1-'RCM Advancement - Benefits'!F23)*(1-'RCM Advancement - Benefits'!F24)</f>
        <v>142684.48000000001</v>
      </c>
      <c r="G28" s="50">
        <f>'Asset Risk'!$G$15*(1-'RCM Advancement - Benefits'!G23)*(1-'RCM Advancement - Benefits'!G24)</f>
        <v>142684.48000000001</v>
      </c>
      <c r="H28" s="50"/>
      <c r="I28" s="50">
        <f>'Asset Risk'!$M$15*(1-'RCM Advancement - Benefits'!I23)*(1-'RCM Advancement - Benefits'!I24)</f>
        <v>178377.89444999999</v>
      </c>
      <c r="J28" s="50">
        <f>'Asset Risk'!$M$15*(1-'RCM Advancement - Benefits'!J23)*(1-'RCM Advancement - Benefits'!J24)</f>
        <v>173040.60312000001</v>
      </c>
      <c r="K28" s="50">
        <f>'Asset Risk'!$M$15*(1-'RCM Advancement - Benefits'!K23)*(1-'RCM Advancement - Benefits'!K24)</f>
        <v>167703.31179000001</v>
      </c>
      <c r="L28" s="50">
        <f>'Asset Risk'!$M$15*(1-'RCM Advancement - Benefits'!L23)*(1-'RCM Advancement - Benefits'!L24)</f>
        <v>151691.43780000001</v>
      </c>
      <c r="M28" s="50">
        <f>'Asset Risk'!$M$15*(1-'RCM Advancement - Benefits'!M23)*(1-'RCM Advancement - Benefits'!M24)</f>
        <v>151691.43780000001</v>
      </c>
      <c r="N28" s="50"/>
      <c r="O28" s="50">
        <f>'Asset Risk'!$S$15*(1-'RCM Advancement - Benefits'!O23)*(1-'RCM Advancement - Benefits'!O24)</f>
        <v>160542.33444999999</v>
      </c>
      <c r="P28" s="50">
        <f>'Asset Risk'!$S$15*(1-'RCM Advancement - Benefits'!P23)*(1-'RCM Advancement - Benefits'!P24)</f>
        <v>155205.04312000002</v>
      </c>
      <c r="Q28" s="50">
        <f>'Asset Risk'!$S$15*(1-'RCM Advancement - Benefits'!Q23)*(1-'RCM Advancement - Benefits'!Q24)</f>
        <v>149867.75179000001</v>
      </c>
      <c r="R28" s="50">
        <f>'Asset Risk'!$S$15*(1-'RCM Advancement - Benefits'!R23)*(1-'RCM Advancement - Benefits'!R24)</f>
        <v>133855.87780000002</v>
      </c>
      <c r="S28" s="50">
        <f>'Asset Risk'!$S$15*(1-'RCM Advancement - Benefits'!S23)*(1-'RCM Advancement - Benefits'!S24)</f>
        <v>133855.87780000002</v>
      </c>
    </row>
    <row r="29" spans="1:19">
      <c r="A29" s="60"/>
      <c r="B29" s="19" t="s">
        <v>69</v>
      </c>
      <c r="C29" s="50">
        <f>'Asset Risk'!$G$26*(1-'RCM Advancement - Benefits'!C23)*(1-'RCM Advancement - Benefits'!C25)</f>
        <v>352450</v>
      </c>
      <c r="D29" s="50">
        <f>'Asset Risk'!$G$26*(1-'RCM Advancement - Benefits'!D23)*(1-'RCM Advancement - Benefits'!D25)</f>
        <v>341320</v>
      </c>
      <c r="E29" s="50">
        <f>'Asset Risk'!$G$26*(1-'RCM Advancement - Benefits'!E23)*(1-'RCM Advancement - Benefits'!E25)</f>
        <v>330190</v>
      </c>
      <c r="F29" s="50">
        <f>'Asset Risk'!$G$26*(1-'RCM Advancement - Benefits'!F23)*(1-'RCM Advancement - Benefits'!F25)</f>
        <v>296800</v>
      </c>
      <c r="G29" s="50">
        <f>'Asset Risk'!$G$26*(1-'RCM Advancement - Benefits'!G23)*(1-'RCM Advancement - Benefits'!G25)</f>
        <v>296800</v>
      </c>
      <c r="H29" s="50"/>
      <c r="I29" s="50">
        <f>'Asset Risk'!$M$26*(1-'RCM Advancement - Benefits'!I23)*(1-'RCM Advancement - Benefits'!I25)</f>
        <v>408632.32265624998</v>
      </c>
      <c r="J29" s="50">
        <f>'Asset Risk'!$M$26*(1-'RCM Advancement - Benefits'!J23)*(1-'RCM Advancement - Benefits'!J25)</f>
        <v>396405.52875</v>
      </c>
      <c r="K29" s="50">
        <f>'Asset Risk'!$M$26*(1-'RCM Advancement - Benefits'!K23)*(1-'RCM Advancement - Benefits'!K25)</f>
        <v>384178.73484374996</v>
      </c>
      <c r="L29" s="50">
        <f>'Asset Risk'!$M$26*(1-'RCM Advancement - Benefits'!L23)*(1-'RCM Advancement - Benefits'!L25)</f>
        <v>347498.35312500002</v>
      </c>
      <c r="M29" s="50">
        <f>'Asset Risk'!$M$26*(1-'RCM Advancement - Benefits'!M23)*(1-'RCM Advancement - Benefits'!M25)</f>
        <v>347498.35312500002</v>
      </c>
      <c r="N29" s="50"/>
      <c r="O29" s="50">
        <f>'Asset Risk'!$S$26*(1-'RCM Advancement - Benefits'!O23)*(1-'RCM Advancement - Benefits'!O25)</f>
        <v>301750.02890625002</v>
      </c>
      <c r="P29" s="50">
        <f>'Asset Risk'!$S$26*(1-'RCM Advancement - Benefits'!P23)*(1-'RCM Advancement - Benefits'!P25)</f>
        <v>291718.23375000001</v>
      </c>
      <c r="Q29" s="50">
        <f>'Asset Risk'!$S$26*(1-'RCM Advancement - Benefits'!Q23)*(1-'RCM Advancement - Benefits'!Q25)</f>
        <v>281686.43859375</v>
      </c>
      <c r="R29" s="50">
        <f>'Asset Risk'!$S$26*(1-'RCM Advancement - Benefits'!R23)*(1-'RCM Advancement - Benefits'!R25)</f>
        <v>251591.05312500001</v>
      </c>
      <c r="S29" s="50">
        <f>'Asset Risk'!$S$26*(1-'RCM Advancement - Benefits'!S23)*(1-'RCM Advancement - Benefits'!S25)</f>
        <v>251591.05312500001</v>
      </c>
    </row>
    <row r="30" spans="1:19">
      <c r="A30" s="60"/>
      <c r="B30" s="19" t="s">
        <v>3</v>
      </c>
      <c r="C30" s="50">
        <f>'Asset Risk'!$G$32*(1-'RCM Advancement - Benefits'!C23)*(1-'RCM Advancement - Benefits'!C26)</f>
        <v>33250</v>
      </c>
      <c r="D30" s="50">
        <f>'Asset Risk'!$G$32*(1-'RCM Advancement - Benefits'!D23)*(1-'RCM Advancement - Benefits'!D26)</f>
        <v>32200</v>
      </c>
      <c r="E30" s="50">
        <f>'Asset Risk'!$G$32*(1-'RCM Advancement - Benefits'!E23)*(1-'RCM Advancement - Benefits'!E26)</f>
        <v>31150</v>
      </c>
      <c r="F30" s="50">
        <f>'Asset Risk'!$G$32*(1-'RCM Advancement - Benefits'!F23)*(1-'RCM Advancement - Benefits'!F26)</f>
        <v>28000</v>
      </c>
      <c r="G30" s="50">
        <f>'Asset Risk'!$G$32*(1-'RCM Advancement - Benefits'!G23)*(1-'RCM Advancement - Benefits'!G26)</f>
        <v>28000</v>
      </c>
      <c r="H30" s="50"/>
      <c r="I30" s="50">
        <f>'Asset Risk'!$M$32*(1-'RCM Advancement - Benefits'!I23)*(1-'RCM Advancement - Benefits'!I26)</f>
        <v>36754.59375</v>
      </c>
      <c r="J30" s="50">
        <f>'Asset Risk'!$M$32*(1-'RCM Advancement - Benefits'!J23)*(1-'RCM Advancement - Benefits'!J26)</f>
        <v>35654.85</v>
      </c>
      <c r="K30" s="50">
        <f>'Asset Risk'!$M$32*(1-'RCM Advancement - Benefits'!K23)*(1-'RCM Advancement - Benefits'!K26)</f>
        <v>34555.106249999997</v>
      </c>
      <c r="L30" s="50">
        <f>'Asset Risk'!$M$32*(1-'RCM Advancement - Benefits'!L23)*(1-'RCM Advancement - Benefits'!L26)</f>
        <v>31255.875000000004</v>
      </c>
      <c r="M30" s="50">
        <f>'Asset Risk'!$M$32*(1-'RCM Advancement - Benefits'!M23)*(1-'RCM Advancement - Benefits'!M26)</f>
        <v>31255.875000000004</v>
      </c>
      <c r="N30" s="50"/>
      <c r="O30" s="50">
        <f>'Asset Risk'!$S$32*(1-'RCM Advancement - Benefits'!O23)*(1-'RCM Advancement - Benefits'!O26)</f>
        <v>29929.156249999996</v>
      </c>
      <c r="P30" s="50">
        <f>'Asset Risk'!$S$32*(1-'RCM Advancement - Benefits'!P23)*(1-'RCM Advancement - Benefits'!P26)</f>
        <v>28934.149999999998</v>
      </c>
      <c r="Q30" s="50">
        <f>'Asset Risk'!$S$32*(1-'RCM Advancement - Benefits'!Q23)*(1-'RCM Advancement - Benefits'!Q26)</f>
        <v>27939.143749999996</v>
      </c>
      <c r="R30" s="50">
        <f>'Asset Risk'!$S$32*(1-'RCM Advancement - Benefits'!R23)*(1-'RCM Advancement - Benefits'!R26)</f>
        <v>24954.125</v>
      </c>
      <c r="S30" s="50">
        <f>'Asset Risk'!$S$32*(1-'RCM Advancement - Benefits'!S23)*(1-'RCM Advancement - Benefits'!S26)</f>
        <v>24954.125</v>
      </c>
    </row>
    <row r="31" spans="1:19">
      <c r="A31" s="36" t="str">
        <f>'Asset Info'!$C$10</f>
        <v>Crossrail</v>
      </c>
      <c r="B31" s="19" t="s">
        <v>68</v>
      </c>
      <c r="C31" s="50">
        <f>'Asset Risk'!$C$15*(1-'RCM Advancement - Benefits'!C$23)*(1-'RCM Advancement - Benefits'!C24)</f>
        <v>0</v>
      </c>
      <c r="D31" s="50">
        <f>'Asset Risk'!$C$15*(1-'RCM Advancement - Benefits'!D$23)*(1-'RCM Advancement - Benefits'!D24)</f>
        <v>0</v>
      </c>
      <c r="E31" s="50">
        <f>'Asset Risk'!$C$15*(1-'RCM Advancement - Benefits'!E$23)*(1-'RCM Advancement - Benefits'!E24)</f>
        <v>0</v>
      </c>
      <c r="F31" s="50">
        <f>'Asset Risk'!$C$15*(1-'RCM Advancement - Benefits'!F$23)*(1-'RCM Advancement - Benefits'!F24)</f>
        <v>0</v>
      </c>
      <c r="G31" s="50">
        <f>'Asset Risk'!$C$15*(1-'RCM Advancement - Benefits'!G$23)*(1-'RCM Advancement - Benefits'!G24)</f>
        <v>0</v>
      </c>
      <c r="H31" s="50"/>
      <c r="I31" s="50">
        <f>'Asset Risk'!$I$15*(1-'RCM Advancement - Benefits'!I$23)*(1-'RCM Advancement - Benefits'!I24)</f>
        <v>0</v>
      </c>
      <c r="J31" s="50">
        <f>'Asset Risk'!$I$15*(1-'RCM Advancement - Benefits'!J$23)*(1-'RCM Advancement - Benefits'!J24)</f>
        <v>0</v>
      </c>
      <c r="K31" s="50">
        <f>'Asset Risk'!$I$15*(1-'RCM Advancement - Benefits'!K$23)*(1-'RCM Advancement - Benefits'!K24)</f>
        <v>0</v>
      </c>
      <c r="L31" s="50">
        <f>'Asset Risk'!$I$15*(1-'RCM Advancement - Benefits'!L$23)*(1-'RCM Advancement - Benefits'!L24)</f>
        <v>0</v>
      </c>
      <c r="M31" s="50">
        <f>'Asset Risk'!$I$15*(1-'RCM Advancement - Benefits'!M$23)*(1-'RCM Advancement - Benefits'!M24)</f>
        <v>0</v>
      </c>
      <c r="N31" s="50"/>
      <c r="O31" s="50">
        <f>'Asset Risk'!$O$15*(1-'RCM Advancement - Benefits'!O$23)*(1-'RCM Advancement - Benefits'!O24)</f>
        <v>0</v>
      </c>
      <c r="P31" s="50">
        <f>'Asset Risk'!$O$15*(1-'RCM Advancement - Benefits'!P$23)*(1-'RCM Advancement - Benefits'!P24)</f>
        <v>0</v>
      </c>
      <c r="Q31" s="50">
        <f>'Asset Risk'!$O$15*(1-'RCM Advancement - Benefits'!Q$23)*(1-'RCM Advancement - Benefits'!Q24)</f>
        <v>0</v>
      </c>
      <c r="R31" s="50">
        <f>'Asset Risk'!$O$15*(1-'RCM Advancement - Benefits'!R$23)*(1-'RCM Advancement - Benefits'!R24)</f>
        <v>0</v>
      </c>
      <c r="S31" s="50">
        <f>'Asset Risk'!$O$15*(1-'RCM Advancement - Benefits'!S$23)*(1-'RCM Advancement - Benefits'!S24)</f>
        <v>0</v>
      </c>
    </row>
    <row r="32" spans="1:19">
      <c r="A32" s="34"/>
      <c r="B32" s="19" t="s">
        <v>69</v>
      </c>
      <c r="C32" s="50">
        <f>'Asset Risk'!$C$26*(1-'RCM Advancement - Benefits'!C$23)*(1-'RCM Advancement - Benefits'!C25)</f>
        <v>61750</v>
      </c>
      <c r="D32" s="50">
        <f>'Asset Risk'!$C$26*(1-'RCM Advancement - Benefits'!D$23)*(1-'RCM Advancement - Benefits'!D25)</f>
        <v>59800</v>
      </c>
      <c r="E32" s="50">
        <f>'Asset Risk'!$C$26*(1-'RCM Advancement - Benefits'!E$23)*(1-'RCM Advancement - Benefits'!E25)</f>
        <v>57850</v>
      </c>
      <c r="F32" s="50">
        <f>'Asset Risk'!$C$26*(1-'RCM Advancement - Benefits'!F$23)*(1-'RCM Advancement - Benefits'!F25)</f>
        <v>52000</v>
      </c>
      <c r="G32" s="50">
        <f>'Asset Risk'!$C$26*(1-'RCM Advancement - Benefits'!G$23)*(1-'RCM Advancement - Benefits'!G25)</f>
        <v>52000</v>
      </c>
      <c r="H32" s="50"/>
      <c r="I32" s="50">
        <f>'Asset Risk'!$I$26*(1-'RCM Advancement - Benefits'!I$23)*(1-'RCM Advancement - Benefits'!I25)</f>
        <v>71540.19140625</v>
      </c>
      <c r="J32" s="50">
        <f>'Asset Risk'!$I$26*(1-'RCM Advancement - Benefits'!J$23)*(1-'RCM Advancement - Benefits'!J25)</f>
        <v>69399.618750000009</v>
      </c>
      <c r="K32" s="50">
        <f>'Asset Risk'!$I$26*(1-'RCM Advancement - Benefits'!K$23)*(1-'RCM Advancement - Benefits'!K25)</f>
        <v>67259.046093750003</v>
      </c>
      <c r="L32" s="50">
        <f>'Asset Risk'!$I$26*(1-'RCM Advancement - Benefits'!L$23)*(1-'RCM Advancement - Benefits'!L25)</f>
        <v>60837.328125000007</v>
      </c>
      <c r="M32" s="50">
        <f>'Asset Risk'!$I$26*(1-'RCM Advancement - Benefits'!M$23)*(1-'RCM Advancement - Benefits'!M25)</f>
        <v>60837.328125000007</v>
      </c>
      <c r="N32" s="50"/>
      <c r="O32" s="50">
        <f>'Asset Risk'!$O$26*(1-'RCM Advancement - Benefits'!O$23)*(1-'RCM Advancement - Benefits'!O25)</f>
        <v>52910.47265625</v>
      </c>
      <c r="P32" s="50">
        <f>'Asset Risk'!$O$26*(1-'RCM Advancement - Benefits'!P$23)*(1-'RCM Advancement - Benefits'!P25)</f>
        <v>51151.443749999999</v>
      </c>
      <c r="Q32" s="50">
        <f>'Asset Risk'!$O$26*(1-'RCM Advancement - Benefits'!Q$23)*(1-'RCM Advancement - Benefits'!Q25)</f>
        <v>49392.414843749997</v>
      </c>
      <c r="R32" s="50">
        <f>'Asset Risk'!$O$26*(1-'RCM Advancement - Benefits'!R$23)*(1-'RCM Advancement - Benefits'!R25)</f>
        <v>44115.328125</v>
      </c>
      <c r="S32" s="50">
        <f>'Asset Risk'!$O$26*(1-'RCM Advancement - Benefits'!S$23)*(1-'RCM Advancement - Benefits'!S25)</f>
        <v>44115.328125</v>
      </c>
    </row>
    <row r="33" spans="1:19">
      <c r="A33" s="34"/>
      <c r="B33" s="19" t="s">
        <v>3</v>
      </c>
      <c r="C33" s="50">
        <f>'Asset Risk'!$C$32*(1-'RCM Advancement - Benefits'!C$23)*(1-'RCM Advancement - Benefits'!C26)</f>
        <v>4750</v>
      </c>
      <c r="D33" s="50">
        <f>'Asset Risk'!$C$32*(1-'RCM Advancement - Benefits'!D$23)*(1-'RCM Advancement - Benefits'!D26)</f>
        <v>4600</v>
      </c>
      <c r="E33" s="50">
        <f>'Asset Risk'!$C$32*(1-'RCM Advancement - Benefits'!E$23)*(1-'RCM Advancement - Benefits'!E26)</f>
        <v>4450</v>
      </c>
      <c r="F33" s="50">
        <f>'Asset Risk'!$C$32*(1-'RCM Advancement - Benefits'!F$23)*(1-'RCM Advancement - Benefits'!F26)</f>
        <v>4000</v>
      </c>
      <c r="G33" s="50">
        <f>'Asset Risk'!$C$32*(1-'RCM Advancement - Benefits'!G$23)*(1-'RCM Advancement - Benefits'!G26)</f>
        <v>4000</v>
      </c>
      <c r="H33" s="50"/>
      <c r="I33" s="50">
        <f>'Asset Risk'!$I$32*(1-'RCM Advancement - Benefits'!I$23)*(1-'RCM Advancement - Benefits'!I26)</f>
        <v>5250.65625</v>
      </c>
      <c r="J33" s="50">
        <f>'Asset Risk'!$I$32*(1-'RCM Advancement - Benefits'!J$23)*(1-'RCM Advancement - Benefits'!J26)</f>
        <v>5093.55</v>
      </c>
      <c r="K33" s="50">
        <f>'Asset Risk'!$I$32*(1-'RCM Advancement - Benefits'!K$23)*(1-'RCM Advancement - Benefits'!K26)</f>
        <v>4936.4437499999995</v>
      </c>
      <c r="L33" s="50">
        <f>'Asset Risk'!$I$32*(1-'RCM Advancement - Benefits'!L$23)*(1-'RCM Advancement - Benefits'!L26)</f>
        <v>4465.125</v>
      </c>
      <c r="M33" s="50">
        <f>'Asset Risk'!$I$32*(1-'RCM Advancement - Benefits'!M$23)*(1-'RCM Advancement - Benefits'!M26)</f>
        <v>4465.125</v>
      </c>
      <c r="N33" s="50"/>
      <c r="O33" s="50">
        <f>'Asset Risk'!$O$32*(1-'RCM Advancement - Benefits'!O$23)*(1-'RCM Advancement - Benefits'!O26)</f>
        <v>4275.59375</v>
      </c>
      <c r="P33" s="50">
        <f>'Asset Risk'!$O$32*(1-'RCM Advancement - Benefits'!P$23)*(1-'RCM Advancement - Benefits'!P26)</f>
        <v>4133.45</v>
      </c>
      <c r="Q33" s="50">
        <f>'Asset Risk'!$O$32*(1-'RCM Advancement - Benefits'!Q$23)*(1-'RCM Advancement - Benefits'!Q26)</f>
        <v>3991.3062499999996</v>
      </c>
      <c r="R33" s="50">
        <f>'Asset Risk'!$O$32*(1-'RCM Advancement - Benefits'!R$23)*(1-'RCM Advancement - Benefits'!R26)</f>
        <v>3564.875</v>
      </c>
      <c r="S33" s="50">
        <f>'Asset Risk'!$O$32*(1-'RCM Advancement - Benefits'!S$23)*(1-'RCM Advancement - Benefits'!S26)</f>
        <v>3564.875</v>
      </c>
    </row>
    <row r="34" spans="1:19">
      <c r="A34" s="36" t="str">
        <f>'Asset Info'!$D$10</f>
        <v>NR Western</v>
      </c>
      <c r="B34" s="19" t="s">
        <v>68</v>
      </c>
      <c r="C34" s="50">
        <f>'Asset Risk'!$D$15*(1-'RCM Advancement - Benefits'!C$23)*(1-'RCM Advancement - Benefits'!C24)</f>
        <v>169437.82</v>
      </c>
      <c r="D34" s="50">
        <f>'Asset Risk'!$D$15*(1-'RCM Advancement - Benefits'!D$23)*(1-'RCM Advancement - Benefits'!D24)</f>
        <v>164087.152</v>
      </c>
      <c r="E34" s="50">
        <f>'Asset Risk'!$D$15*(1-'RCM Advancement - Benefits'!E$23)*(1-'RCM Advancement - Benefits'!E24)</f>
        <v>158736.484</v>
      </c>
      <c r="F34" s="50">
        <f>'Asset Risk'!$D$15*(1-'RCM Advancement - Benefits'!F$23)*(1-'RCM Advancement - Benefits'!F24)</f>
        <v>142684.48000000001</v>
      </c>
      <c r="G34" s="50">
        <f>'Asset Risk'!$D$15*(1-'RCM Advancement - Benefits'!G$23)*(1-'RCM Advancement - Benefits'!G24)</f>
        <v>142684.48000000001</v>
      </c>
      <c r="H34" s="50"/>
      <c r="I34" s="50">
        <f>'Asset Risk'!$J$15*(1-'RCM Advancement - Benefits'!I$23)*(1-'RCM Advancement - Benefits'!I24)</f>
        <v>178377.89444999999</v>
      </c>
      <c r="J34" s="50">
        <f>'Asset Risk'!$J$15*(1-'RCM Advancement - Benefits'!J$23)*(1-'RCM Advancement - Benefits'!J24)</f>
        <v>173040.60312000001</v>
      </c>
      <c r="K34" s="50">
        <f>'Asset Risk'!$J$15*(1-'RCM Advancement - Benefits'!K$23)*(1-'RCM Advancement - Benefits'!K24)</f>
        <v>167703.31179000001</v>
      </c>
      <c r="L34" s="50">
        <f>'Asset Risk'!$J$15*(1-'RCM Advancement - Benefits'!L$23)*(1-'RCM Advancement - Benefits'!L24)</f>
        <v>151691.43780000001</v>
      </c>
      <c r="M34" s="50">
        <f>'Asset Risk'!$J$15*(1-'RCM Advancement - Benefits'!M$23)*(1-'RCM Advancement - Benefits'!M24)</f>
        <v>151691.43780000001</v>
      </c>
      <c r="N34" s="50"/>
      <c r="O34" s="50">
        <f>'Asset Risk'!$P$15*(1-'RCM Advancement - Benefits'!O$23)*(1-'RCM Advancement - Benefits'!O24)</f>
        <v>160542.33444999999</v>
      </c>
      <c r="P34" s="50">
        <f>'Asset Risk'!$P$15*(1-'RCM Advancement - Benefits'!P$23)*(1-'RCM Advancement - Benefits'!P24)</f>
        <v>155205.04312000002</v>
      </c>
      <c r="Q34" s="50">
        <f>'Asset Risk'!$P$15*(1-'RCM Advancement - Benefits'!Q$23)*(1-'RCM Advancement - Benefits'!Q24)</f>
        <v>149867.75179000001</v>
      </c>
      <c r="R34" s="50">
        <f>'Asset Risk'!$P$15*(1-'RCM Advancement - Benefits'!R$23)*(1-'RCM Advancement - Benefits'!R24)</f>
        <v>133855.87780000002</v>
      </c>
      <c r="S34" s="50">
        <f>'Asset Risk'!$P$15*(1-'RCM Advancement - Benefits'!S$23)*(1-'RCM Advancement - Benefits'!S24)</f>
        <v>133855.87780000002</v>
      </c>
    </row>
    <row r="35" spans="1:19">
      <c r="A35" s="34"/>
      <c r="B35" s="19" t="s">
        <v>69</v>
      </c>
      <c r="C35" s="50">
        <f>'Asset Risk'!$D$26*(1-'RCM Advancement - Benefits'!C$23)*(1-'RCM Advancement - Benefits'!C25)</f>
        <v>290700</v>
      </c>
      <c r="D35" s="50">
        <f>'Asset Risk'!$D$26*(1-'RCM Advancement - Benefits'!D$23)*(1-'RCM Advancement - Benefits'!D25)</f>
        <v>281520</v>
      </c>
      <c r="E35" s="50">
        <f>'Asset Risk'!$D$26*(1-'RCM Advancement - Benefits'!E$23)*(1-'RCM Advancement - Benefits'!E25)</f>
        <v>272340</v>
      </c>
      <c r="F35" s="50">
        <f>'Asset Risk'!$D$26*(1-'RCM Advancement - Benefits'!F$23)*(1-'RCM Advancement - Benefits'!F25)</f>
        <v>244800</v>
      </c>
      <c r="G35" s="50">
        <f>'Asset Risk'!$D$26*(1-'RCM Advancement - Benefits'!G$23)*(1-'RCM Advancement - Benefits'!G25)</f>
        <v>244800</v>
      </c>
      <c r="H35" s="50"/>
      <c r="I35" s="50">
        <f>'Asset Risk'!$J$26*(1-'RCM Advancement - Benefits'!I$23)*(1-'RCM Advancement - Benefits'!I25)</f>
        <v>337092.13124999998</v>
      </c>
      <c r="J35" s="50">
        <f>'Asset Risk'!$J$26*(1-'RCM Advancement - Benefits'!J$23)*(1-'RCM Advancement - Benefits'!J25)</f>
        <v>327005.91000000003</v>
      </c>
      <c r="K35" s="50">
        <f>'Asset Risk'!$J$26*(1-'RCM Advancement - Benefits'!K$23)*(1-'RCM Advancement - Benefits'!K25)</f>
        <v>316919.68874999997</v>
      </c>
      <c r="L35" s="50">
        <f>'Asset Risk'!$J$26*(1-'RCM Advancement - Benefits'!L$23)*(1-'RCM Advancement - Benefits'!L25)</f>
        <v>286661.02500000002</v>
      </c>
      <c r="M35" s="50">
        <f>'Asset Risk'!$J$26*(1-'RCM Advancement - Benefits'!M$23)*(1-'RCM Advancement - Benefits'!M25)</f>
        <v>286661.02500000002</v>
      </c>
      <c r="N35" s="50"/>
      <c r="O35" s="50">
        <f>'Asset Risk'!$P$26*(1-'RCM Advancement - Benefits'!O$23)*(1-'RCM Advancement - Benefits'!O25)</f>
        <v>248839.55624999999</v>
      </c>
      <c r="P35" s="50">
        <f>'Asset Risk'!$P$26*(1-'RCM Advancement - Benefits'!P$23)*(1-'RCM Advancement - Benefits'!P25)</f>
        <v>240566.79</v>
      </c>
      <c r="Q35" s="50">
        <f>'Asset Risk'!$P$26*(1-'RCM Advancement - Benefits'!Q$23)*(1-'RCM Advancement - Benefits'!Q25)</f>
        <v>232294.02374999999</v>
      </c>
      <c r="R35" s="50">
        <f>'Asset Risk'!$P$26*(1-'RCM Advancement - Benefits'!R$23)*(1-'RCM Advancement - Benefits'!R25)</f>
        <v>207475.72500000001</v>
      </c>
      <c r="S35" s="50">
        <f>'Asset Risk'!$P$26*(1-'RCM Advancement - Benefits'!S$23)*(1-'RCM Advancement - Benefits'!S25)</f>
        <v>207475.72500000001</v>
      </c>
    </row>
    <row r="36" spans="1:19">
      <c r="A36" s="34"/>
      <c r="B36" s="19" t="s">
        <v>3</v>
      </c>
      <c r="C36" s="50">
        <f>'Asset Risk'!$D$32*(1-'RCM Advancement - Benefits'!C$23)*(1-'RCM Advancement - Benefits'!C26)</f>
        <v>28500</v>
      </c>
      <c r="D36" s="50">
        <f>'Asset Risk'!$D$32*(1-'RCM Advancement - Benefits'!D$23)*(1-'RCM Advancement - Benefits'!D26)</f>
        <v>27600</v>
      </c>
      <c r="E36" s="50">
        <f>'Asset Risk'!$D$32*(1-'RCM Advancement - Benefits'!E$23)*(1-'RCM Advancement - Benefits'!E26)</f>
        <v>26700</v>
      </c>
      <c r="F36" s="50">
        <f>'Asset Risk'!$D$32*(1-'RCM Advancement - Benefits'!F$23)*(1-'RCM Advancement - Benefits'!F26)</f>
        <v>24000</v>
      </c>
      <c r="G36" s="50">
        <f>'Asset Risk'!$D$32*(1-'RCM Advancement - Benefits'!G$23)*(1-'RCM Advancement - Benefits'!G26)</f>
        <v>24000</v>
      </c>
      <c r="H36" s="50"/>
      <c r="I36" s="50">
        <f>'Asset Risk'!$J$32*(1-'RCM Advancement - Benefits'!I$23)*(1-'RCM Advancement - Benefits'!I26)</f>
        <v>31503.9375</v>
      </c>
      <c r="J36" s="50">
        <f>'Asset Risk'!$J$32*(1-'RCM Advancement - Benefits'!J$23)*(1-'RCM Advancement - Benefits'!J26)</f>
        <v>30561.300000000003</v>
      </c>
      <c r="K36" s="50">
        <f>'Asset Risk'!$J$32*(1-'RCM Advancement - Benefits'!K$23)*(1-'RCM Advancement - Benefits'!K26)</f>
        <v>29618.662499999999</v>
      </c>
      <c r="L36" s="50">
        <f>'Asset Risk'!$J$32*(1-'RCM Advancement - Benefits'!L$23)*(1-'RCM Advancement - Benefits'!L26)</f>
        <v>26790.75</v>
      </c>
      <c r="M36" s="50">
        <f>'Asset Risk'!$J$32*(1-'RCM Advancement - Benefits'!M$23)*(1-'RCM Advancement - Benefits'!M26)</f>
        <v>26790.75</v>
      </c>
      <c r="N36" s="50"/>
      <c r="O36" s="50">
        <f>'Asset Risk'!$P$32*(1-'RCM Advancement - Benefits'!O$23)*(1-'RCM Advancement - Benefits'!O26)</f>
        <v>25653.562499999996</v>
      </c>
      <c r="P36" s="50">
        <f>'Asset Risk'!$P$32*(1-'RCM Advancement - Benefits'!P$23)*(1-'RCM Advancement - Benefits'!P26)</f>
        <v>24800.699999999997</v>
      </c>
      <c r="Q36" s="50">
        <f>'Asset Risk'!$P$32*(1-'RCM Advancement - Benefits'!Q$23)*(1-'RCM Advancement - Benefits'!Q26)</f>
        <v>23947.837499999994</v>
      </c>
      <c r="R36" s="50">
        <f>'Asset Risk'!$P$32*(1-'RCM Advancement - Benefits'!R$23)*(1-'RCM Advancement - Benefits'!R26)</f>
        <v>21389.249999999996</v>
      </c>
      <c r="S36" s="50">
        <f>'Asset Risk'!$P$32*(1-'RCM Advancement - Benefits'!S$23)*(1-'RCM Advancement - Benefits'!S26)</f>
        <v>21389.249999999996</v>
      </c>
    </row>
    <row r="37" spans="1:19">
      <c r="A37" s="36" t="str">
        <f>'Asset Info'!$E$10</f>
        <v>Balfour Beatty</v>
      </c>
      <c r="B37" s="19" t="s">
        <v>68</v>
      </c>
      <c r="C37" s="50">
        <f>'Asset Risk'!$E$15*(1-'RCM Advancement - Benefits'!C$23)*(1-'RCM Advancement - Benefits'!C24)</f>
        <v>0</v>
      </c>
      <c r="D37" s="50">
        <f>'Asset Risk'!$E$15*(1-'RCM Advancement - Benefits'!D$23)*(1-'RCM Advancement - Benefits'!D24)</f>
        <v>0</v>
      </c>
      <c r="E37" s="50">
        <f>'Asset Risk'!$E$15*(1-'RCM Advancement - Benefits'!E$23)*(1-'RCM Advancement - Benefits'!E24)</f>
        <v>0</v>
      </c>
      <c r="F37" s="50">
        <f>'Asset Risk'!$E$15*(1-'RCM Advancement - Benefits'!F$23)*(1-'RCM Advancement - Benefits'!F24)</f>
        <v>0</v>
      </c>
      <c r="G37" s="50">
        <f>'Asset Risk'!$E$15*(1-'RCM Advancement - Benefits'!G$23)*(1-'RCM Advancement - Benefits'!G24)</f>
        <v>0</v>
      </c>
      <c r="H37" s="50"/>
      <c r="I37" s="50">
        <f>'Asset Risk'!$K$15*(1-'RCM Advancement - Benefits'!I$23)*(1-'RCM Advancement - Benefits'!I24)</f>
        <v>0</v>
      </c>
      <c r="J37" s="50">
        <f>'Asset Risk'!$K$15*(1-'RCM Advancement - Benefits'!J$23)*(1-'RCM Advancement - Benefits'!J24)</f>
        <v>0</v>
      </c>
      <c r="K37" s="50">
        <f>'Asset Risk'!$K$15*(1-'RCM Advancement - Benefits'!K$23)*(1-'RCM Advancement - Benefits'!K24)</f>
        <v>0</v>
      </c>
      <c r="L37" s="50">
        <f>'Asset Risk'!$K$15*(1-'RCM Advancement - Benefits'!L$23)*(1-'RCM Advancement - Benefits'!L24)</f>
        <v>0</v>
      </c>
      <c r="M37" s="50">
        <f>'Asset Risk'!$K$15*(1-'RCM Advancement - Benefits'!M$23)*(1-'RCM Advancement - Benefits'!M24)</f>
        <v>0</v>
      </c>
      <c r="N37" s="50"/>
      <c r="O37" s="50">
        <f>'Asset Risk'!$Q$15*(1-'RCM Advancement - Benefits'!O$23)*(1-'RCM Advancement - Benefits'!O24)</f>
        <v>0</v>
      </c>
      <c r="P37" s="50">
        <f>'Asset Risk'!$Q$15*(1-'RCM Advancement - Benefits'!P$23)*(1-'RCM Advancement - Benefits'!P24)</f>
        <v>0</v>
      </c>
      <c r="Q37" s="50">
        <f>'Asset Risk'!$Q$15*(1-'RCM Advancement - Benefits'!Q$23)*(1-'RCM Advancement - Benefits'!Q24)</f>
        <v>0</v>
      </c>
      <c r="R37" s="50">
        <f>'Asset Risk'!$Q$15*(1-'RCM Advancement - Benefits'!R$23)*(1-'RCM Advancement - Benefits'!R24)</f>
        <v>0</v>
      </c>
      <c r="S37" s="50">
        <f>'Asset Risk'!$Q$15*(1-'RCM Advancement - Benefits'!S$23)*(1-'RCM Advancement - Benefits'!S24)</f>
        <v>0</v>
      </c>
    </row>
    <row r="38" spans="1:19">
      <c r="A38" s="34"/>
      <c r="B38" s="19" t="s">
        <v>69</v>
      </c>
      <c r="C38" s="50">
        <f>'Asset Risk'!$E$26*(1-'RCM Advancement - Benefits'!C$23)*(1-'RCM Advancement - Benefits'!C25)</f>
        <v>0</v>
      </c>
      <c r="D38" s="50">
        <f>'Asset Risk'!$E$26*(1-'RCM Advancement - Benefits'!D$23)*(1-'RCM Advancement - Benefits'!D25)</f>
        <v>0</v>
      </c>
      <c r="E38" s="50">
        <f>'Asset Risk'!$E$26*(1-'RCM Advancement - Benefits'!E$23)*(1-'RCM Advancement - Benefits'!E25)</f>
        <v>0</v>
      </c>
      <c r="F38" s="50">
        <f>'Asset Risk'!$E$26*(1-'RCM Advancement - Benefits'!F$23)*(1-'RCM Advancement - Benefits'!F25)</f>
        <v>0</v>
      </c>
      <c r="G38" s="50">
        <f>'Asset Risk'!$E$26*(1-'RCM Advancement - Benefits'!G$23)*(1-'RCM Advancement - Benefits'!G25)</f>
        <v>0</v>
      </c>
      <c r="H38" s="50"/>
      <c r="I38" s="50">
        <f>'Asset Risk'!$K$26*(1-'RCM Advancement - Benefits'!I$23)*(1-'RCM Advancement - Benefits'!I25)</f>
        <v>0</v>
      </c>
      <c r="J38" s="50">
        <f>'Asset Risk'!$K$26*(1-'RCM Advancement - Benefits'!J$23)*(1-'RCM Advancement - Benefits'!J25)</f>
        <v>0</v>
      </c>
      <c r="K38" s="50">
        <f>'Asset Risk'!$K$26*(1-'RCM Advancement - Benefits'!K$23)*(1-'RCM Advancement - Benefits'!K25)</f>
        <v>0</v>
      </c>
      <c r="L38" s="50">
        <f>'Asset Risk'!$K$26*(1-'RCM Advancement - Benefits'!L$23)*(1-'RCM Advancement - Benefits'!L25)</f>
        <v>0</v>
      </c>
      <c r="M38" s="50">
        <f>'Asset Risk'!$K$26*(1-'RCM Advancement - Benefits'!M$23)*(1-'RCM Advancement - Benefits'!M25)</f>
        <v>0</v>
      </c>
      <c r="N38" s="50"/>
      <c r="O38" s="50">
        <f>'Asset Risk'!$Q$26*(1-'RCM Advancement - Benefits'!O$23)*(1-'RCM Advancement - Benefits'!O25)</f>
        <v>0</v>
      </c>
      <c r="P38" s="50">
        <f>'Asset Risk'!$Q$26*(1-'RCM Advancement - Benefits'!P$23)*(1-'RCM Advancement - Benefits'!P25)</f>
        <v>0</v>
      </c>
      <c r="Q38" s="50">
        <f>'Asset Risk'!$Q$26*(1-'RCM Advancement - Benefits'!Q$23)*(1-'RCM Advancement - Benefits'!Q25)</f>
        <v>0</v>
      </c>
      <c r="R38" s="50">
        <f>'Asset Risk'!$Q$26*(1-'RCM Advancement - Benefits'!R$23)*(1-'RCM Advancement - Benefits'!R25)</f>
        <v>0</v>
      </c>
      <c r="S38" s="50">
        <f>'Asset Risk'!$Q$26*(1-'RCM Advancement - Benefits'!S$23)*(1-'RCM Advancement - Benefits'!S25)</f>
        <v>0</v>
      </c>
    </row>
    <row r="39" spans="1:19">
      <c r="A39" s="34"/>
      <c r="B39" s="19" t="s">
        <v>3</v>
      </c>
      <c r="C39" s="50">
        <f>'Asset Risk'!$E$32*(1-'RCM Advancement - Benefits'!C$23)*(1-'RCM Advancement - Benefits'!C26)</f>
        <v>0</v>
      </c>
      <c r="D39" s="50">
        <f>'Asset Risk'!$E$32*(1-'RCM Advancement - Benefits'!D$23)*(1-'RCM Advancement - Benefits'!D26)</f>
        <v>0</v>
      </c>
      <c r="E39" s="50">
        <f>'Asset Risk'!$E$32*(1-'RCM Advancement - Benefits'!E$23)*(1-'RCM Advancement - Benefits'!E26)</f>
        <v>0</v>
      </c>
      <c r="F39" s="50">
        <f>'Asset Risk'!$E$32*(1-'RCM Advancement - Benefits'!F$23)*(1-'RCM Advancement - Benefits'!F26)</f>
        <v>0</v>
      </c>
      <c r="G39" s="50">
        <f>'Asset Risk'!$E$32*(1-'RCM Advancement - Benefits'!G$23)*(1-'RCM Advancement - Benefits'!G26)</f>
        <v>0</v>
      </c>
      <c r="H39" s="50"/>
      <c r="I39" s="50">
        <f>'Asset Risk'!$K$32*(1-'RCM Advancement - Benefits'!I$23)*(1-'RCM Advancement - Benefits'!I26)</f>
        <v>0</v>
      </c>
      <c r="J39" s="50">
        <f>'Asset Risk'!$K$32*(1-'RCM Advancement - Benefits'!J$23)*(1-'RCM Advancement - Benefits'!J26)</f>
        <v>0</v>
      </c>
      <c r="K39" s="50">
        <f>'Asset Risk'!$K$32*(1-'RCM Advancement - Benefits'!K$23)*(1-'RCM Advancement - Benefits'!K26)</f>
        <v>0</v>
      </c>
      <c r="L39" s="50">
        <f>'Asset Risk'!$K$32*(1-'RCM Advancement - Benefits'!L$23)*(1-'RCM Advancement - Benefits'!L26)</f>
        <v>0</v>
      </c>
      <c r="M39" s="50">
        <f>'Asset Risk'!$K$32*(1-'RCM Advancement - Benefits'!M$23)*(1-'RCM Advancement - Benefits'!M26)</f>
        <v>0</v>
      </c>
      <c r="N39" s="50"/>
      <c r="O39" s="50">
        <f>'Asset Risk'!$Q$32*(1-'RCM Advancement - Benefits'!O$23)*(1-'RCM Advancement - Benefits'!O26)</f>
        <v>0</v>
      </c>
      <c r="P39" s="50">
        <f>'Asset Risk'!$Q$32*(1-'RCM Advancement - Benefits'!P$23)*(1-'RCM Advancement - Benefits'!P26)</f>
        <v>0</v>
      </c>
      <c r="Q39" s="50">
        <f>'Asset Risk'!$Q$32*(1-'RCM Advancement - Benefits'!Q$23)*(1-'RCM Advancement - Benefits'!Q26)</f>
        <v>0</v>
      </c>
      <c r="R39" s="50">
        <f>'Asset Risk'!$Q$32*(1-'RCM Advancement - Benefits'!R$23)*(1-'RCM Advancement - Benefits'!R26)</f>
        <v>0</v>
      </c>
      <c r="S39" s="50">
        <f>'Asset Risk'!$Q$32*(1-'RCM Advancement - Benefits'!S$23)*(1-'RCM Advancement - Benefits'!S26)</f>
        <v>0</v>
      </c>
    </row>
    <row r="40" spans="1:19">
      <c r="A40" s="36" t="str">
        <f>'Asset Info'!$F$10</f>
        <v>RSSB</v>
      </c>
      <c r="B40" s="19" t="s">
        <v>68</v>
      </c>
      <c r="C40" s="50">
        <f>'Asset Risk'!$F$15*(1-'RCM Advancement - Benefits'!C$23)*(1-'RCM Advancement - Benefits'!C24)</f>
        <v>0</v>
      </c>
      <c r="D40" s="50">
        <f>'Asset Risk'!$F$15*(1-'RCM Advancement - Benefits'!D$23)*(1-'RCM Advancement - Benefits'!D24)</f>
        <v>0</v>
      </c>
      <c r="E40" s="50">
        <f>'Asset Risk'!$F$15*(1-'RCM Advancement - Benefits'!E$23)*(1-'RCM Advancement - Benefits'!E24)</f>
        <v>0</v>
      </c>
      <c r="F40" s="50">
        <f>'Asset Risk'!$F$15*(1-'RCM Advancement - Benefits'!F$23)*(1-'RCM Advancement - Benefits'!F24)</f>
        <v>0</v>
      </c>
      <c r="G40" s="50">
        <f>'Asset Risk'!$F$15*(1-'RCM Advancement - Benefits'!G$23)*(1-'RCM Advancement - Benefits'!G24)</f>
        <v>0</v>
      </c>
      <c r="H40" s="50"/>
      <c r="I40" s="50">
        <f>'Asset Risk'!$L$15*(1-'RCM Advancement - Benefits'!I$23)*(1-'RCM Advancement - Benefits'!I24)</f>
        <v>0</v>
      </c>
      <c r="J40" s="50">
        <f>'Asset Risk'!$L$15*(1-'RCM Advancement - Benefits'!J$23)*(1-'RCM Advancement - Benefits'!J24)</f>
        <v>0</v>
      </c>
      <c r="K40" s="50">
        <f>'Asset Risk'!$L$15*(1-'RCM Advancement - Benefits'!K$23)*(1-'RCM Advancement - Benefits'!K24)</f>
        <v>0</v>
      </c>
      <c r="L40" s="50">
        <f>'Asset Risk'!$L$15*(1-'RCM Advancement - Benefits'!L$23)*(1-'RCM Advancement - Benefits'!L24)</f>
        <v>0</v>
      </c>
      <c r="M40" s="50">
        <f>'Asset Risk'!$L$15*(1-'RCM Advancement - Benefits'!M$23)*(1-'RCM Advancement - Benefits'!M24)</f>
        <v>0</v>
      </c>
      <c r="N40" s="50"/>
      <c r="O40" s="50">
        <f>'Asset Risk'!$R$15*(1-'RCM Advancement - Benefits'!O$23)*(1-'RCM Advancement - Benefits'!O24)</f>
        <v>0</v>
      </c>
      <c r="P40" s="50">
        <f>'Asset Risk'!$R$15*(1-'RCM Advancement - Benefits'!P$23)*(1-'RCM Advancement - Benefits'!P24)</f>
        <v>0</v>
      </c>
      <c r="Q40" s="50">
        <f>'Asset Risk'!$R$15*(1-'RCM Advancement - Benefits'!Q$23)*(1-'RCM Advancement - Benefits'!Q24)</f>
        <v>0</v>
      </c>
      <c r="R40" s="50">
        <f>'Asset Risk'!$R$15*(1-'RCM Advancement - Benefits'!R$23)*(1-'RCM Advancement - Benefits'!R24)</f>
        <v>0</v>
      </c>
      <c r="S40" s="50">
        <f>'Asset Risk'!$R$15*(1-'RCM Advancement - Benefits'!S$23)*(1-'RCM Advancement - Benefits'!S24)</f>
        <v>0</v>
      </c>
    </row>
    <row r="41" spans="1:19">
      <c r="A41" s="60"/>
      <c r="B41" s="19" t="s">
        <v>69</v>
      </c>
      <c r="C41" s="50">
        <f>'Asset Risk'!$F$26*(1-'RCM Advancement - Benefits'!C$23)*(1-'RCM Advancement - Benefits'!C25)</f>
        <v>0</v>
      </c>
      <c r="D41" s="50">
        <f>'Asset Risk'!$F$26*(1-'RCM Advancement - Benefits'!D$23)*(1-'RCM Advancement - Benefits'!D25)</f>
        <v>0</v>
      </c>
      <c r="E41" s="50">
        <f>'Asset Risk'!$F$26*(1-'RCM Advancement - Benefits'!E$23)*(1-'RCM Advancement - Benefits'!E25)</f>
        <v>0</v>
      </c>
      <c r="F41" s="50">
        <f>'Asset Risk'!$F$26*(1-'RCM Advancement - Benefits'!F$23)*(1-'RCM Advancement - Benefits'!F25)</f>
        <v>0</v>
      </c>
      <c r="G41" s="50">
        <f>'Asset Risk'!$F$26*(1-'RCM Advancement - Benefits'!G$23)*(1-'RCM Advancement - Benefits'!G25)</f>
        <v>0</v>
      </c>
      <c r="H41" s="50"/>
      <c r="I41" s="50">
        <f>'Asset Risk'!$L$26*(1-'RCM Advancement - Benefits'!I$23)*(1-'RCM Advancement - Benefits'!I25)</f>
        <v>0</v>
      </c>
      <c r="J41" s="50">
        <f>'Asset Risk'!$L$26*(1-'RCM Advancement - Benefits'!J$23)*(1-'RCM Advancement - Benefits'!J25)</f>
        <v>0</v>
      </c>
      <c r="K41" s="50">
        <f>'Asset Risk'!$L$26*(1-'RCM Advancement - Benefits'!K$23)*(1-'RCM Advancement - Benefits'!K25)</f>
        <v>0</v>
      </c>
      <c r="L41" s="50">
        <f>'Asset Risk'!$L$26*(1-'RCM Advancement - Benefits'!L$23)*(1-'RCM Advancement - Benefits'!L25)</f>
        <v>0</v>
      </c>
      <c r="M41" s="50">
        <f>'Asset Risk'!$L$26*(1-'RCM Advancement - Benefits'!M$23)*(1-'RCM Advancement - Benefits'!M25)</f>
        <v>0</v>
      </c>
      <c r="N41" s="50"/>
      <c r="O41" s="50">
        <f>'Asset Risk'!$R$26*(1-'RCM Advancement - Benefits'!O$23)*(1-'RCM Advancement - Benefits'!O25)</f>
        <v>0</v>
      </c>
      <c r="P41" s="50">
        <f>'Asset Risk'!$R$26*(1-'RCM Advancement - Benefits'!P$23)*(1-'RCM Advancement - Benefits'!P25)</f>
        <v>0</v>
      </c>
      <c r="Q41" s="50">
        <f>'Asset Risk'!$R$26*(1-'RCM Advancement - Benefits'!Q$23)*(1-'RCM Advancement - Benefits'!Q25)</f>
        <v>0</v>
      </c>
      <c r="R41" s="50">
        <f>'Asset Risk'!$R$26*(1-'RCM Advancement - Benefits'!R$23)*(1-'RCM Advancement - Benefits'!R25)</f>
        <v>0</v>
      </c>
      <c r="S41" s="50">
        <f>'Asset Risk'!$R$26*(1-'RCM Advancement - Benefits'!S$23)*(1-'RCM Advancement - Benefits'!S25)</f>
        <v>0</v>
      </c>
    </row>
    <row r="42" spans="1:19">
      <c r="A42" s="60"/>
      <c r="B42" s="19" t="s">
        <v>3</v>
      </c>
      <c r="C42" s="50">
        <f>'Asset Risk'!$F$32*(1-'RCM Advancement - Benefits'!C$23)*(1-'RCM Advancement - Benefits'!C26)</f>
        <v>0</v>
      </c>
      <c r="D42" s="50">
        <f>'Asset Risk'!$F$32*(1-'RCM Advancement - Benefits'!D$23)*(1-'RCM Advancement - Benefits'!D26)</f>
        <v>0</v>
      </c>
      <c r="E42" s="50">
        <f>'Asset Risk'!$F$32*(1-'RCM Advancement - Benefits'!E$23)*(1-'RCM Advancement - Benefits'!E26)</f>
        <v>0</v>
      </c>
      <c r="F42" s="50">
        <f>'Asset Risk'!$F$32*(1-'RCM Advancement - Benefits'!F$23)*(1-'RCM Advancement - Benefits'!F26)</f>
        <v>0</v>
      </c>
      <c r="G42" s="50">
        <f>'Asset Risk'!$F$32*(1-'RCM Advancement - Benefits'!G$23)*(1-'RCM Advancement - Benefits'!G26)</f>
        <v>0</v>
      </c>
      <c r="H42" s="50"/>
      <c r="I42" s="50">
        <f>'Asset Risk'!$L$32*(1-'RCM Advancement - Benefits'!I$23)*(1-'RCM Advancement - Benefits'!I26)</f>
        <v>0</v>
      </c>
      <c r="J42" s="50">
        <f>'Asset Risk'!$L$32*(1-'RCM Advancement - Benefits'!J$23)*(1-'RCM Advancement - Benefits'!J26)</f>
        <v>0</v>
      </c>
      <c r="K42" s="50">
        <f>'Asset Risk'!$L$32*(1-'RCM Advancement - Benefits'!K$23)*(1-'RCM Advancement - Benefits'!K26)</f>
        <v>0</v>
      </c>
      <c r="L42" s="50">
        <f>'Asset Risk'!$L$32*(1-'RCM Advancement - Benefits'!L$23)*(1-'RCM Advancement - Benefits'!L26)</f>
        <v>0</v>
      </c>
      <c r="M42" s="50">
        <f>'Asset Risk'!$L$32*(1-'RCM Advancement - Benefits'!M$23)*(1-'RCM Advancement - Benefits'!M26)</f>
        <v>0</v>
      </c>
      <c r="N42" s="50"/>
      <c r="O42" s="50">
        <f>'Asset Risk'!$R$32*(1-'RCM Advancement - Benefits'!O$23)*(1-'RCM Advancement - Benefits'!O26)</f>
        <v>0</v>
      </c>
      <c r="P42" s="50">
        <f>'Asset Risk'!$R$32*(1-'RCM Advancement - Benefits'!P$23)*(1-'RCM Advancement - Benefits'!P26)</f>
        <v>0</v>
      </c>
      <c r="Q42" s="50">
        <f>'Asset Risk'!$R$32*(1-'RCM Advancement - Benefits'!Q$23)*(1-'RCM Advancement - Benefits'!Q26)</f>
        <v>0</v>
      </c>
      <c r="R42" s="50">
        <f>'Asset Risk'!$R$32*(1-'RCM Advancement - Benefits'!R$23)*(1-'RCM Advancement - Benefits'!R26)</f>
        <v>0</v>
      </c>
      <c r="S42" s="50">
        <f>'Asset Risk'!$R$32*(1-'RCM Advancement - Benefits'!S$23)*(1-'RCM Advancement - Benefits'!S26)</f>
        <v>0</v>
      </c>
    </row>
    <row r="43" spans="1:19">
      <c r="A43" s="60"/>
      <c r="B43" s="19"/>
      <c r="C43" s="19"/>
      <c r="D43" s="19"/>
      <c r="E43" s="19"/>
      <c r="F43" s="19"/>
      <c r="G43" s="19"/>
      <c r="H43" s="19"/>
      <c r="I43" s="19"/>
      <c r="J43" s="19"/>
      <c r="K43" s="19"/>
      <c r="L43" s="19"/>
      <c r="M43" s="19"/>
      <c r="N43" s="19"/>
      <c r="O43" s="19"/>
      <c r="P43" s="19"/>
      <c r="Q43" s="19"/>
      <c r="R43" s="19"/>
      <c r="S43" s="19"/>
    </row>
    <row r="44" spans="1:19">
      <c r="A44" s="60"/>
      <c r="B44" s="19"/>
      <c r="C44" s="19"/>
      <c r="D44" s="19"/>
      <c r="E44" s="19"/>
      <c r="F44" s="19"/>
      <c r="G44" s="19"/>
      <c r="H44" s="19"/>
      <c r="I44" s="19"/>
      <c r="J44" s="19"/>
      <c r="K44" s="19"/>
      <c r="L44" s="19"/>
      <c r="M44" s="19"/>
      <c r="N44" s="19"/>
      <c r="O44" s="19"/>
      <c r="P44" s="19"/>
      <c r="Q44" s="19"/>
      <c r="R44" s="19"/>
      <c r="S44" s="19"/>
    </row>
    <row r="45" spans="1:19">
      <c r="A45" s="28" t="s">
        <v>219</v>
      </c>
      <c r="B45" s="28"/>
      <c r="C45" s="39"/>
      <c r="D45" s="39"/>
      <c r="E45" s="39"/>
      <c r="F45" s="39"/>
      <c r="G45" s="39"/>
      <c r="H45" s="37"/>
      <c r="I45" s="39"/>
      <c r="J45" s="39"/>
      <c r="K45" s="39"/>
      <c r="L45" s="39"/>
      <c r="M45" s="39"/>
      <c r="N45" s="37"/>
      <c r="O45" s="39"/>
      <c r="P45" s="39"/>
      <c r="Q45" s="39"/>
      <c r="R45" s="39"/>
      <c r="S45" s="39"/>
    </row>
    <row r="46" spans="1:19">
      <c r="A46" s="325" t="s">
        <v>290</v>
      </c>
      <c r="B46" s="19" t="str">
        <f>'Asset Info'!$C$10</f>
        <v>Crossrail</v>
      </c>
      <c r="C46" s="97">
        <v>0</v>
      </c>
      <c r="D46" s="97">
        <v>0</v>
      </c>
      <c r="E46" s="97">
        <v>0</v>
      </c>
      <c r="F46" s="97">
        <v>0</v>
      </c>
      <c r="G46" s="97">
        <v>0</v>
      </c>
      <c r="H46" s="34"/>
      <c r="I46" s="97">
        <v>0</v>
      </c>
      <c r="J46" s="97">
        <v>0</v>
      </c>
      <c r="K46" s="97">
        <v>0</v>
      </c>
      <c r="L46" s="97">
        <v>0</v>
      </c>
      <c r="M46" s="97">
        <v>0</v>
      </c>
      <c r="N46" s="34"/>
      <c r="O46" s="97">
        <v>0</v>
      </c>
      <c r="P46" s="97">
        <v>0</v>
      </c>
      <c r="Q46" s="97">
        <v>0</v>
      </c>
      <c r="R46" s="97">
        <v>0</v>
      </c>
      <c r="S46" s="97">
        <v>0</v>
      </c>
    </row>
    <row r="47" spans="1:19">
      <c r="A47" s="325"/>
      <c r="B47" s="19" t="str">
        <f>'Asset Info'!$D$10</f>
        <v>NR Western</v>
      </c>
      <c r="C47" s="92">
        <v>0</v>
      </c>
      <c r="D47" s="92">
        <v>0.02</v>
      </c>
      <c r="E47" s="92">
        <v>0.03</v>
      </c>
      <c r="F47" s="92">
        <v>0.05</v>
      </c>
      <c r="G47" s="92">
        <v>0.1</v>
      </c>
      <c r="H47" s="34"/>
      <c r="I47" s="92">
        <v>0</v>
      </c>
      <c r="J47" s="92">
        <v>0.02</v>
      </c>
      <c r="K47" s="92">
        <v>0.03</v>
      </c>
      <c r="L47" s="92">
        <v>0.05</v>
      </c>
      <c r="M47" s="92">
        <v>0.1</v>
      </c>
      <c r="N47" s="34"/>
      <c r="O47" s="92">
        <v>0</v>
      </c>
      <c r="P47" s="92">
        <v>0.02</v>
      </c>
      <c r="Q47" s="92">
        <v>0.03</v>
      </c>
      <c r="R47" s="92">
        <v>0.05</v>
      </c>
      <c r="S47" s="92">
        <v>0.1</v>
      </c>
    </row>
    <row r="48" spans="1:19" s="256" customFormat="1">
      <c r="A48" s="325"/>
      <c r="B48" s="164" t="str">
        <f>'Asset Info'!$E$10</f>
        <v>Balfour Beatty</v>
      </c>
      <c r="C48" s="92">
        <v>0</v>
      </c>
      <c r="D48" s="92">
        <v>0</v>
      </c>
      <c r="E48" s="92">
        <v>0</v>
      </c>
      <c r="F48" s="92">
        <v>0</v>
      </c>
      <c r="G48" s="92">
        <v>0</v>
      </c>
      <c r="H48" s="163"/>
      <c r="I48" s="92">
        <v>0</v>
      </c>
      <c r="J48" s="92">
        <v>0</v>
      </c>
      <c r="K48" s="92">
        <v>0</v>
      </c>
      <c r="L48" s="92">
        <v>0</v>
      </c>
      <c r="M48" s="92">
        <v>0</v>
      </c>
      <c r="N48" s="163"/>
      <c r="O48" s="92">
        <v>0</v>
      </c>
      <c r="P48" s="92">
        <v>0</v>
      </c>
      <c r="Q48" s="92">
        <v>0</v>
      </c>
      <c r="R48" s="92">
        <v>0</v>
      </c>
      <c r="S48" s="92">
        <v>0</v>
      </c>
    </row>
    <row r="49" spans="1:19" s="256" customFormat="1">
      <c r="A49" s="325"/>
      <c r="B49" s="164" t="str">
        <f>'Asset Info'!$F$10</f>
        <v>RSSB</v>
      </c>
      <c r="C49" s="92">
        <v>0</v>
      </c>
      <c r="D49" s="92">
        <v>0</v>
      </c>
      <c r="E49" s="92">
        <v>0</v>
      </c>
      <c r="F49" s="92">
        <v>0</v>
      </c>
      <c r="G49" s="92">
        <v>0</v>
      </c>
      <c r="H49" s="163"/>
      <c r="I49" s="92">
        <v>0</v>
      </c>
      <c r="J49" s="92">
        <v>0</v>
      </c>
      <c r="K49" s="92">
        <v>0</v>
      </c>
      <c r="L49" s="92">
        <v>0</v>
      </c>
      <c r="M49" s="92">
        <v>0</v>
      </c>
      <c r="N49" s="163"/>
      <c r="O49" s="92">
        <v>0</v>
      </c>
      <c r="P49" s="92">
        <v>0</v>
      </c>
      <c r="Q49" s="92">
        <v>0</v>
      </c>
      <c r="R49" s="92">
        <v>0</v>
      </c>
      <c r="S49" s="92">
        <v>0</v>
      </c>
    </row>
    <row r="50" spans="1:19">
      <c r="A50" s="60"/>
      <c r="B50" s="19"/>
      <c r="C50" s="34"/>
      <c r="D50" s="34"/>
      <c r="E50" s="34"/>
      <c r="F50" s="34"/>
      <c r="G50" s="34"/>
      <c r="H50" s="34"/>
      <c r="I50" s="34"/>
      <c r="J50" s="34"/>
      <c r="K50" s="34"/>
      <c r="L50" s="34"/>
      <c r="M50" s="34"/>
      <c r="N50" s="34"/>
      <c r="O50" s="34"/>
      <c r="P50" s="34"/>
      <c r="Q50" s="34"/>
      <c r="R50" s="34"/>
      <c r="S50" s="34"/>
    </row>
    <row r="51" spans="1:19">
      <c r="A51" s="60"/>
      <c r="B51" s="19" t="str">
        <f>'Asset Info'!$C$10</f>
        <v>Crossrail</v>
      </c>
      <c r="C51" s="50">
        <f>(1-C46)*'Asset WLC'!$C$43</f>
        <v>0</v>
      </c>
      <c r="D51" s="50">
        <f>(1-D46)*'Asset WLC'!$C$43</f>
        <v>0</v>
      </c>
      <c r="E51" s="50">
        <f>(1-E46)*'Asset WLC'!$C$43</f>
        <v>0</v>
      </c>
      <c r="F51" s="50">
        <f>(1-F46)*'Asset WLC'!$C$43</f>
        <v>0</v>
      </c>
      <c r="G51" s="50">
        <f>(1-G46)*'Asset WLC'!$C$43</f>
        <v>0</v>
      </c>
      <c r="H51" s="50"/>
      <c r="I51" s="50">
        <f>(1-I46)*'Asset WLC'!$I$43</f>
        <v>0</v>
      </c>
      <c r="J51" s="50">
        <f>(1-J46)*'Asset WLC'!$I$43</f>
        <v>0</v>
      </c>
      <c r="K51" s="50">
        <f>(1-K46)*'Asset WLC'!$I$43</f>
        <v>0</v>
      </c>
      <c r="L51" s="50">
        <f>(1-L46)*'Asset WLC'!$I$43</f>
        <v>0</v>
      </c>
      <c r="M51" s="50">
        <f>(1-M46)*'Asset WLC'!$I$43</f>
        <v>0</v>
      </c>
      <c r="N51" s="50"/>
      <c r="O51" s="50">
        <f>(1-O46)*'Asset WLC'!$O$43</f>
        <v>0</v>
      </c>
      <c r="P51" s="50">
        <f>(1-P46)*'Asset WLC'!$O$43</f>
        <v>0</v>
      </c>
      <c r="Q51" s="50">
        <f>(1-Q46)*'Asset WLC'!$O$43</f>
        <v>0</v>
      </c>
      <c r="R51" s="50">
        <f>(1-R46)*'Asset WLC'!$O$43</f>
        <v>0</v>
      </c>
      <c r="S51" s="50">
        <f>(1-S46)*'Asset WLC'!$O$43</f>
        <v>0</v>
      </c>
    </row>
    <row r="52" spans="1:19">
      <c r="A52" s="60"/>
      <c r="B52" s="19" t="str">
        <f>'Asset Info'!$D$10</f>
        <v>NR Western</v>
      </c>
      <c r="C52" s="50">
        <f>(1-C47)*'Asset WLC'!$D$43</f>
        <v>9350000</v>
      </c>
      <c r="D52" s="50">
        <f>(1-D47)*'Asset WLC'!$D$43</f>
        <v>9163000</v>
      </c>
      <c r="E52" s="50">
        <f>(1-E47)*'Asset WLC'!$D$43</f>
        <v>9069500</v>
      </c>
      <c r="F52" s="50">
        <f>(1-F47)*'Asset WLC'!$D$43</f>
        <v>8882500</v>
      </c>
      <c r="G52" s="50">
        <f>(1-G47)*'Asset WLC'!$D$43</f>
        <v>8415000</v>
      </c>
      <c r="H52" s="50"/>
      <c r="I52" s="50">
        <f>(1-I47)*'Asset WLC'!$J$43</f>
        <v>10796625</v>
      </c>
      <c r="J52" s="50">
        <f>(1-J47)*'Asset WLC'!$J$43</f>
        <v>10580692.5</v>
      </c>
      <c r="K52" s="50">
        <f>(1-K47)*'Asset WLC'!$J$43</f>
        <v>10472726.25</v>
      </c>
      <c r="L52" s="50">
        <f>(1-L47)*'Asset WLC'!$J$43</f>
        <v>10256793.75</v>
      </c>
      <c r="M52" s="50">
        <f>(1-M47)*'Asset WLC'!$J$43</f>
        <v>9716962.5</v>
      </c>
      <c r="N52" s="50"/>
      <c r="O52" s="50">
        <f>(1-O47)*'Asset WLC'!$P$43</f>
        <v>7996625</v>
      </c>
      <c r="P52" s="50">
        <f>(1-P47)*'Asset WLC'!$P$43</f>
        <v>7836692.5</v>
      </c>
      <c r="Q52" s="50">
        <f>(1-Q47)*'Asset WLC'!$P$43</f>
        <v>7756726.25</v>
      </c>
      <c r="R52" s="50">
        <f>(1-R47)*'Asset WLC'!$P$43</f>
        <v>7596793.75</v>
      </c>
      <c r="S52" s="50">
        <f>(1-S47)*'Asset WLC'!$P$43</f>
        <v>7196962.5</v>
      </c>
    </row>
    <row r="53" spans="1:19">
      <c r="A53" s="60"/>
      <c r="B53" s="19" t="str">
        <f>'Asset Info'!$E$10</f>
        <v>Balfour Beatty</v>
      </c>
      <c r="C53" s="50">
        <f>(1-C48)*'Asset WLC'!$E$43</f>
        <v>0</v>
      </c>
      <c r="D53" s="50">
        <f>(1-D48)*'Asset WLC'!$E$43</f>
        <v>0</v>
      </c>
      <c r="E53" s="50">
        <f>(1-E48)*'Asset WLC'!$E$43</f>
        <v>0</v>
      </c>
      <c r="F53" s="50">
        <f>(1-F48)*'Asset WLC'!$E$43</f>
        <v>0</v>
      </c>
      <c r="G53" s="50">
        <f>(1-G48)*'Asset WLC'!$E$43</f>
        <v>0</v>
      </c>
      <c r="H53" s="50"/>
      <c r="I53" s="50">
        <f>(1-I48)*'Asset WLC'!$K$43</f>
        <v>0</v>
      </c>
      <c r="J53" s="50">
        <f>(1-J48)*'Asset WLC'!$K$43</f>
        <v>0</v>
      </c>
      <c r="K53" s="50">
        <f>(1-K48)*'Asset WLC'!$K$43</f>
        <v>0</v>
      </c>
      <c r="L53" s="50">
        <f>(1-L48)*'Asset WLC'!$K$43</f>
        <v>0</v>
      </c>
      <c r="M53" s="50">
        <f>(1-M48)*'Asset WLC'!$K$43</f>
        <v>0</v>
      </c>
      <c r="N53" s="50"/>
      <c r="O53" s="50">
        <f>(1-O48)*'Asset WLC'!$Q$43</f>
        <v>0</v>
      </c>
      <c r="P53" s="50">
        <f>(1-P48)*'Asset WLC'!$Q$43</f>
        <v>0</v>
      </c>
      <c r="Q53" s="50">
        <f>(1-Q48)*'Asset WLC'!$Q$43</f>
        <v>0</v>
      </c>
      <c r="R53" s="50">
        <f>(1-R48)*'Asset WLC'!$Q$43</f>
        <v>0</v>
      </c>
      <c r="S53" s="50">
        <f>(1-S48)*'Asset WLC'!$Q$43</f>
        <v>0</v>
      </c>
    </row>
    <row r="54" spans="1:19">
      <c r="A54" s="60"/>
      <c r="B54" s="19" t="str">
        <f>'Asset Info'!$F$10</f>
        <v>RSSB</v>
      </c>
      <c r="C54" s="50">
        <f>(1-C49)*'Asset WLC'!$F$43</f>
        <v>0</v>
      </c>
      <c r="D54" s="50">
        <f>(1-D49)*'Asset WLC'!$F$43</f>
        <v>0</v>
      </c>
      <c r="E54" s="50">
        <f>(1-E49)*'Asset WLC'!$F$43</f>
        <v>0</v>
      </c>
      <c r="F54" s="50">
        <f>(1-F49)*'Asset WLC'!$F$43</f>
        <v>0</v>
      </c>
      <c r="G54" s="50">
        <f>(1-G49)*'Asset WLC'!$F$43</f>
        <v>0</v>
      </c>
      <c r="H54" s="50"/>
      <c r="I54" s="50">
        <f>(1-I49)*'Asset WLC'!$L$43</f>
        <v>0</v>
      </c>
      <c r="J54" s="50">
        <f>(1-J49)*'Asset WLC'!$L$43</f>
        <v>0</v>
      </c>
      <c r="K54" s="50">
        <f>(1-K49)*'Asset WLC'!$L$43</f>
        <v>0</v>
      </c>
      <c r="L54" s="50">
        <f>(1-L49)*'Asset WLC'!$L$43</f>
        <v>0</v>
      </c>
      <c r="M54" s="50">
        <f>(1-M49)*'Asset WLC'!$L$43</f>
        <v>0</v>
      </c>
      <c r="N54" s="50"/>
      <c r="O54" s="50">
        <f>(1-O49)*'Asset WLC'!$R$43</f>
        <v>22562.5</v>
      </c>
      <c r="P54" s="50">
        <f>(1-P49)*'Asset WLC'!$R$43</f>
        <v>22562.5</v>
      </c>
      <c r="Q54" s="50">
        <f>(1-Q49)*'Asset WLC'!$R$43</f>
        <v>22562.5</v>
      </c>
      <c r="R54" s="50">
        <f>(1-R49)*'Asset WLC'!$R$43</f>
        <v>22562.5</v>
      </c>
      <c r="S54" s="50">
        <f>(1-S49)*'Asset WLC'!$R$43</f>
        <v>22562.5</v>
      </c>
    </row>
    <row r="55" spans="1:19">
      <c r="A55" s="19"/>
      <c r="B55" s="19"/>
      <c r="C55" s="19"/>
      <c r="D55" s="19"/>
      <c r="E55" s="19"/>
      <c r="F55" s="19"/>
      <c r="G55" s="19"/>
      <c r="H55" s="19"/>
      <c r="I55" s="19"/>
      <c r="J55" s="19"/>
      <c r="K55" s="19"/>
      <c r="L55" s="19"/>
      <c r="M55" s="19"/>
      <c r="N55" s="19"/>
      <c r="O55" s="19"/>
      <c r="P55" s="19"/>
      <c r="Q55" s="19"/>
      <c r="R55" s="19"/>
      <c r="S55" s="19"/>
    </row>
  </sheetData>
  <mergeCells count="1">
    <mergeCell ref="A46:A49"/>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7" r:id="rId4" name="Button 1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5378" r:id="rId5" name="Button 1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5379" r:id="rId6" name="Button 19">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5380" r:id="rId7" name="Button 20">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5381" r:id="rId8" name="Button 21">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Inputs_RCM_HLA">
    <tabColor indexed="57"/>
  </sheetPr>
  <dimension ref="A1:V26"/>
  <sheetViews>
    <sheetView workbookViewId="0"/>
  </sheetViews>
  <sheetFormatPr defaultColWidth="41" defaultRowHeight="12.75"/>
  <cols>
    <col min="1" max="1" width="26.140625" style="1" customWidth="1"/>
    <col min="2" max="2" width="29.85546875" style="1" bestFit="1" customWidth="1"/>
    <col min="3" max="6" width="16.42578125" style="1" customWidth="1"/>
    <col min="7" max="8" width="14" style="1" customWidth="1"/>
    <col min="9" max="9" width="6.140625" style="1" customWidth="1"/>
    <col min="10" max="13" width="16.42578125" style="1" customWidth="1"/>
    <col min="14" max="15" width="14" style="1" customWidth="1"/>
    <col min="16" max="16" width="7.140625" style="1" customWidth="1"/>
    <col min="17" max="20" width="16.42578125" style="1" customWidth="1"/>
    <col min="21" max="22" width="14" style="1" customWidth="1"/>
    <col min="23" max="16384" width="41" style="1"/>
  </cols>
  <sheetData>
    <row r="1" spans="1:22">
      <c r="A1" s="19"/>
      <c r="B1" s="19"/>
    </row>
    <row r="2" spans="1:22">
      <c r="A2" s="19"/>
      <c r="B2" s="19"/>
    </row>
    <row r="3" spans="1:22">
      <c r="A3" s="19"/>
      <c r="B3" s="19"/>
    </row>
    <row r="4" spans="1:22" ht="15.75">
      <c r="A4" s="19"/>
      <c r="B4" s="19"/>
      <c r="C4" s="8"/>
      <c r="E4" s="2"/>
      <c r="K4" s="2"/>
    </row>
    <row r="5" spans="1:22" s="10" customFormat="1" ht="18">
      <c r="A5" s="9" t="s">
        <v>201</v>
      </c>
      <c r="C5" s="11"/>
      <c r="E5" s="12"/>
      <c r="K5" s="12"/>
    </row>
    <row r="6" spans="1:22">
      <c r="A6" s="3"/>
      <c r="B6" s="3"/>
    </row>
    <row r="7" spans="1:22">
      <c r="A7" s="23" t="s">
        <v>2</v>
      </c>
      <c r="B7" s="19" t="str">
        <f>'Asset Info'!B7</f>
        <v>Plain Line Track</v>
      </c>
    </row>
    <row r="8" spans="1:22">
      <c r="A8" s="23" t="s">
        <v>153</v>
      </c>
      <c r="B8" s="19" t="str">
        <f>'RCM Future - Costs'!B8</f>
        <v>Option 1 - Daily track data</v>
      </c>
    </row>
    <row r="9" spans="1:22">
      <c r="A9" s="19"/>
      <c r="B9" s="19"/>
      <c r="I9" s="19"/>
    </row>
    <row r="10" spans="1:22">
      <c r="A10" s="23" t="s">
        <v>201</v>
      </c>
      <c r="B10" s="23"/>
      <c r="C10" s="17" t="s">
        <v>80</v>
      </c>
      <c r="D10" s="18"/>
      <c r="E10" s="18"/>
      <c r="F10" s="18"/>
      <c r="G10" s="18"/>
      <c r="H10" s="18"/>
      <c r="I10" s="19"/>
      <c r="J10" s="13" t="s">
        <v>81</v>
      </c>
      <c r="K10" s="14"/>
      <c r="L10" s="14"/>
      <c r="M10" s="14"/>
      <c r="N10" s="14"/>
      <c r="O10" s="14"/>
      <c r="P10" s="19"/>
      <c r="Q10" s="15" t="s">
        <v>82</v>
      </c>
      <c r="R10" s="16"/>
      <c r="S10" s="16"/>
      <c r="T10" s="16"/>
      <c r="U10" s="16"/>
      <c r="V10" s="16"/>
    </row>
    <row r="11" spans="1:22">
      <c r="A11" s="28"/>
      <c r="B11" s="28"/>
      <c r="C11" s="48" t="s">
        <v>103</v>
      </c>
      <c r="D11" s="39"/>
      <c r="E11" s="39"/>
      <c r="F11" s="39"/>
      <c r="G11" s="45"/>
      <c r="H11" s="45"/>
      <c r="I11" s="19"/>
      <c r="J11" s="48" t="s">
        <v>103</v>
      </c>
      <c r="K11" s="39"/>
      <c r="L11" s="39"/>
      <c r="M11" s="39"/>
      <c r="N11" s="45"/>
      <c r="O11" s="45"/>
      <c r="P11" s="19"/>
      <c r="Q11" s="48" t="s">
        <v>103</v>
      </c>
      <c r="R11" s="39"/>
      <c r="S11" s="39"/>
      <c r="T11" s="39"/>
      <c r="U11" s="45"/>
      <c r="V11" s="45"/>
    </row>
    <row r="12" spans="1:22">
      <c r="A12" s="28"/>
      <c r="B12" s="28"/>
      <c r="C12" s="56" t="s">
        <v>99</v>
      </c>
      <c r="D12" s="56" t="s">
        <v>100</v>
      </c>
      <c r="E12" s="56" t="s">
        <v>101</v>
      </c>
      <c r="F12" s="56" t="s">
        <v>102</v>
      </c>
      <c r="G12" s="45" t="s">
        <v>167</v>
      </c>
      <c r="H12" s="45" t="s">
        <v>168</v>
      </c>
      <c r="I12" s="19"/>
      <c r="J12" s="56" t="s">
        <v>99</v>
      </c>
      <c r="K12" s="56" t="s">
        <v>100</v>
      </c>
      <c r="L12" s="56" t="s">
        <v>101</v>
      </c>
      <c r="M12" s="56" t="s">
        <v>102</v>
      </c>
      <c r="N12" s="45" t="s">
        <v>167</v>
      </c>
      <c r="O12" s="45" t="s">
        <v>168</v>
      </c>
      <c r="P12" s="19"/>
      <c r="Q12" s="56" t="s">
        <v>99</v>
      </c>
      <c r="R12" s="56" t="s">
        <v>100</v>
      </c>
      <c r="S12" s="56" t="s">
        <v>101</v>
      </c>
      <c r="T12" s="56" t="s">
        <v>102</v>
      </c>
      <c r="U12" s="45" t="s">
        <v>167</v>
      </c>
      <c r="V12" s="45" t="s">
        <v>168</v>
      </c>
    </row>
    <row r="13" spans="1:22">
      <c r="A13" s="28" t="s">
        <v>170</v>
      </c>
      <c r="B13" s="30"/>
      <c r="C13" s="58"/>
      <c r="D13" s="58"/>
      <c r="E13" s="58"/>
      <c r="F13" s="58"/>
      <c r="G13" s="50"/>
      <c r="H13" s="50"/>
      <c r="I13" s="49"/>
      <c r="J13" s="58"/>
      <c r="K13" s="58"/>
      <c r="L13" s="58"/>
      <c r="M13" s="58"/>
      <c r="N13" s="50"/>
      <c r="O13" s="50"/>
      <c r="P13" s="49"/>
      <c r="Q13" s="58"/>
      <c r="R13" s="58"/>
      <c r="S13" s="58"/>
      <c r="T13" s="58"/>
      <c r="U13" s="50"/>
    </row>
    <row r="14" spans="1:22">
      <c r="A14" s="19"/>
      <c r="B14" s="19" t="s">
        <v>165</v>
      </c>
      <c r="C14" s="91">
        <v>3000</v>
      </c>
      <c r="D14" s="91">
        <v>10000</v>
      </c>
      <c r="E14" s="91">
        <v>30000</v>
      </c>
      <c r="F14" s="91">
        <v>10000</v>
      </c>
      <c r="G14" s="50"/>
      <c r="H14" s="50"/>
      <c r="I14" s="49"/>
      <c r="J14" s="91">
        <v>3150</v>
      </c>
      <c r="K14" s="91">
        <v>10500</v>
      </c>
      <c r="L14" s="91">
        <v>31500</v>
      </c>
      <c r="M14" s="91">
        <v>10500</v>
      </c>
      <c r="N14" s="50"/>
      <c r="O14" s="50"/>
      <c r="P14" s="49"/>
      <c r="Q14" s="91">
        <v>2850</v>
      </c>
      <c r="R14" s="91">
        <v>9500</v>
      </c>
      <c r="S14" s="91">
        <v>28500</v>
      </c>
      <c r="T14" s="91">
        <v>9500</v>
      </c>
      <c r="U14" s="50"/>
    </row>
    <row r="15" spans="1:22">
      <c r="A15" s="19"/>
      <c r="B15" s="19" t="s">
        <v>166</v>
      </c>
      <c r="C15" s="91">
        <v>900</v>
      </c>
      <c r="D15" s="91">
        <v>3000</v>
      </c>
      <c r="E15" s="91">
        <v>9000</v>
      </c>
      <c r="F15" s="91">
        <v>3000</v>
      </c>
      <c r="G15" s="50"/>
      <c r="H15" s="50"/>
      <c r="I15" s="49"/>
      <c r="J15" s="93">
        <v>945</v>
      </c>
      <c r="K15" s="93">
        <v>3150</v>
      </c>
      <c r="L15" s="93">
        <v>9450</v>
      </c>
      <c r="M15" s="93">
        <v>3150</v>
      </c>
      <c r="N15" s="50"/>
      <c r="O15" s="50"/>
      <c r="P15" s="49"/>
      <c r="Q15" s="93">
        <v>855</v>
      </c>
      <c r="R15" s="93">
        <v>2850</v>
      </c>
      <c r="S15" s="93">
        <v>8550</v>
      </c>
      <c r="T15" s="93">
        <v>2850</v>
      </c>
      <c r="U15" s="50"/>
    </row>
    <row r="16" spans="1:22">
      <c r="A16" s="19"/>
      <c r="B16" s="19"/>
      <c r="C16" s="50"/>
      <c r="D16" s="50"/>
      <c r="E16" s="50"/>
      <c r="F16" s="50"/>
      <c r="G16" s="50"/>
      <c r="H16" s="50"/>
      <c r="I16" s="49"/>
      <c r="J16" s="50"/>
      <c r="K16" s="50"/>
      <c r="L16" s="50"/>
      <c r="M16" s="50"/>
      <c r="N16" s="50"/>
      <c r="O16" s="50"/>
      <c r="P16" s="49"/>
      <c r="Q16" s="50"/>
      <c r="R16" s="50"/>
      <c r="S16" s="50"/>
      <c r="T16" s="50"/>
      <c r="U16" s="50"/>
    </row>
    <row r="17" spans="1:22">
      <c r="A17" s="28" t="s">
        <v>171</v>
      </c>
      <c r="B17" s="30"/>
      <c r="C17" s="39"/>
      <c r="D17" s="39"/>
      <c r="E17" s="39"/>
      <c r="F17" s="39"/>
      <c r="G17" s="45"/>
      <c r="H17" s="45"/>
      <c r="I17" s="37"/>
      <c r="J17" s="39"/>
      <c r="K17" s="39"/>
      <c r="L17" s="39"/>
      <c r="M17" s="39"/>
      <c r="N17" s="45"/>
      <c r="O17" s="45"/>
      <c r="P17" s="45"/>
      <c r="Q17" s="39"/>
      <c r="R17" s="39"/>
      <c r="S17" s="39"/>
      <c r="T17" s="39"/>
      <c r="U17" s="45"/>
      <c r="V17" s="45"/>
    </row>
    <row r="18" spans="1:22">
      <c r="A18" s="28"/>
      <c r="B18" s="19" t="s">
        <v>107</v>
      </c>
      <c r="C18" s="90">
        <v>3</v>
      </c>
      <c r="D18" s="90">
        <v>1</v>
      </c>
      <c r="E18" s="90">
        <v>1</v>
      </c>
      <c r="F18" s="90">
        <v>0</v>
      </c>
      <c r="G18" s="52">
        <f>SUMPRODUCT(C18:F18,'RCM Higher Level Analytics'!$C$14:$F$14)</f>
        <v>49000</v>
      </c>
      <c r="H18" s="52">
        <f>SUMPRODUCT(C18:F18,'RCM Higher Level Analytics'!$C$15:$F$15)</f>
        <v>14700</v>
      </c>
      <c r="I18" s="19"/>
      <c r="J18" s="90">
        <v>3</v>
      </c>
      <c r="K18" s="90">
        <v>1</v>
      </c>
      <c r="L18" s="90">
        <v>1</v>
      </c>
      <c r="M18" s="90">
        <v>0</v>
      </c>
      <c r="N18" s="52">
        <f>SUMPRODUCT(J18:M18,$J$14:$M$14)</f>
        <v>51450</v>
      </c>
      <c r="O18" s="52">
        <f>SUMPRODUCT(J18:M18,$J$15:$M$15)</f>
        <v>15435</v>
      </c>
      <c r="P18" s="26"/>
      <c r="Q18" s="90">
        <v>3</v>
      </c>
      <c r="R18" s="90">
        <v>1</v>
      </c>
      <c r="S18" s="90">
        <v>1</v>
      </c>
      <c r="T18" s="90">
        <v>0</v>
      </c>
      <c r="U18" s="52">
        <f>SUMPRODUCT(Q18:T18,$Q$14:$T$14)</f>
        <v>46550</v>
      </c>
      <c r="V18" s="52">
        <f>SUMPRODUCT(Q18:T18,$Q$15:$T$15)</f>
        <v>13965</v>
      </c>
    </row>
    <row r="19" spans="1:22" s="3" customFormat="1">
      <c r="A19" s="19"/>
      <c r="B19" s="19" t="s">
        <v>108</v>
      </c>
      <c r="C19" s="90">
        <v>2</v>
      </c>
      <c r="D19" s="90">
        <v>1</v>
      </c>
      <c r="E19" s="90"/>
      <c r="F19" s="90"/>
      <c r="G19" s="52">
        <f>SUMPRODUCT(C19:F19,'RCM Higher Level Analytics'!$C$14:$F$14)</f>
        <v>16000</v>
      </c>
      <c r="H19" s="52">
        <f>SUMPRODUCT(C19:F19,'RCM Higher Level Analytics'!$C$15:$F$15)</f>
        <v>4800</v>
      </c>
      <c r="I19" s="19"/>
      <c r="J19" s="90">
        <v>2</v>
      </c>
      <c r="K19" s="90">
        <v>1</v>
      </c>
      <c r="L19" s="90"/>
      <c r="M19" s="90"/>
      <c r="N19" s="52">
        <f>SUMPRODUCT(J19:M19,$J$14:$M$14)</f>
        <v>16800</v>
      </c>
      <c r="O19" s="52">
        <f>SUMPRODUCT(J19:M19,$J$15:$M$15)</f>
        <v>5040</v>
      </c>
      <c r="P19" s="26"/>
      <c r="Q19" s="90">
        <v>2</v>
      </c>
      <c r="R19" s="90">
        <v>1</v>
      </c>
      <c r="S19" s="90"/>
      <c r="T19" s="90"/>
      <c r="U19" s="52">
        <f>SUMPRODUCT(Q19:T19,$Q$14:$T$14)</f>
        <v>15200</v>
      </c>
      <c r="V19" s="52">
        <f>SUMPRODUCT(Q19:T19,$Q$15:$T$15)</f>
        <v>4560</v>
      </c>
    </row>
    <row r="20" spans="1:22">
      <c r="A20" s="19"/>
      <c r="B20" s="19" t="s">
        <v>109</v>
      </c>
      <c r="C20" s="90">
        <v>2</v>
      </c>
      <c r="D20" s="90">
        <v>2</v>
      </c>
      <c r="E20" s="90"/>
      <c r="F20" s="90">
        <v>2</v>
      </c>
      <c r="G20" s="52">
        <f>SUMPRODUCT(C20:F20,'RCM Higher Level Analytics'!$C$14:$F$14)</f>
        <v>46000</v>
      </c>
      <c r="H20" s="52">
        <f>SUMPRODUCT(C20:F20,'RCM Higher Level Analytics'!$C$15:$F$15)</f>
        <v>13800</v>
      </c>
      <c r="I20" s="19"/>
      <c r="J20" s="90">
        <v>2</v>
      </c>
      <c r="K20" s="90">
        <v>2</v>
      </c>
      <c r="L20" s="90"/>
      <c r="M20" s="90">
        <v>2</v>
      </c>
      <c r="N20" s="52">
        <f>SUMPRODUCT(J20:M20,$J$14:$M$14)</f>
        <v>48300</v>
      </c>
      <c r="O20" s="52">
        <f>SUMPRODUCT(J20:M20,$J$15:$M$15)</f>
        <v>14490</v>
      </c>
      <c r="P20" s="26"/>
      <c r="Q20" s="90">
        <v>2</v>
      </c>
      <c r="R20" s="90">
        <v>2</v>
      </c>
      <c r="S20" s="90"/>
      <c r="T20" s="90">
        <v>2</v>
      </c>
      <c r="U20" s="52">
        <f>SUMPRODUCT(Q20:T20,$Q$14:$T$14)</f>
        <v>43700</v>
      </c>
      <c r="V20" s="52">
        <f>SUMPRODUCT(Q20:T20,$Q$15:$T$15)</f>
        <v>13110</v>
      </c>
    </row>
    <row r="21" spans="1:22">
      <c r="A21" s="19"/>
      <c r="B21" s="19" t="s">
        <v>110</v>
      </c>
      <c r="C21" s="90">
        <v>3</v>
      </c>
      <c r="D21" s="90"/>
      <c r="E21" s="90">
        <v>1</v>
      </c>
      <c r="F21" s="90"/>
      <c r="G21" s="52">
        <f>SUMPRODUCT(C21:F21,'RCM Higher Level Analytics'!$C$14:$F$14)</f>
        <v>39000</v>
      </c>
      <c r="H21" s="52">
        <f>SUMPRODUCT(C21:F21,'RCM Higher Level Analytics'!$C$15:$F$15)</f>
        <v>11700</v>
      </c>
      <c r="I21" s="19"/>
      <c r="J21" s="90">
        <v>3</v>
      </c>
      <c r="K21" s="90"/>
      <c r="L21" s="90">
        <v>1</v>
      </c>
      <c r="M21" s="90"/>
      <c r="N21" s="52">
        <f>SUMPRODUCT(J21:M21,$J$14:$M$14)</f>
        <v>40950</v>
      </c>
      <c r="O21" s="52">
        <f>SUMPRODUCT(J21:M21,$J$15:$M$15)</f>
        <v>12285</v>
      </c>
      <c r="P21" s="26"/>
      <c r="Q21" s="90">
        <v>3</v>
      </c>
      <c r="R21" s="90"/>
      <c r="S21" s="90">
        <v>1</v>
      </c>
      <c r="T21" s="90"/>
      <c r="U21" s="52">
        <f>SUMPRODUCT(Q21:T21,$Q$14:$T$14)</f>
        <v>37050</v>
      </c>
      <c r="V21" s="52">
        <f>SUMPRODUCT(Q21:T21,$Q$15:$T$15)</f>
        <v>11115</v>
      </c>
    </row>
    <row r="22" spans="1:22">
      <c r="A22" s="19"/>
      <c r="B22" s="19"/>
      <c r="C22" s="19"/>
      <c r="D22" s="19"/>
      <c r="E22" s="19"/>
      <c r="F22" s="19"/>
      <c r="G22" s="19"/>
      <c r="H22" s="19"/>
      <c r="I22" s="19"/>
      <c r="J22" s="19"/>
      <c r="K22" s="19"/>
      <c r="L22" s="19"/>
      <c r="M22" s="19"/>
      <c r="N22" s="19"/>
      <c r="O22" s="19"/>
      <c r="P22" s="19"/>
      <c r="Q22" s="19"/>
      <c r="R22" s="19"/>
      <c r="S22" s="19"/>
      <c r="T22" s="19"/>
      <c r="U22" s="19"/>
      <c r="V22" s="19"/>
    </row>
    <row r="23" spans="1:22">
      <c r="A23" s="326" t="s">
        <v>232</v>
      </c>
      <c r="B23" s="1" t="str">
        <f>'Asset Info'!$C$10</f>
        <v>Crossrail</v>
      </c>
      <c r="C23" s="19"/>
      <c r="D23" s="19"/>
      <c r="E23" s="19"/>
      <c r="F23" s="19"/>
      <c r="G23" s="92">
        <v>0</v>
      </c>
      <c r="H23" s="165">
        <v>0</v>
      </c>
      <c r="I23" s="19"/>
      <c r="J23" s="19"/>
      <c r="K23" s="19"/>
      <c r="L23" s="19"/>
      <c r="M23" s="19"/>
      <c r="N23" s="92">
        <v>0</v>
      </c>
      <c r="O23" s="165">
        <v>0</v>
      </c>
      <c r="P23" s="19"/>
      <c r="Q23" s="19"/>
      <c r="R23" s="19"/>
      <c r="S23" s="19"/>
      <c r="T23" s="19"/>
      <c r="U23" s="92">
        <v>0</v>
      </c>
      <c r="V23" s="165">
        <v>0</v>
      </c>
    </row>
    <row r="24" spans="1:22">
      <c r="A24" s="326"/>
      <c r="B24" s="1" t="str">
        <f>'Asset Info'!$D$10</f>
        <v>NR Western</v>
      </c>
      <c r="G24" s="92">
        <v>0.7</v>
      </c>
      <c r="H24" s="92">
        <v>0.7</v>
      </c>
      <c r="N24" s="92">
        <v>0.7</v>
      </c>
      <c r="O24" s="92">
        <v>0.7</v>
      </c>
      <c r="U24" s="92">
        <v>0.7</v>
      </c>
      <c r="V24" s="92">
        <v>0.7</v>
      </c>
    </row>
    <row r="25" spans="1:22">
      <c r="A25" s="326"/>
      <c r="B25" s="1" t="str">
        <f>'Asset Info'!$E$10</f>
        <v>Balfour Beatty</v>
      </c>
      <c r="G25" s="92">
        <v>0</v>
      </c>
      <c r="H25" s="92">
        <v>0</v>
      </c>
      <c r="N25" s="92">
        <v>0</v>
      </c>
      <c r="O25" s="92">
        <v>0</v>
      </c>
      <c r="U25" s="92">
        <v>0</v>
      </c>
      <c r="V25" s="92">
        <v>0</v>
      </c>
    </row>
    <row r="26" spans="1:22">
      <c r="A26" s="326"/>
      <c r="B26" s="1" t="str">
        <f>'Asset Info'!$F$10</f>
        <v>RSSB</v>
      </c>
      <c r="G26" s="92">
        <v>0.3</v>
      </c>
      <c r="H26" s="92">
        <v>0.3</v>
      </c>
      <c r="N26" s="92">
        <v>0.3</v>
      </c>
      <c r="O26" s="92">
        <v>0.3</v>
      </c>
      <c r="U26" s="92">
        <v>0.3</v>
      </c>
      <c r="V26" s="92">
        <v>0.3</v>
      </c>
    </row>
  </sheetData>
  <mergeCells count="1">
    <mergeCell ref="A23:A26"/>
  </mergeCells>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38" r:id="rId4" name="Button 30">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7439" r:id="rId5" name="Button 31">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7440" r:id="rId6" name="Button 32">
              <controlPr locked="0" defaultSize="0" print="0" autoFill="0" autoPict="0" macro="[0]!PrevSheet">
                <anchor>
                  <from>
                    <xdr:col>0</xdr:col>
                    <xdr:colOff>28575</xdr:colOff>
                    <xdr:row>2</xdr:row>
                    <xdr:rowOff>152400</xdr:rowOff>
                  </from>
                  <to>
                    <xdr:col>0</xdr:col>
                    <xdr:colOff>228600</xdr:colOff>
                    <xdr:row>3</xdr:row>
                    <xdr:rowOff>152400</xdr:rowOff>
                  </to>
                </anchor>
              </controlPr>
            </control>
          </mc:Choice>
        </mc:AlternateContent>
        <mc:AlternateContent xmlns:mc="http://schemas.openxmlformats.org/markup-compatibility/2006">
          <mc:Choice Requires="x14">
            <control shapeId="17441" r:id="rId7" name="Button 33">
              <controlPr locked="0" defaultSize="0" print="0" autoFill="0" autoPict="0" macro="[0]!NextSheet">
                <anchor>
                  <from>
                    <xdr:col>0</xdr:col>
                    <xdr:colOff>457200</xdr:colOff>
                    <xdr:row>2</xdr:row>
                    <xdr:rowOff>152400</xdr:rowOff>
                  </from>
                  <to>
                    <xdr:col>0</xdr:col>
                    <xdr:colOff>657225</xdr:colOff>
                    <xdr:row>3</xdr:row>
                    <xdr:rowOff>152400</xdr:rowOff>
                  </to>
                </anchor>
              </controlPr>
            </control>
          </mc:Choice>
        </mc:AlternateContent>
        <mc:AlternateContent xmlns:mc="http://schemas.openxmlformats.org/markup-compatibility/2006">
          <mc:Choice Requires="x14">
            <control shapeId="17442" r:id="rId8" name="Button 34">
              <controlPr locked="0" defaultSize="0" print="0" autoFill="0" autoPict="0" macro="[0]!HideActiveSheet">
                <anchor>
                  <from>
                    <xdr:col>0</xdr:col>
                    <xdr:colOff>247650</xdr:colOff>
                    <xdr:row>2</xdr:row>
                    <xdr:rowOff>152400</xdr:rowOff>
                  </from>
                  <to>
                    <xdr:col>0</xdr:col>
                    <xdr:colOff>438150</xdr:colOff>
                    <xdr:row>3</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SD">
    <tabColor indexed="22"/>
  </sheetPr>
  <dimension ref="A1:AA68"/>
  <sheetViews>
    <sheetView workbookViewId="0"/>
  </sheetViews>
  <sheetFormatPr defaultColWidth="15.7109375" defaultRowHeight="12.75"/>
  <cols>
    <col min="1" max="1" width="37.5703125" style="1" bestFit="1" customWidth="1"/>
    <col min="2" max="16384" width="15.71093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193</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t="s">
        <v>132</v>
      </c>
      <c r="B8" s="136" t="s">
        <v>138</v>
      </c>
      <c r="C8" s="136" t="s">
        <v>138</v>
      </c>
      <c r="D8" s="137">
        <f>'Financial Data'!C17</f>
        <v>2</v>
      </c>
      <c r="E8" s="136" t="s">
        <v>111</v>
      </c>
      <c r="F8" s="21"/>
      <c r="G8" s="21"/>
      <c r="H8" s="21"/>
      <c r="I8" s="21"/>
      <c r="J8" s="21"/>
      <c r="K8" s="21"/>
      <c r="L8" s="21"/>
      <c r="M8" s="21"/>
      <c r="N8" s="21"/>
      <c r="O8" s="21"/>
      <c r="P8" s="21"/>
      <c r="Q8" s="21"/>
      <c r="R8" s="21"/>
      <c r="S8" s="21"/>
      <c r="T8" s="21"/>
      <c r="U8" s="21"/>
      <c r="V8" s="21"/>
      <c r="W8" s="21"/>
      <c r="X8" s="21"/>
      <c r="Y8" s="21"/>
      <c r="Z8" s="21"/>
      <c r="AA8" s="21"/>
    </row>
    <row r="9" spans="1:27" hidden="1">
      <c r="A9" s="138"/>
      <c r="B9" s="138"/>
      <c r="C9" s="138"/>
      <c r="D9" s="139"/>
      <c r="E9" s="138"/>
      <c r="F9" s="21"/>
      <c r="G9" s="21"/>
      <c r="H9" s="21"/>
      <c r="I9" s="21"/>
      <c r="J9" s="21"/>
      <c r="K9" s="21"/>
      <c r="L9" s="21"/>
      <c r="M9" s="21"/>
      <c r="N9" s="21"/>
      <c r="O9" s="21"/>
      <c r="P9" s="21"/>
      <c r="Q9" s="21"/>
      <c r="R9" s="21"/>
      <c r="S9" s="21"/>
      <c r="T9" s="21"/>
      <c r="U9" s="21"/>
      <c r="V9" s="21"/>
      <c r="W9" s="21"/>
      <c r="X9" s="21"/>
      <c r="Y9" s="21"/>
      <c r="Z9" s="21"/>
      <c r="AA9" s="21"/>
    </row>
    <row r="10" spans="1:27" hidden="1">
      <c r="A10" s="138"/>
      <c r="B10" s="138"/>
      <c r="C10" s="138"/>
      <c r="D10" s="139"/>
      <c r="E10" s="138"/>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c r="B11" s="138"/>
      <c r="C11" s="138"/>
      <c r="D11" s="139"/>
      <c r="E11" s="138"/>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c r="B12" s="140"/>
      <c r="C12" s="140"/>
      <c r="D12" s="141"/>
      <c r="E12" s="140"/>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
        <v>73</v>
      </c>
      <c r="D16" s="139" t="s">
        <v>111</v>
      </c>
      <c r="E16" s="139" t="s">
        <v>111</v>
      </c>
      <c r="F16" s="139" t="s">
        <v>111</v>
      </c>
      <c r="G16" s="139" t="s">
        <v>111</v>
      </c>
      <c r="H16" s="139" t="s">
        <v>111</v>
      </c>
      <c r="I16" s="139" t="s">
        <v>111</v>
      </c>
      <c r="J16" s="139" t="s">
        <v>111</v>
      </c>
      <c r="K16" s="139" t="s">
        <v>111</v>
      </c>
      <c r="L16" s="139" t="s">
        <v>111</v>
      </c>
      <c r="M16" s="139" t="s">
        <v>111</v>
      </c>
      <c r="N16" s="139" t="s">
        <v>111</v>
      </c>
      <c r="O16" s="139" t="s">
        <v>111</v>
      </c>
      <c r="P16" s="139" t="s">
        <v>111</v>
      </c>
      <c r="Q16" s="139" t="s">
        <v>111</v>
      </c>
      <c r="R16" s="139" t="s">
        <v>111</v>
      </c>
      <c r="S16" s="139" t="s">
        <v>111</v>
      </c>
      <c r="T16" s="139" t="s">
        <v>111</v>
      </c>
      <c r="U16" s="139" t="s">
        <v>111</v>
      </c>
      <c r="V16" s="139" t="s">
        <v>111</v>
      </c>
      <c r="W16" s="139" t="s">
        <v>111</v>
      </c>
      <c r="X16" s="139" t="s">
        <v>111</v>
      </c>
      <c r="Y16" s="139" t="s">
        <v>111</v>
      </c>
      <c r="Z16" s="139" t="s">
        <v>111</v>
      </c>
      <c r="AA16" s="139" t="s">
        <v>111</v>
      </c>
    </row>
    <row r="17" spans="1:27" hidden="1">
      <c r="A17" s="75" t="s">
        <v>190</v>
      </c>
      <c r="B17" s="139" t="s">
        <v>111</v>
      </c>
      <c r="C17" s="139" t="s">
        <v>111</v>
      </c>
      <c r="D17" s="139" t="s">
        <v>117</v>
      </c>
      <c r="E17" s="139" t="s">
        <v>117</v>
      </c>
      <c r="F17" s="139" t="s">
        <v>117</v>
      </c>
      <c r="G17" s="139" t="s">
        <v>117</v>
      </c>
      <c r="H17" s="139" t="s">
        <v>117</v>
      </c>
      <c r="I17" s="139" t="s">
        <v>117</v>
      </c>
      <c r="J17" s="139" t="s">
        <v>117</v>
      </c>
      <c r="K17" s="139" t="s">
        <v>117</v>
      </c>
      <c r="L17" s="139" t="s">
        <v>117</v>
      </c>
      <c r="M17" s="139" t="s">
        <v>117</v>
      </c>
      <c r="N17" s="139" t="s">
        <v>117</v>
      </c>
      <c r="O17" s="139" t="s">
        <v>117</v>
      </c>
      <c r="P17" s="139" t="s">
        <v>117</v>
      </c>
      <c r="Q17" s="139" t="s">
        <v>117</v>
      </c>
      <c r="R17" s="139" t="s">
        <v>117</v>
      </c>
      <c r="S17" s="139" t="s">
        <v>117</v>
      </c>
      <c r="T17" s="139" t="s">
        <v>117</v>
      </c>
      <c r="U17" s="139" t="s">
        <v>117</v>
      </c>
      <c r="V17" s="139" t="s">
        <v>117</v>
      </c>
      <c r="W17" s="139" t="s">
        <v>117</v>
      </c>
      <c r="X17" s="139" t="s">
        <v>117</v>
      </c>
      <c r="Y17" s="139" t="s">
        <v>117</v>
      </c>
      <c r="Z17" s="139" t="s">
        <v>117</v>
      </c>
      <c r="AA17" s="139" t="s">
        <v>117</v>
      </c>
    </row>
    <row r="18" spans="1:27" hidden="1">
      <c r="A18" s="75" t="s">
        <v>191</v>
      </c>
      <c r="B18" s="144">
        <f ca="1">IF(TYPE(INDEX($D$8:$D$12,MATCH(B17,$E$8:$E$12,FALSE)))=16,0,
IF(INDEX($D$8:$D$12,MATCH(B17,$E$8:$E$12,FALSE))&lt;=B14,0,
IF(SUMIF('Financial Data'!$B$16:$B$21,"="&amp;'SD-CF'!B16,'Financial Data'!$C$17:$C$21)=0,1,1/SUMIF('Financial Data'!$B$16:$B$21,"="&amp;'SD-CF'!B16,'Financial Data'!$C$17:$C$21))))</f>
        <v>0.5</v>
      </c>
      <c r="C18" s="144">
        <f ca="1">IF(TYPE(INDEX($D$8:$D$12,MATCH(C17,$E$8:$E$12,FALSE)))=16,0,
IF(INDEX($D$8:$D$12,MATCH(C17,$E$8:$E$12,FALSE))&lt;=C14,0,
IF(SUMIF('Financial Data'!$B$16:$B$21,"="&amp;'SD-CF'!C16,'Financial Data'!$C$17:$C$21)=0,1,1/SUMIF('Financial Data'!$B$16:$B$21,"="&amp;'SD-CF'!C16,'Financial Data'!$C$17:$C$21))))</f>
        <v>0.5</v>
      </c>
      <c r="D18" s="144">
        <f>IF(TYPE(INDEX($D$8:$D$12,MATCH(D17,$E$8:$E$12,FALSE)))=16,0,
IF(INDEX($D$8:$D$12,MATCH(D17,$E$8:$E$12,FALSE))&lt;=D14,0,
IF(SUMIF('Financial Data'!$B$16:$B$21,"="&amp;'SD-CF'!D16,'Financial Data'!$C$17:$C$21)=0,1,1/SUMIF('Financial Data'!$B$16:$B$21,"="&amp;'SD-CF'!D16,'Financial Data'!$C$17:$C$21))))</f>
        <v>0</v>
      </c>
      <c r="E18" s="144">
        <f>IF(TYPE(INDEX($D$8:$D$12,MATCH(E17,$E$8:$E$12,FALSE)))=16,0,
IF(INDEX($D$8:$D$12,MATCH(E17,$E$8:$E$12,FALSE))&lt;=E14,0,
IF(SUMIF('Financial Data'!$B$16:$B$21,"="&amp;'SD-CF'!E16,'Financial Data'!$C$17:$C$21)=0,1,1/SUMIF('Financial Data'!$B$16:$B$21,"="&amp;'SD-CF'!E16,'Financial Data'!$C$17:$C$21))))</f>
        <v>0</v>
      </c>
      <c r="F18" s="144">
        <f>IF(TYPE(INDEX($D$8:$D$12,MATCH(F17,$E$8:$E$12,FALSE)))=16,0,
IF(INDEX($D$8:$D$12,MATCH(F17,$E$8:$E$12,FALSE))&lt;=F14,0,
IF(SUMIF('Financial Data'!$B$16:$B$21,"="&amp;'SD-CF'!F16,'Financial Data'!$C$17:$C$21)=0,1,1/SUMIF('Financial Data'!$B$16:$B$21,"="&amp;'SD-CF'!F16,'Financial Data'!$C$17:$C$21))))</f>
        <v>0</v>
      </c>
      <c r="G18" s="144">
        <f>IF(TYPE(INDEX($D$8:$D$12,MATCH(G17,$E$8:$E$12,FALSE)))=16,0,
IF(INDEX($D$8:$D$12,MATCH(G17,$E$8:$E$12,FALSE))&lt;=G14,0,
IF(SUMIF('Financial Data'!$B$16:$B$21,"="&amp;'SD-CF'!G16,'Financial Data'!$C$17:$C$21)=0,1,1/SUMIF('Financial Data'!$B$16:$B$21,"="&amp;'SD-CF'!G16,'Financial Data'!$C$17:$C$21))))</f>
        <v>0</v>
      </c>
      <c r="H18" s="144">
        <f>IF(TYPE(INDEX($D$8:$D$12,MATCH(H17,$E$8:$E$12,FALSE)))=16,0,
IF(INDEX($D$8:$D$12,MATCH(H17,$E$8:$E$12,FALSE))&lt;=H14,0,
IF(SUMIF('Financial Data'!$B$16:$B$21,"="&amp;'SD-CF'!H16,'Financial Data'!$C$17:$C$21)=0,1,1/SUMIF('Financial Data'!$B$16:$B$21,"="&amp;'SD-CF'!H16,'Financial Data'!$C$17:$C$21))))</f>
        <v>0</v>
      </c>
      <c r="I18" s="144">
        <f>IF(TYPE(INDEX($D$8:$D$12,MATCH(I17,$E$8:$E$12,FALSE)))=16,0,
IF(INDEX($D$8:$D$12,MATCH(I17,$E$8:$E$12,FALSE))&lt;=I14,0,
IF(SUMIF('Financial Data'!$B$16:$B$21,"="&amp;'SD-CF'!I16,'Financial Data'!$C$17:$C$21)=0,1,1/SUMIF('Financial Data'!$B$16:$B$21,"="&amp;'SD-CF'!I16,'Financial Data'!$C$17:$C$21))))</f>
        <v>0</v>
      </c>
      <c r="J18" s="144">
        <f>IF(TYPE(INDEX($D$8:$D$12,MATCH(J17,$E$8:$E$12,FALSE)))=16,0,
IF(INDEX($D$8:$D$12,MATCH(J17,$E$8:$E$12,FALSE))&lt;=J14,0,
IF(SUMIF('Financial Data'!$B$16:$B$21,"="&amp;'SD-CF'!J16,'Financial Data'!$C$17:$C$21)=0,1,1/SUMIF('Financial Data'!$B$16:$B$21,"="&amp;'SD-CF'!J16,'Financial Data'!$C$17:$C$21))))</f>
        <v>0</v>
      </c>
      <c r="K18" s="144">
        <f>IF(TYPE(INDEX($D$8:$D$12,MATCH(K17,$E$8:$E$12,FALSE)))=16,0,
IF(INDEX($D$8:$D$12,MATCH(K17,$E$8:$E$12,FALSE))&lt;=K14,0,
IF(SUMIF('Financial Data'!$B$16:$B$21,"="&amp;'SD-CF'!K16,'Financial Data'!$C$17:$C$21)=0,1,1/SUMIF('Financial Data'!$B$16:$B$21,"="&amp;'SD-CF'!K16,'Financial Data'!$C$17:$C$21))))</f>
        <v>0</v>
      </c>
      <c r="L18" s="144">
        <f>IF(TYPE(INDEX($D$8:$D$12,MATCH(L17,$E$8:$E$12,FALSE)))=16,0,
IF(INDEX($D$8:$D$12,MATCH(L17,$E$8:$E$12,FALSE))&lt;=L14,0,
IF(SUMIF('Financial Data'!$B$16:$B$21,"="&amp;'SD-CF'!L16,'Financial Data'!$C$17:$C$21)=0,1,1/SUMIF('Financial Data'!$B$16:$B$21,"="&amp;'SD-CF'!L16,'Financial Data'!$C$17:$C$21))))</f>
        <v>0</v>
      </c>
      <c r="M18" s="144">
        <f>IF(TYPE(INDEX($D$8:$D$12,MATCH(M17,$E$8:$E$12,FALSE)))=16,0,
IF(INDEX($D$8:$D$12,MATCH(M17,$E$8:$E$12,FALSE))&lt;=M14,0,
IF(SUMIF('Financial Data'!$B$16:$B$21,"="&amp;'SD-CF'!M16,'Financial Data'!$C$17:$C$21)=0,1,1/SUMIF('Financial Data'!$B$16:$B$21,"="&amp;'SD-CF'!M16,'Financial Data'!$C$17:$C$21))))</f>
        <v>0</v>
      </c>
      <c r="N18" s="144">
        <f>IF(TYPE(INDEX($D$8:$D$12,MATCH(N17,$E$8:$E$12,FALSE)))=16,0,
IF(INDEX($D$8:$D$12,MATCH(N17,$E$8:$E$12,FALSE))&lt;=N14,0,
IF(SUMIF('Financial Data'!$B$16:$B$21,"="&amp;'SD-CF'!N16,'Financial Data'!$C$17:$C$21)=0,1,1/SUMIF('Financial Data'!$B$16:$B$21,"="&amp;'SD-CF'!N16,'Financial Data'!$C$17:$C$21))))</f>
        <v>0</v>
      </c>
      <c r="O18" s="144">
        <f>IF(TYPE(INDEX($D$8:$D$12,MATCH(O17,$E$8:$E$12,FALSE)))=16,0,
IF(INDEX($D$8:$D$12,MATCH(O17,$E$8:$E$12,FALSE))&lt;=O14,0,
IF(SUMIF('Financial Data'!$B$16:$B$21,"="&amp;'SD-CF'!O16,'Financial Data'!$C$17:$C$21)=0,1,1/SUMIF('Financial Data'!$B$16:$B$21,"="&amp;'SD-CF'!O16,'Financial Data'!$C$17:$C$21))))</f>
        <v>0</v>
      </c>
      <c r="P18" s="144">
        <f>IF(TYPE(INDEX($D$8:$D$12,MATCH(P17,$E$8:$E$12,FALSE)))=16,0,
IF(INDEX($D$8:$D$12,MATCH(P17,$E$8:$E$12,FALSE))&lt;=P14,0,
IF(SUMIF('Financial Data'!$B$16:$B$21,"="&amp;'SD-CF'!P16,'Financial Data'!$C$17:$C$21)=0,1,1/SUMIF('Financial Data'!$B$16:$B$21,"="&amp;'SD-CF'!P16,'Financial Data'!$C$17:$C$21))))</f>
        <v>0</v>
      </c>
      <c r="Q18" s="144">
        <f>IF(TYPE(INDEX($D$8:$D$12,MATCH(Q17,$E$8:$E$12,FALSE)))=16,0,
IF(INDEX($D$8:$D$12,MATCH(Q17,$E$8:$E$12,FALSE))&lt;=Q14,0,
IF(SUMIF('Financial Data'!$B$16:$B$21,"="&amp;'SD-CF'!Q16,'Financial Data'!$C$17:$C$21)=0,1,1/SUMIF('Financial Data'!$B$16:$B$21,"="&amp;'SD-CF'!Q16,'Financial Data'!$C$17:$C$21))))</f>
        <v>0</v>
      </c>
      <c r="R18" s="144">
        <f>IF(TYPE(INDEX($D$8:$D$12,MATCH(R17,$E$8:$E$12,FALSE)))=16,0,
IF(INDEX($D$8:$D$12,MATCH(R17,$E$8:$E$12,FALSE))&lt;=R14,0,
IF(SUMIF('Financial Data'!$B$16:$B$21,"="&amp;'SD-CF'!R16,'Financial Data'!$C$17:$C$21)=0,1,1/SUMIF('Financial Data'!$B$16:$B$21,"="&amp;'SD-CF'!R16,'Financial Data'!$C$17:$C$21))))</f>
        <v>0</v>
      </c>
      <c r="S18" s="144">
        <f>IF(TYPE(INDEX($D$8:$D$12,MATCH(S17,$E$8:$E$12,FALSE)))=16,0,
IF(INDEX($D$8:$D$12,MATCH(S17,$E$8:$E$12,FALSE))&lt;=S14,0,
IF(SUMIF('Financial Data'!$B$16:$B$21,"="&amp;'SD-CF'!S16,'Financial Data'!$C$17:$C$21)=0,1,1/SUMIF('Financial Data'!$B$16:$B$21,"="&amp;'SD-CF'!S16,'Financial Data'!$C$17:$C$21))))</f>
        <v>0</v>
      </c>
      <c r="T18" s="144">
        <f>IF(TYPE(INDEX($D$8:$D$12,MATCH(T17,$E$8:$E$12,FALSE)))=16,0,
IF(INDEX($D$8:$D$12,MATCH(T17,$E$8:$E$12,FALSE))&lt;=T14,0,
IF(SUMIF('Financial Data'!$B$16:$B$21,"="&amp;'SD-CF'!T16,'Financial Data'!$C$17:$C$21)=0,1,1/SUMIF('Financial Data'!$B$16:$B$21,"="&amp;'SD-CF'!T16,'Financial Data'!$C$17:$C$21))))</f>
        <v>0</v>
      </c>
      <c r="U18" s="144">
        <f>IF(TYPE(INDEX($D$8:$D$12,MATCH(U17,$E$8:$E$12,FALSE)))=16,0,
IF(INDEX($D$8:$D$12,MATCH(U17,$E$8:$E$12,FALSE))&lt;=U14,0,
IF(SUMIF('Financial Data'!$B$16:$B$21,"="&amp;'SD-CF'!U16,'Financial Data'!$C$17:$C$21)=0,1,1/SUMIF('Financial Data'!$B$16:$B$21,"="&amp;'SD-CF'!U16,'Financial Data'!$C$17:$C$21))))</f>
        <v>0</v>
      </c>
      <c r="V18" s="144">
        <f>IF(TYPE(INDEX($D$8:$D$12,MATCH(V17,$E$8:$E$12,FALSE)))=16,0,
IF(INDEX($D$8:$D$12,MATCH(V17,$E$8:$E$12,FALSE))&lt;=V14,0,
IF(SUMIF('Financial Data'!$B$16:$B$21,"="&amp;'SD-CF'!V16,'Financial Data'!$C$17:$C$21)=0,1,1/SUMIF('Financial Data'!$B$16:$B$21,"="&amp;'SD-CF'!V16,'Financial Data'!$C$17:$C$21))))</f>
        <v>0</v>
      </c>
      <c r="W18" s="144">
        <f>IF(TYPE(INDEX($D$8:$D$12,MATCH(W17,$E$8:$E$12,FALSE)))=16,0,
IF(INDEX($D$8:$D$12,MATCH(W17,$E$8:$E$12,FALSE))&lt;=W14,0,
IF(SUMIF('Financial Data'!$B$16:$B$21,"="&amp;'SD-CF'!W16,'Financial Data'!$C$17:$C$21)=0,1,1/SUMIF('Financial Data'!$B$16:$B$21,"="&amp;'SD-CF'!W16,'Financial Data'!$C$17:$C$21))))</f>
        <v>0</v>
      </c>
      <c r="X18" s="144">
        <f>IF(TYPE(INDEX($D$8:$D$12,MATCH(X17,$E$8:$E$12,FALSE)))=16,0,
IF(INDEX($D$8:$D$12,MATCH(X17,$E$8:$E$12,FALSE))&lt;=X14,0,
IF(SUMIF('Financial Data'!$B$16:$B$21,"="&amp;'SD-CF'!X16,'Financial Data'!$C$17:$C$21)=0,1,1/SUMIF('Financial Data'!$B$16:$B$21,"="&amp;'SD-CF'!X16,'Financial Data'!$C$17:$C$21))))</f>
        <v>0</v>
      </c>
      <c r="Y18" s="144">
        <f>IF(TYPE(INDEX($D$8:$D$12,MATCH(Y17,$E$8:$E$12,FALSE)))=16,0,
IF(INDEX($D$8:$D$12,MATCH(Y17,$E$8:$E$12,FALSE))&lt;=Y14,0,
IF(SUMIF('Financial Data'!$B$16:$B$21,"="&amp;'SD-CF'!Y16,'Financial Data'!$C$17:$C$21)=0,1,1/SUMIF('Financial Data'!$B$16:$B$21,"="&amp;'SD-CF'!Y16,'Financial Data'!$C$17:$C$21))))</f>
        <v>0</v>
      </c>
      <c r="Z18" s="144">
        <f>IF(TYPE(INDEX($D$8:$D$12,MATCH(Z17,$E$8:$E$12,FALSE)))=16,0,
IF(INDEX($D$8:$D$12,MATCH(Z17,$E$8:$E$12,FALSE))&lt;=Z14,0,
IF(SUMIF('Financial Data'!$B$16:$B$21,"="&amp;'SD-CF'!Z16,'Financial Data'!$C$17:$C$21)=0,1,1/SUMIF('Financial Data'!$B$16:$B$21,"="&amp;'SD-CF'!Z16,'Financial Data'!$C$17:$C$21))))</f>
        <v>0</v>
      </c>
      <c r="AA18" s="144">
        <f>IF(TYPE(INDEX($D$8:$D$12,MATCH(AA17,$E$8:$E$12,FALSE)))=16,0,
IF(INDEX($D$8:$D$12,MATCH(AA17,$E$8:$E$12,FALSE))&lt;=AA14,0,
IF(SUMIF('Financial Data'!$B$16:$B$21,"="&amp;'SD-CF'!AA16,'Financial Data'!$C$17:$C$21)=0,1,1/SUMIF('Financial Data'!$B$16:$B$21,"="&amp;'SD-CF'!AA16,'Financial Data'!$C$17:$C$21))))</f>
        <v>0</v>
      </c>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f ca="1">-B$18*SUMIF('Annual WLC by Maturity Level '!$E$9:$I$9,B$17,'Annual WLC by Maturity Level '!$E$40:$I$40)</f>
        <v>-35000</v>
      </c>
      <c r="C22" s="149">
        <f ca="1">-C18*SUMIF('Annual WLC by Maturity Level '!$E$9:$I$9,C17,'Annual WLC by Maturity Level '!$E$40:$I$40)</f>
        <v>-35000</v>
      </c>
      <c r="D22" s="149">
        <f>-D18*SUMIF('Annual WLC by Maturity Level '!$E$9:$I$9,D17,'Annual WLC by Maturity Level '!$E$40:$I$40)</f>
        <v>0</v>
      </c>
      <c r="E22" s="149">
        <f>-E18*SUMIF('Annual WLC by Maturity Level '!$E$9:$I$9,E17,'Annual WLC by Maturity Level '!$E$40:$I$40)</f>
        <v>0</v>
      </c>
      <c r="F22" s="149">
        <f>-F18*SUMIF('Annual WLC by Maturity Level '!$E$9:$I$9,F17,'Annual WLC by Maturity Level '!$E$40:$I$40)</f>
        <v>0</v>
      </c>
      <c r="G22" s="149">
        <f>-G18*SUMIF('Annual WLC by Maturity Level '!$E$9:$I$9,G17,'Annual WLC by Maturity Level '!$E$40:$I$40)</f>
        <v>0</v>
      </c>
      <c r="H22" s="149">
        <f>-H18*SUMIF('Annual WLC by Maturity Level '!$E$9:$I$9,H17,'Annual WLC by Maturity Level '!$E$40:$I$40)</f>
        <v>0</v>
      </c>
      <c r="I22" s="149">
        <f>-I18*SUMIF('Annual WLC by Maturity Level '!$E$9:$I$9,I17,'Annual WLC by Maturity Level '!$E$40:$I$40)</f>
        <v>0</v>
      </c>
      <c r="J22" s="149">
        <f>-J18*SUMIF('Annual WLC by Maturity Level '!$E$9:$I$9,J17,'Annual WLC by Maturity Level '!$E$40:$I$40)</f>
        <v>0</v>
      </c>
      <c r="K22" s="149">
        <f>-K18*SUMIF('Annual WLC by Maturity Level '!$E$9:$I$9,K17,'Annual WLC by Maturity Level '!$E$40:$I$40)</f>
        <v>0</v>
      </c>
      <c r="L22" s="149">
        <f>-L18*SUMIF('Annual WLC by Maturity Level '!$E$9:$I$9,L17,'Annual WLC by Maturity Level '!$E$40:$I$40)</f>
        <v>0</v>
      </c>
      <c r="M22" s="149">
        <f>-M18*SUMIF('Annual WLC by Maturity Level '!$E$9:$I$9,M17,'Annual WLC by Maturity Level '!$E$40:$I$40)</f>
        <v>0</v>
      </c>
      <c r="N22" s="149">
        <f>-N18*SUMIF('Annual WLC by Maturity Level '!$E$9:$I$9,N17,'Annual WLC by Maturity Level '!$E$40:$I$40)</f>
        <v>0</v>
      </c>
      <c r="O22" s="149">
        <f>-O18*SUMIF('Annual WLC by Maturity Level '!$E$9:$I$9,O17,'Annual WLC by Maturity Level '!$E$40:$I$40)</f>
        <v>0</v>
      </c>
      <c r="P22" s="149">
        <f>-P18*SUMIF('Annual WLC by Maturity Level '!$E$9:$I$9,P17,'Annual WLC by Maturity Level '!$E$40:$I$40)</f>
        <v>0</v>
      </c>
      <c r="Q22" s="149">
        <f>-Q18*SUMIF('Annual WLC by Maturity Level '!$E$9:$I$9,Q17,'Annual WLC by Maturity Level '!$E$40:$I$40)</f>
        <v>0</v>
      </c>
      <c r="R22" s="149">
        <f>-R18*SUMIF('Annual WLC by Maturity Level '!$E$9:$I$9,R17,'Annual WLC by Maturity Level '!$E$40:$I$40)</f>
        <v>0</v>
      </c>
      <c r="S22" s="149">
        <f>-S18*SUMIF('Annual WLC by Maturity Level '!$E$9:$I$9,S17,'Annual WLC by Maturity Level '!$E$40:$I$40)</f>
        <v>0</v>
      </c>
      <c r="T22" s="149">
        <f>-T18*SUMIF('Annual WLC by Maturity Level '!$E$9:$I$9,T17,'Annual WLC by Maturity Level '!$E$40:$I$40)</f>
        <v>0</v>
      </c>
      <c r="U22" s="149">
        <f>-U18*SUMIF('Annual WLC by Maturity Level '!$E$9:$I$9,U17,'Annual WLC by Maturity Level '!$E$40:$I$40)</f>
        <v>0</v>
      </c>
      <c r="V22" s="149">
        <f>-V18*SUMIF('Annual WLC by Maturity Level '!$E$9:$I$9,V17,'Annual WLC by Maturity Level '!$E$40:$I$40)</f>
        <v>0</v>
      </c>
      <c r="W22" s="149">
        <f>-W18*SUMIF('Annual WLC by Maturity Level '!$E$9:$I$9,W17,'Annual WLC by Maturity Level '!$E$40:$I$40)</f>
        <v>0</v>
      </c>
      <c r="X22" s="149">
        <f>-X18*SUMIF('Annual WLC by Maturity Level '!$E$9:$I$9,X17,'Annual WLC by Maturity Level '!$E$40:$I$40)</f>
        <v>0</v>
      </c>
      <c r="Y22" s="149">
        <f>-Y18*SUMIF('Annual WLC by Maturity Level '!$E$9:$I$9,Y17,'Annual WLC by Maturity Level '!$E$40:$I$40)</f>
        <v>0</v>
      </c>
      <c r="Z22" s="149">
        <f>-Z18*SUMIF('Annual WLC by Maturity Level '!$E$9:$I$9,Z17,'Annual WLC by Maturity Level '!$E$40:$I$40)</f>
        <v>0</v>
      </c>
      <c r="AA22" s="149">
        <f>-AA18*SUMIF('Annual WLC by Maturity Level '!$E$9:$I$9,AA17,'Annual WLC by Maturity Level '!$E$40:$I$40)</f>
        <v>0</v>
      </c>
    </row>
    <row r="23" spans="1:27" s="225" customFormat="1">
      <c r="A23" s="223" t="str">
        <f>'Asset Info'!$C$10</f>
        <v>Crossrail</v>
      </c>
      <c r="B23" s="224">
        <f ca="1">-B$18*SUMIF('Annual WLC by Maturity Level '!$E$9:$I$9,B$17,'Annual WLC by Maturity Level '!$E41:$I41)</f>
        <v>0</v>
      </c>
      <c r="C23" s="224">
        <f ca="1">-C$18*SUMIF('Annual WLC by Maturity Level '!$E$9:$I$9,C$17,'Annual WLC by Maturity Level '!$E41:$I41)</f>
        <v>0</v>
      </c>
      <c r="D23" s="224">
        <f>-D$18*SUMIF('Annual WLC by Maturity Level '!$E$9:$I$9,D$17,'Annual WLC by Maturity Level '!$E41:$I41)</f>
        <v>0</v>
      </c>
      <c r="E23" s="224">
        <f>-E$18*SUMIF('Annual WLC by Maturity Level '!$E$9:$I$9,E$17,'Annual WLC by Maturity Level '!$E41:$I41)</f>
        <v>0</v>
      </c>
      <c r="F23" s="224">
        <f>-F$18*SUMIF('Annual WLC by Maturity Level '!$E$9:$I$9,F$17,'Annual WLC by Maturity Level '!$E41:$I41)</f>
        <v>0</v>
      </c>
      <c r="G23" s="224">
        <f>-G$18*SUMIF('Annual WLC by Maturity Level '!$E$9:$I$9,G$17,'Annual WLC by Maturity Level '!$E41:$I41)</f>
        <v>0</v>
      </c>
      <c r="H23" s="224">
        <f>-H$18*SUMIF('Annual WLC by Maturity Level '!$E$9:$I$9,H$17,'Annual WLC by Maturity Level '!$E41:$I41)</f>
        <v>0</v>
      </c>
      <c r="I23" s="224">
        <f>-I$18*SUMIF('Annual WLC by Maturity Level '!$E$9:$I$9,I$17,'Annual WLC by Maturity Level '!$E41:$I41)</f>
        <v>0</v>
      </c>
      <c r="J23" s="224">
        <f>-J$18*SUMIF('Annual WLC by Maturity Level '!$E$9:$I$9,J$17,'Annual WLC by Maturity Level '!$E41:$I41)</f>
        <v>0</v>
      </c>
      <c r="K23" s="224">
        <f>-K$18*SUMIF('Annual WLC by Maturity Level '!$E$9:$I$9,K$17,'Annual WLC by Maturity Level '!$E41:$I41)</f>
        <v>0</v>
      </c>
      <c r="L23" s="224">
        <f>-L$18*SUMIF('Annual WLC by Maturity Level '!$E$9:$I$9,L$17,'Annual WLC by Maturity Level '!$E41:$I41)</f>
        <v>0</v>
      </c>
      <c r="M23" s="224">
        <f>-M$18*SUMIF('Annual WLC by Maturity Level '!$E$9:$I$9,M$17,'Annual WLC by Maturity Level '!$E41:$I41)</f>
        <v>0</v>
      </c>
      <c r="N23" s="224">
        <f>-N$18*SUMIF('Annual WLC by Maturity Level '!$E$9:$I$9,N$17,'Annual WLC by Maturity Level '!$E41:$I41)</f>
        <v>0</v>
      </c>
      <c r="O23" s="224">
        <f>-O$18*SUMIF('Annual WLC by Maturity Level '!$E$9:$I$9,O$17,'Annual WLC by Maturity Level '!$E41:$I41)</f>
        <v>0</v>
      </c>
      <c r="P23" s="224">
        <f>-P$18*SUMIF('Annual WLC by Maturity Level '!$E$9:$I$9,P$17,'Annual WLC by Maturity Level '!$E41:$I41)</f>
        <v>0</v>
      </c>
      <c r="Q23" s="224">
        <f>-Q$18*SUMIF('Annual WLC by Maturity Level '!$E$9:$I$9,Q$17,'Annual WLC by Maturity Level '!$E41:$I41)</f>
        <v>0</v>
      </c>
      <c r="R23" s="224">
        <f>-R$18*SUMIF('Annual WLC by Maturity Level '!$E$9:$I$9,R$17,'Annual WLC by Maturity Level '!$E41:$I41)</f>
        <v>0</v>
      </c>
      <c r="S23" s="224">
        <f>-S$18*SUMIF('Annual WLC by Maturity Level '!$E$9:$I$9,S$17,'Annual WLC by Maturity Level '!$E41:$I41)</f>
        <v>0</v>
      </c>
      <c r="T23" s="224">
        <f>-T$18*SUMIF('Annual WLC by Maturity Level '!$E$9:$I$9,T$17,'Annual WLC by Maturity Level '!$E41:$I41)</f>
        <v>0</v>
      </c>
      <c r="U23" s="224">
        <f>-U$18*SUMIF('Annual WLC by Maturity Level '!$E$9:$I$9,U$17,'Annual WLC by Maturity Level '!$E41:$I41)</f>
        <v>0</v>
      </c>
      <c r="V23" s="224">
        <f>-V$18*SUMIF('Annual WLC by Maturity Level '!$E$9:$I$9,V$17,'Annual WLC by Maturity Level '!$E41:$I41)</f>
        <v>0</v>
      </c>
      <c r="W23" s="224">
        <f>-W$18*SUMIF('Annual WLC by Maturity Level '!$E$9:$I$9,W$17,'Annual WLC by Maturity Level '!$E41:$I41)</f>
        <v>0</v>
      </c>
      <c r="X23" s="224">
        <f>-X$18*SUMIF('Annual WLC by Maturity Level '!$E$9:$I$9,X$17,'Annual WLC by Maturity Level '!$E41:$I41)</f>
        <v>0</v>
      </c>
      <c r="Y23" s="224">
        <f>-Y$18*SUMIF('Annual WLC by Maturity Level '!$E$9:$I$9,Y$17,'Annual WLC by Maturity Level '!$E41:$I41)</f>
        <v>0</v>
      </c>
      <c r="Z23" s="224">
        <f>-Z$18*SUMIF('Annual WLC by Maturity Level '!$E$9:$I$9,Z$17,'Annual WLC by Maturity Level '!$E41:$I41)</f>
        <v>0</v>
      </c>
      <c r="AA23" s="224">
        <f>-AA$18*SUMIF('Annual WLC by Maturity Level '!$E$9:$I$9,AA$17,'Annual WLC by Maturity Level '!$E41:$I41)</f>
        <v>0</v>
      </c>
    </row>
    <row r="24" spans="1:27" s="225" customFormat="1">
      <c r="A24" s="223" t="str">
        <f>'Asset Info'!$D$10</f>
        <v>NR Western</v>
      </c>
      <c r="B24" s="224">
        <f ca="1">-B$18*SUMIF('Annual WLC by Maturity Level '!$E$9:$I$9,B$17,'Annual WLC by Maturity Level '!$E42:$I42)</f>
        <v>-24500</v>
      </c>
      <c r="C24" s="224">
        <f ca="1">-C$18*SUMIF('Annual WLC by Maturity Level '!$E$9:$I$9,C$17,'Annual WLC by Maturity Level '!$E42:$I42)</f>
        <v>-24500</v>
      </c>
      <c r="D24" s="224">
        <f>-D$18*SUMIF('Annual WLC by Maturity Level '!$E$9:$I$9,D$17,'Annual WLC by Maturity Level '!$E42:$I42)</f>
        <v>0</v>
      </c>
      <c r="E24" s="224">
        <f>-E$18*SUMIF('Annual WLC by Maturity Level '!$E$9:$I$9,E$17,'Annual WLC by Maturity Level '!$E42:$I42)</f>
        <v>0</v>
      </c>
      <c r="F24" s="224">
        <f>-F$18*SUMIF('Annual WLC by Maturity Level '!$E$9:$I$9,F$17,'Annual WLC by Maturity Level '!$E42:$I42)</f>
        <v>0</v>
      </c>
      <c r="G24" s="224">
        <f>-G$18*SUMIF('Annual WLC by Maturity Level '!$E$9:$I$9,G$17,'Annual WLC by Maturity Level '!$E42:$I42)</f>
        <v>0</v>
      </c>
      <c r="H24" s="224">
        <f>-H$18*SUMIF('Annual WLC by Maturity Level '!$E$9:$I$9,H$17,'Annual WLC by Maturity Level '!$E42:$I42)</f>
        <v>0</v>
      </c>
      <c r="I24" s="224">
        <f>-I$18*SUMIF('Annual WLC by Maturity Level '!$E$9:$I$9,I$17,'Annual WLC by Maturity Level '!$E42:$I42)</f>
        <v>0</v>
      </c>
      <c r="J24" s="224">
        <f>-J$18*SUMIF('Annual WLC by Maturity Level '!$E$9:$I$9,J$17,'Annual WLC by Maturity Level '!$E42:$I42)</f>
        <v>0</v>
      </c>
      <c r="K24" s="224">
        <f>-K$18*SUMIF('Annual WLC by Maturity Level '!$E$9:$I$9,K$17,'Annual WLC by Maturity Level '!$E42:$I42)</f>
        <v>0</v>
      </c>
      <c r="L24" s="224">
        <f>-L$18*SUMIF('Annual WLC by Maturity Level '!$E$9:$I$9,L$17,'Annual WLC by Maturity Level '!$E42:$I42)</f>
        <v>0</v>
      </c>
      <c r="M24" s="224">
        <f>-M$18*SUMIF('Annual WLC by Maturity Level '!$E$9:$I$9,M$17,'Annual WLC by Maturity Level '!$E42:$I42)</f>
        <v>0</v>
      </c>
      <c r="N24" s="224">
        <f>-N$18*SUMIF('Annual WLC by Maturity Level '!$E$9:$I$9,N$17,'Annual WLC by Maturity Level '!$E42:$I42)</f>
        <v>0</v>
      </c>
      <c r="O24" s="224">
        <f>-O$18*SUMIF('Annual WLC by Maturity Level '!$E$9:$I$9,O$17,'Annual WLC by Maturity Level '!$E42:$I42)</f>
        <v>0</v>
      </c>
      <c r="P24" s="224">
        <f>-P$18*SUMIF('Annual WLC by Maturity Level '!$E$9:$I$9,P$17,'Annual WLC by Maturity Level '!$E42:$I42)</f>
        <v>0</v>
      </c>
      <c r="Q24" s="224">
        <f>-Q$18*SUMIF('Annual WLC by Maturity Level '!$E$9:$I$9,Q$17,'Annual WLC by Maturity Level '!$E42:$I42)</f>
        <v>0</v>
      </c>
      <c r="R24" s="224">
        <f>-R$18*SUMIF('Annual WLC by Maturity Level '!$E$9:$I$9,R$17,'Annual WLC by Maturity Level '!$E42:$I42)</f>
        <v>0</v>
      </c>
      <c r="S24" s="224">
        <f>-S$18*SUMIF('Annual WLC by Maturity Level '!$E$9:$I$9,S$17,'Annual WLC by Maturity Level '!$E42:$I42)</f>
        <v>0</v>
      </c>
      <c r="T24" s="224">
        <f>-T$18*SUMIF('Annual WLC by Maturity Level '!$E$9:$I$9,T$17,'Annual WLC by Maturity Level '!$E42:$I42)</f>
        <v>0</v>
      </c>
      <c r="U24" s="224">
        <f>-U$18*SUMIF('Annual WLC by Maturity Level '!$E$9:$I$9,U$17,'Annual WLC by Maturity Level '!$E42:$I42)</f>
        <v>0</v>
      </c>
      <c r="V24" s="224">
        <f>-V$18*SUMIF('Annual WLC by Maturity Level '!$E$9:$I$9,V$17,'Annual WLC by Maturity Level '!$E42:$I42)</f>
        <v>0</v>
      </c>
      <c r="W24" s="224">
        <f>-W$18*SUMIF('Annual WLC by Maturity Level '!$E$9:$I$9,W$17,'Annual WLC by Maturity Level '!$E42:$I42)</f>
        <v>0</v>
      </c>
      <c r="X24" s="224">
        <f>-X$18*SUMIF('Annual WLC by Maturity Level '!$E$9:$I$9,X$17,'Annual WLC by Maturity Level '!$E42:$I42)</f>
        <v>0</v>
      </c>
      <c r="Y24" s="224">
        <f>-Y$18*SUMIF('Annual WLC by Maturity Level '!$E$9:$I$9,Y$17,'Annual WLC by Maturity Level '!$E42:$I42)</f>
        <v>0</v>
      </c>
      <c r="Z24" s="224">
        <f>-Z$18*SUMIF('Annual WLC by Maturity Level '!$E$9:$I$9,Z$17,'Annual WLC by Maturity Level '!$E42:$I42)</f>
        <v>0</v>
      </c>
      <c r="AA24" s="224">
        <f>-AA$18*SUMIF('Annual WLC by Maturity Level '!$E$9:$I$9,AA$17,'Annual WLC by Maturity Level '!$E42:$I42)</f>
        <v>0</v>
      </c>
    </row>
    <row r="25" spans="1:27" s="225" customFormat="1">
      <c r="A25" s="223" t="str">
        <f>'Asset Info'!$E$10</f>
        <v>Balfour Beatty</v>
      </c>
      <c r="B25" s="224">
        <f ca="1">-B$18*SUMIF('Annual WLC by Maturity Level '!$E$9:$I$9,B$17,'Annual WLC by Maturity Level '!$E43:$I43)</f>
        <v>0</v>
      </c>
      <c r="C25" s="224">
        <f ca="1">-C$18*SUMIF('Annual WLC by Maturity Level '!$E$9:$I$9,C$17,'Annual WLC by Maturity Level '!$E43:$I43)</f>
        <v>0</v>
      </c>
      <c r="D25" s="224">
        <f>-D$18*SUMIF('Annual WLC by Maturity Level '!$E$9:$I$9,D$17,'Annual WLC by Maturity Level '!$E43:$I43)</f>
        <v>0</v>
      </c>
      <c r="E25" s="224">
        <f>-E$18*SUMIF('Annual WLC by Maturity Level '!$E$9:$I$9,E$17,'Annual WLC by Maturity Level '!$E43:$I43)</f>
        <v>0</v>
      </c>
      <c r="F25" s="224">
        <f>-F$18*SUMIF('Annual WLC by Maturity Level '!$E$9:$I$9,F$17,'Annual WLC by Maturity Level '!$E43:$I43)</f>
        <v>0</v>
      </c>
      <c r="G25" s="224">
        <f>-G$18*SUMIF('Annual WLC by Maturity Level '!$E$9:$I$9,G$17,'Annual WLC by Maturity Level '!$E43:$I43)</f>
        <v>0</v>
      </c>
      <c r="H25" s="224">
        <f>-H$18*SUMIF('Annual WLC by Maturity Level '!$E$9:$I$9,H$17,'Annual WLC by Maturity Level '!$E43:$I43)</f>
        <v>0</v>
      </c>
      <c r="I25" s="224">
        <f>-I$18*SUMIF('Annual WLC by Maturity Level '!$E$9:$I$9,I$17,'Annual WLC by Maturity Level '!$E43:$I43)</f>
        <v>0</v>
      </c>
      <c r="J25" s="224">
        <f>-J$18*SUMIF('Annual WLC by Maturity Level '!$E$9:$I$9,J$17,'Annual WLC by Maturity Level '!$E43:$I43)</f>
        <v>0</v>
      </c>
      <c r="K25" s="224">
        <f>-K$18*SUMIF('Annual WLC by Maturity Level '!$E$9:$I$9,K$17,'Annual WLC by Maturity Level '!$E43:$I43)</f>
        <v>0</v>
      </c>
      <c r="L25" s="224">
        <f>-L$18*SUMIF('Annual WLC by Maturity Level '!$E$9:$I$9,L$17,'Annual WLC by Maturity Level '!$E43:$I43)</f>
        <v>0</v>
      </c>
      <c r="M25" s="224">
        <f>-M$18*SUMIF('Annual WLC by Maturity Level '!$E$9:$I$9,M$17,'Annual WLC by Maturity Level '!$E43:$I43)</f>
        <v>0</v>
      </c>
      <c r="N25" s="224">
        <f>-N$18*SUMIF('Annual WLC by Maturity Level '!$E$9:$I$9,N$17,'Annual WLC by Maturity Level '!$E43:$I43)</f>
        <v>0</v>
      </c>
      <c r="O25" s="224">
        <f>-O$18*SUMIF('Annual WLC by Maturity Level '!$E$9:$I$9,O$17,'Annual WLC by Maturity Level '!$E43:$I43)</f>
        <v>0</v>
      </c>
      <c r="P25" s="224">
        <f>-P$18*SUMIF('Annual WLC by Maturity Level '!$E$9:$I$9,P$17,'Annual WLC by Maturity Level '!$E43:$I43)</f>
        <v>0</v>
      </c>
      <c r="Q25" s="224">
        <f>-Q$18*SUMIF('Annual WLC by Maturity Level '!$E$9:$I$9,Q$17,'Annual WLC by Maturity Level '!$E43:$I43)</f>
        <v>0</v>
      </c>
      <c r="R25" s="224">
        <f>-R$18*SUMIF('Annual WLC by Maturity Level '!$E$9:$I$9,R$17,'Annual WLC by Maturity Level '!$E43:$I43)</f>
        <v>0</v>
      </c>
      <c r="S25" s="224">
        <f>-S$18*SUMIF('Annual WLC by Maturity Level '!$E$9:$I$9,S$17,'Annual WLC by Maturity Level '!$E43:$I43)</f>
        <v>0</v>
      </c>
      <c r="T25" s="224">
        <f>-T$18*SUMIF('Annual WLC by Maturity Level '!$E$9:$I$9,T$17,'Annual WLC by Maturity Level '!$E43:$I43)</f>
        <v>0</v>
      </c>
      <c r="U25" s="224">
        <f>-U$18*SUMIF('Annual WLC by Maturity Level '!$E$9:$I$9,U$17,'Annual WLC by Maturity Level '!$E43:$I43)</f>
        <v>0</v>
      </c>
      <c r="V25" s="224">
        <f>-V$18*SUMIF('Annual WLC by Maturity Level '!$E$9:$I$9,V$17,'Annual WLC by Maturity Level '!$E43:$I43)</f>
        <v>0</v>
      </c>
      <c r="W25" s="224">
        <f>-W$18*SUMIF('Annual WLC by Maturity Level '!$E$9:$I$9,W$17,'Annual WLC by Maturity Level '!$E43:$I43)</f>
        <v>0</v>
      </c>
      <c r="X25" s="224">
        <f>-X$18*SUMIF('Annual WLC by Maturity Level '!$E$9:$I$9,X$17,'Annual WLC by Maturity Level '!$E43:$I43)</f>
        <v>0</v>
      </c>
      <c r="Y25" s="224">
        <f>-Y$18*SUMIF('Annual WLC by Maturity Level '!$E$9:$I$9,Y$17,'Annual WLC by Maturity Level '!$E43:$I43)</f>
        <v>0</v>
      </c>
      <c r="Z25" s="224">
        <f>-Z$18*SUMIF('Annual WLC by Maturity Level '!$E$9:$I$9,Z$17,'Annual WLC by Maturity Level '!$E43:$I43)</f>
        <v>0</v>
      </c>
      <c r="AA25" s="224">
        <f>-AA$18*SUMIF('Annual WLC by Maturity Level '!$E$9:$I$9,AA$17,'Annual WLC by Maturity Level '!$E43:$I43)</f>
        <v>0</v>
      </c>
    </row>
    <row r="26" spans="1:27" s="225" customFormat="1">
      <c r="A26" s="223" t="str">
        <f>'Asset Info'!$F$10</f>
        <v>RSSB</v>
      </c>
      <c r="B26" s="224">
        <f ca="1">-B$18*SUMIF('Annual WLC by Maturity Level '!$E$9:$I$9,B$17,'Annual WLC by Maturity Level '!$E44:$I44)</f>
        <v>-10500</v>
      </c>
      <c r="C26" s="224">
        <f ca="1">-C$18*SUMIF('Annual WLC by Maturity Level '!$E$9:$I$9,C$17,'Annual WLC by Maturity Level '!$E44:$I44)</f>
        <v>-10500</v>
      </c>
      <c r="D26" s="224">
        <f>-D$18*SUMIF('Annual WLC by Maturity Level '!$E$9:$I$9,D$17,'Annual WLC by Maturity Level '!$E44:$I44)</f>
        <v>0</v>
      </c>
      <c r="E26" s="224">
        <f>-E$18*SUMIF('Annual WLC by Maturity Level '!$E$9:$I$9,E$17,'Annual WLC by Maturity Level '!$E44:$I44)</f>
        <v>0</v>
      </c>
      <c r="F26" s="224">
        <f>-F$18*SUMIF('Annual WLC by Maturity Level '!$E$9:$I$9,F$17,'Annual WLC by Maturity Level '!$E44:$I44)</f>
        <v>0</v>
      </c>
      <c r="G26" s="224">
        <f>-G$18*SUMIF('Annual WLC by Maturity Level '!$E$9:$I$9,G$17,'Annual WLC by Maturity Level '!$E44:$I44)</f>
        <v>0</v>
      </c>
      <c r="H26" s="224">
        <f>-H$18*SUMIF('Annual WLC by Maturity Level '!$E$9:$I$9,H$17,'Annual WLC by Maturity Level '!$E44:$I44)</f>
        <v>0</v>
      </c>
      <c r="I26" s="224">
        <f>-I$18*SUMIF('Annual WLC by Maturity Level '!$E$9:$I$9,I$17,'Annual WLC by Maturity Level '!$E44:$I44)</f>
        <v>0</v>
      </c>
      <c r="J26" s="224">
        <f>-J$18*SUMIF('Annual WLC by Maturity Level '!$E$9:$I$9,J$17,'Annual WLC by Maturity Level '!$E44:$I44)</f>
        <v>0</v>
      </c>
      <c r="K26" s="224">
        <f>-K$18*SUMIF('Annual WLC by Maturity Level '!$E$9:$I$9,K$17,'Annual WLC by Maturity Level '!$E44:$I44)</f>
        <v>0</v>
      </c>
      <c r="L26" s="224">
        <f>-L$18*SUMIF('Annual WLC by Maturity Level '!$E$9:$I$9,L$17,'Annual WLC by Maturity Level '!$E44:$I44)</f>
        <v>0</v>
      </c>
      <c r="M26" s="224">
        <f>-M$18*SUMIF('Annual WLC by Maturity Level '!$E$9:$I$9,M$17,'Annual WLC by Maturity Level '!$E44:$I44)</f>
        <v>0</v>
      </c>
      <c r="N26" s="224">
        <f>-N$18*SUMIF('Annual WLC by Maturity Level '!$E$9:$I$9,N$17,'Annual WLC by Maturity Level '!$E44:$I44)</f>
        <v>0</v>
      </c>
      <c r="O26" s="224">
        <f>-O$18*SUMIF('Annual WLC by Maturity Level '!$E$9:$I$9,O$17,'Annual WLC by Maturity Level '!$E44:$I44)</f>
        <v>0</v>
      </c>
      <c r="P26" s="224">
        <f>-P$18*SUMIF('Annual WLC by Maturity Level '!$E$9:$I$9,P$17,'Annual WLC by Maturity Level '!$E44:$I44)</f>
        <v>0</v>
      </c>
      <c r="Q26" s="224">
        <f>-Q$18*SUMIF('Annual WLC by Maturity Level '!$E$9:$I$9,Q$17,'Annual WLC by Maturity Level '!$E44:$I44)</f>
        <v>0</v>
      </c>
      <c r="R26" s="224">
        <f>-R$18*SUMIF('Annual WLC by Maturity Level '!$E$9:$I$9,R$17,'Annual WLC by Maturity Level '!$E44:$I44)</f>
        <v>0</v>
      </c>
      <c r="S26" s="224">
        <f>-S$18*SUMIF('Annual WLC by Maturity Level '!$E$9:$I$9,S$17,'Annual WLC by Maturity Level '!$E44:$I44)</f>
        <v>0</v>
      </c>
      <c r="T26" s="224">
        <f>-T$18*SUMIF('Annual WLC by Maturity Level '!$E$9:$I$9,T$17,'Annual WLC by Maturity Level '!$E44:$I44)</f>
        <v>0</v>
      </c>
      <c r="U26" s="224">
        <f>-U$18*SUMIF('Annual WLC by Maturity Level '!$E$9:$I$9,U$17,'Annual WLC by Maturity Level '!$E44:$I44)</f>
        <v>0</v>
      </c>
      <c r="V26" s="224">
        <f>-V$18*SUMIF('Annual WLC by Maturity Level '!$E$9:$I$9,V$17,'Annual WLC by Maturity Level '!$E44:$I44)</f>
        <v>0</v>
      </c>
      <c r="W26" s="224">
        <f>-W$18*SUMIF('Annual WLC by Maturity Level '!$E$9:$I$9,W$17,'Annual WLC by Maturity Level '!$E44:$I44)</f>
        <v>0</v>
      </c>
      <c r="X26" s="224">
        <f>-X$18*SUMIF('Annual WLC by Maturity Level '!$E$9:$I$9,X$17,'Annual WLC by Maturity Level '!$E44:$I44)</f>
        <v>0</v>
      </c>
      <c r="Y26" s="224">
        <f>-Y$18*SUMIF('Annual WLC by Maturity Level '!$E$9:$I$9,Y$17,'Annual WLC by Maturity Level '!$E44:$I44)</f>
        <v>0</v>
      </c>
      <c r="Z26" s="224">
        <f>-Z$18*SUMIF('Annual WLC by Maturity Level '!$E$9:$I$9,Z$17,'Annual WLC by Maturity Level '!$E44:$I44)</f>
        <v>0</v>
      </c>
      <c r="AA26" s="224">
        <f>-AA$18*SUMIF('Annual WLC by Maturity Level '!$E$9:$I$9,AA$17,'Annual WLC by Maturity Level '!$E44:$I44)</f>
        <v>0</v>
      </c>
    </row>
    <row r="27" spans="1:27" s="53" customFormat="1">
      <c r="A27" s="150" t="s">
        <v>178</v>
      </c>
      <c r="B27" s="149">
        <f ca="1">-B$18*SUMIF('Annual WLC by Maturity Level '!$E$9:$I$9,B$17,'Annual WLC by Maturity Level '!$E$40:$I$40)</f>
        <v>-35000</v>
      </c>
      <c r="C27" s="149">
        <f ca="1">1/(1+'Financial Data'!$C$8)^C14*C22</f>
        <v>-33816.425120772947</v>
      </c>
      <c r="D27" s="149">
        <f>1/(1+'Financial Data'!$C$8)^D14*D22</f>
        <v>0</v>
      </c>
      <c r="E27" s="149">
        <f>1/(1+'Financial Data'!$C$8)^E14*E22</f>
        <v>0</v>
      </c>
      <c r="F27" s="149">
        <f>1/(1+'Financial Data'!$C$8)^F14*F22</f>
        <v>0</v>
      </c>
      <c r="G27" s="149">
        <f>1/(1+'Financial Data'!$C$8)^G14*G22</f>
        <v>0</v>
      </c>
      <c r="H27" s="149">
        <f>1/(1+'Financial Data'!$C$8)^H14*H22</f>
        <v>0</v>
      </c>
      <c r="I27" s="149">
        <f>1/(1+'Financial Data'!$C$8)^I14*I22</f>
        <v>0</v>
      </c>
      <c r="J27" s="149">
        <f>1/(1+'Financial Data'!$C$8)^J14*J22</f>
        <v>0</v>
      </c>
      <c r="K27" s="149">
        <f>1/(1+'Financial Data'!$C$8)^K14*K22</f>
        <v>0</v>
      </c>
      <c r="L27" s="149">
        <f>1/(1+'Financial Data'!$C$8)^L14*L22</f>
        <v>0</v>
      </c>
      <c r="M27" s="149">
        <f>1/(1+'Financial Data'!$C$8)^M14*M22</f>
        <v>0</v>
      </c>
      <c r="N27" s="149">
        <f>1/(1+'Financial Data'!$C$8)^N14*N22</f>
        <v>0</v>
      </c>
      <c r="O27" s="149">
        <f>1/(1+'Financial Data'!$C$8)^O14*O22</f>
        <v>0</v>
      </c>
      <c r="P27" s="149">
        <f>1/(1+'Financial Data'!$C$8)^P14*P22</f>
        <v>0</v>
      </c>
      <c r="Q27" s="149">
        <f>1/(1+'Financial Data'!$C$8)^Q14*Q22</f>
        <v>0</v>
      </c>
      <c r="R27" s="149">
        <f>1/(1+'Financial Data'!$C$8)^R14*R22</f>
        <v>0</v>
      </c>
      <c r="S27" s="149">
        <f>1/(1+'Financial Data'!$C$8)^S14*S22</f>
        <v>0</v>
      </c>
      <c r="T27" s="149">
        <f>1/(1+'Financial Data'!$C$8)^T14*T22</f>
        <v>0</v>
      </c>
      <c r="U27" s="149">
        <f>1/(1+'Financial Data'!$C$8)^U14*U22</f>
        <v>0</v>
      </c>
      <c r="V27" s="149">
        <f>1/(1+'Financial Data'!$C$8)^V14*V22</f>
        <v>0</v>
      </c>
      <c r="W27" s="149">
        <f>1/(1+'Financial Data'!$C$8)^W14*W22</f>
        <v>0</v>
      </c>
      <c r="X27" s="149">
        <f>1/(1+'Financial Data'!$C$8)^X14*X22</f>
        <v>0</v>
      </c>
      <c r="Y27" s="149">
        <f>1/(1+'Financial Data'!$C$8)^Y14*Y22</f>
        <v>0</v>
      </c>
      <c r="Z27" s="149">
        <f>1/(1+'Financial Data'!$C$8)^Z14*Z22</f>
        <v>0</v>
      </c>
      <c r="AA27" s="149">
        <f>1/(1+'Financial Data'!$C$8)^AA14*AA22</f>
        <v>0</v>
      </c>
    </row>
    <row r="28" spans="1:27" s="225" customFormat="1">
      <c r="A28" s="223" t="str">
        <f>'Asset Info'!$C$10</f>
        <v>Crossrail</v>
      </c>
      <c r="B28" s="224">
        <f ca="1">-B$18*SUMIF('Annual WLC by Maturity Level '!$E$9:$I$9,B$17,'Annual WLC by Maturity Level '!$E41:$I41)</f>
        <v>0</v>
      </c>
      <c r="C28" s="224">
        <f ca="1">1/(1+'Financial Data'!$C$8)^C$14*C23</f>
        <v>0</v>
      </c>
      <c r="D28" s="224">
        <f>1/(1+'Financial Data'!$C$8)^D$14*D23</f>
        <v>0</v>
      </c>
      <c r="E28" s="224">
        <f>1/(1+'Financial Data'!$C$8)^E$14*E23</f>
        <v>0</v>
      </c>
      <c r="F28" s="224">
        <f>1/(1+'Financial Data'!$C$8)^F$14*F23</f>
        <v>0</v>
      </c>
      <c r="G28" s="224">
        <f>1/(1+'Financial Data'!$C$8)^G$14*G23</f>
        <v>0</v>
      </c>
      <c r="H28" s="224">
        <f>1/(1+'Financial Data'!$C$8)^H$14*H23</f>
        <v>0</v>
      </c>
      <c r="I28" s="224">
        <f>1/(1+'Financial Data'!$C$8)^I$14*I23</f>
        <v>0</v>
      </c>
      <c r="J28" s="224">
        <f>1/(1+'Financial Data'!$C$8)^J$14*J23</f>
        <v>0</v>
      </c>
      <c r="K28" s="224">
        <f>1/(1+'Financial Data'!$C$8)^K$14*K23</f>
        <v>0</v>
      </c>
      <c r="L28" s="224">
        <f>1/(1+'Financial Data'!$C$8)^L$14*L23</f>
        <v>0</v>
      </c>
      <c r="M28" s="224">
        <f>1/(1+'Financial Data'!$C$8)^M$14*M23</f>
        <v>0</v>
      </c>
      <c r="N28" s="224">
        <f>1/(1+'Financial Data'!$C$8)^N$14*N23</f>
        <v>0</v>
      </c>
      <c r="O28" s="224">
        <f>1/(1+'Financial Data'!$C$8)^O$14*O23</f>
        <v>0</v>
      </c>
      <c r="P28" s="224">
        <f>1/(1+'Financial Data'!$C$8)^P$14*P23</f>
        <v>0</v>
      </c>
      <c r="Q28" s="224">
        <f>1/(1+'Financial Data'!$C$8)^Q$14*Q23</f>
        <v>0</v>
      </c>
      <c r="R28" s="224">
        <f>1/(1+'Financial Data'!$C$8)^R$14*R23</f>
        <v>0</v>
      </c>
      <c r="S28" s="224">
        <f>1/(1+'Financial Data'!$C$8)^S$14*S23</f>
        <v>0</v>
      </c>
      <c r="T28" s="224">
        <f>1/(1+'Financial Data'!$C$8)^T$14*T23</f>
        <v>0</v>
      </c>
      <c r="U28" s="224">
        <f>1/(1+'Financial Data'!$C$8)^U$14*U23</f>
        <v>0</v>
      </c>
      <c r="V28" s="224">
        <f>1/(1+'Financial Data'!$C$8)^V$14*V23</f>
        <v>0</v>
      </c>
      <c r="W28" s="224">
        <f>1/(1+'Financial Data'!$C$8)^W$14*W23</f>
        <v>0</v>
      </c>
      <c r="X28" s="224">
        <f>1/(1+'Financial Data'!$C$8)^X$14*X23</f>
        <v>0</v>
      </c>
      <c r="Y28" s="224">
        <f>1/(1+'Financial Data'!$C$8)^Y$14*Y23</f>
        <v>0</v>
      </c>
      <c r="Z28" s="224">
        <f>1/(1+'Financial Data'!$C$8)^Z$14*Z23</f>
        <v>0</v>
      </c>
      <c r="AA28" s="224">
        <f>1/(1+'Financial Data'!$C$8)^AA$14*AA23</f>
        <v>0</v>
      </c>
    </row>
    <row r="29" spans="1:27" s="225" customFormat="1">
      <c r="A29" s="223" t="str">
        <f>'Asset Info'!$D$10</f>
        <v>NR Western</v>
      </c>
      <c r="B29" s="224">
        <f ca="1">-B$18*SUMIF('Annual WLC by Maturity Level '!$E$9:$I$9,B$17,'Annual WLC by Maturity Level '!$E42:$I42)</f>
        <v>-24500</v>
      </c>
      <c r="C29" s="224">
        <f ca="1">1/(1+'Financial Data'!$C$8)^C$14*C24</f>
        <v>-23671.497584541066</v>
      </c>
      <c r="D29" s="224">
        <f>1/(1+'Financial Data'!$C$8)^D$14*D24</f>
        <v>0</v>
      </c>
      <c r="E29" s="224">
        <f>1/(1+'Financial Data'!$C$8)^E$14*E24</f>
        <v>0</v>
      </c>
      <c r="F29" s="224">
        <f>1/(1+'Financial Data'!$C$8)^F$14*F24</f>
        <v>0</v>
      </c>
      <c r="G29" s="224">
        <f>1/(1+'Financial Data'!$C$8)^G$14*G24</f>
        <v>0</v>
      </c>
      <c r="H29" s="224">
        <f>1/(1+'Financial Data'!$C$8)^H$14*H24</f>
        <v>0</v>
      </c>
      <c r="I29" s="224">
        <f>1/(1+'Financial Data'!$C$8)^I$14*I24</f>
        <v>0</v>
      </c>
      <c r="J29" s="224">
        <f>1/(1+'Financial Data'!$C$8)^J$14*J24</f>
        <v>0</v>
      </c>
      <c r="K29" s="224">
        <f>1/(1+'Financial Data'!$C$8)^K$14*K24</f>
        <v>0</v>
      </c>
      <c r="L29" s="224">
        <f>1/(1+'Financial Data'!$C$8)^L$14*L24</f>
        <v>0</v>
      </c>
      <c r="M29" s="224">
        <f>1/(1+'Financial Data'!$C$8)^M$14*M24</f>
        <v>0</v>
      </c>
      <c r="N29" s="224">
        <f>1/(1+'Financial Data'!$C$8)^N$14*N24</f>
        <v>0</v>
      </c>
      <c r="O29" s="224">
        <f>1/(1+'Financial Data'!$C$8)^O$14*O24</f>
        <v>0</v>
      </c>
      <c r="P29" s="224">
        <f>1/(1+'Financial Data'!$C$8)^P$14*P24</f>
        <v>0</v>
      </c>
      <c r="Q29" s="224">
        <f>1/(1+'Financial Data'!$C$8)^Q$14*Q24</f>
        <v>0</v>
      </c>
      <c r="R29" s="224">
        <f>1/(1+'Financial Data'!$C$8)^R$14*R24</f>
        <v>0</v>
      </c>
      <c r="S29" s="224">
        <f>1/(1+'Financial Data'!$C$8)^S$14*S24</f>
        <v>0</v>
      </c>
      <c r="T29" s="224">
        <f>1/(1+'Financial Data'!$C$8)^T$14*T24</f>
        <v>0</v>
      </c>
      <c r="U29" s="224">
        <f>1/(1+'Financial Data'!$C$8)^U$14*U24</f>
        <v>0</v>
      </c>
      <c r="V29" s="224">
        <f>1/(1+'Financial Data'!$C$8)^V$14*V24</f>
        <v>0</v>
      </c>
      <c r="W29" s="224">
        <f>1/(1+'Financial Data'!$C$8)^W$14*W24</f>
        <v>0</v>
      </c>
      <c r="X29" s="224">
        <f>1/(1+'Financial Data'!$C$8)^X$14*X24</f>
        <v>0</v>
      </c>
      <c r="Y29" s="224">
        <f>1/(1+'Financial Data'!$C$8)^Y$14*Y24</f>
        <v>0</v>
      </c>
      <c r="Z29" s="224">
        <f>1/(1+'Financial Data'!$C$8)^Z$14*Z24</f>
        <v>0</v>
      </c>
      <c r="AA29" s="224">
        <f>1/(1+'Financial Data'!$C$8)^AA$14*AA24</f>
        <v>0</v>
      </c>
    </row>
    <row r="30" spans="1:27" s="225" customFormat="1">
      <c r="A30" s="223" t="str">
        <f>'Asset Info'!$E$10</f>
        <v>Balfour Beatty</v>
      </c>
      <c r="B30" s="224">
        <f ca="1">-B$18*SUMIF('Annual WLC by Maturity Level '!$E$9:$I$9,B$17,'Annual WLC by Maturity Level '!$E43:$I43)</f>
        <v>0</v>
      </c>
      <c r="C30" s="224">
        <f ca="1">1/(1+'Financial Data'!$C$8)^C$14*C25</f>
        <v>0</v>
      </c>
      <c r="D30" s="224">
        <f>1/(1+'Financial Data'!$C$8)^D$14*D25</f>
        <v>0</v>
      </c>
      <c r="E30" s="224">
        <f>1/(1+'Financial Data'!$C$8)^E$14*E25</f>
        <v>0</v>
      </c>
      <c r="F30" s="224">
        <f>1/(1+'Financial Data'!$C$8)^F$14*F25</f>
        <v>0</v>
      </c>
      <c r="G30" s="224">
        <f>1/(1+'Financial Data'!$C$8)^G$14*G25</f>
        <v>0</v>
      </c>
      <c r="H30" s="224">
        <f>1/(1+'Financial Data'!$C$8)^H$14*H25</f>
        <v>0</v>
      </c>
      <c r="I30" s="224">
        <f>1/(1+'Financial Data'!$C$8)^I$14*I25</f>
        <v>0</v>
      </c>
      <c r="J30" s="224">
        <f>1/(1+'Financial Data'!$C$8)^J$14*J25</f>
        <v>0</v>
      </c>
      <c r="K30" s="224">
        <f>1/(1+'Financial Data'!$C$8)^K$14*K25</f>
        <v>0</v>
      </c>
      <c r="L30" s="224">
        <f>1/(1+'Financial Data'!$C$8)^L$14*L25</f>
        <v>0</v>
      </c>
      <c r="M30" s="224">
        <f>1/(1+'Financial Data'!$C$8)^M$14*M25</f>
        <v>0</v>
      </c>
      <c r="N30" s="224">
        <f>1/(1+'Financial Data'!$C$8)^N$14*N25</f>
        <v>0</v>
      </c>
      <c r="O30" s="224">
        <f>1/(1+'Financial Data'!$C$8)^O$14*O25</f>
        <v>0</v>
      </c>
      <c r="P30" s="224">
        <f>1/(1+'Financial Data'!$C$8)^P$14*P25</f>
        <v>0</v>
      </c>
      <c r="Q30" s="224">
        <f>1/(1+'Financial Data'!$C$8)^Q$14*Q25</f>
        <v>0</v>
      </c>
      <c r="R30" s="224">
        <f>1/(1+'Financial Data'!$C$8)^R$14*R25</f>
        <v>0</v>
      </c>
      <c r="S30" s="224">
        <f>1/(1+'Financial Data'!$C$8)^S$14*S25</f>
        <v>0</v>
      </c>
      <c r="T30" s="224">
        <f>1/(1+'Financial Data'!$C$8)^T$14*T25</f>
        <v>0</v>
      </c>
      <c r="U30" s="224">
        <f>1/(1+'Financial Data'!$C$8)^U$14*U25</f>
        <v>0</v>
      </c>
      <c r="V30" s="224">
        <f>1/(1+'Financial Data'!$C$8)^V$14*V25</f>
        <v>0</v>
      </c>
      <c r="W30" s="224">
        <f>1/(1+'Financial Data'!$C$8)^W$14*W25</f>
        <v>0</v>
      </c>
      <c r="X30" s="224">
        <f>1/(1+'Financial Data'!$C$8)^X$14*X25</f>
        <v>0</v>
      </c>
      <c r="Y30" s="224">
        <f>1/(1+'Financial Data'!$C$8)^Y$14*Y25</f>
        <v>0</v>
      </c>
      <c r="Z30" s="224">
        <f>1/(1+'Financial Data'!$C$8)^Z$14*Z25</f>
        <v>0</v>
      </c>
      <c r="AA30" s="224">
        <f>1/(1+'Financial Data'!$C$8)^AA$14*AA25</f>
        <v>0</v>
      </c>
    </row>
    <row r="31" spans="1:27" s="225" customFormat="1">
      <c r="A31" s="223" t="str">
        <f>'Asset Info'!$F$10</f>
        <v>RSSB</v>
      </c>
      <c r="B31" s="224">
        <f ca="1">-B$18*SUMIF('Annual WLC by Maturity Level '!$E$9:$I$9,B$17,'Annual WLC by Maturity Level '!$E44:$I44)</f>
        <v>-10500</v>
      </c>
      <c r="C31" s="224">
        <f ca="1">1/(1+'Financial Data'!$C$8)^C$14*C26</f>
        <v>-10144.927536231884</v>
      </c>
      <c r="D31" s="224">
        <f>1/(1+'Financial Data'!$C$8)^D$14*D26</f>
        <v>0</v>
      </c>
      <c r="E31" s="224">
        <f>1/(1+'Financial Data'!$C$8)^E$14*E26</f>
        <v>0</v>
      </c>
      <c r="F31" s="224">
        <f>1/(1+'Financial Data'!$C$8)^F$14*F26</f>
        <v>0</v>
      </c>
      <c r="G31" s="224">
        <f>1/(1+'Financial Data'!$C$8)^G$14*G26</f>
        <v>0</v>
      </c>
      <c r="H31" s="224">
        <f>1/(1+'Financial Data'!$C$8)^H$14*H26</f>
        <v>0</v>
      </c>
      <c r="I31" s="224">
        <f>1/(1+'Financial Data'!$C$8)^I$14*I26</f>
        <v>0</v>
      </c>
      <c r="J31" s="224">
        <f>1/(1+'Financial Data'!$C$8)^J$14*J26</f>
        <v>0</v>
      </c>
      <c r="K31" s="224">
        <f>1/(1+'Financial Data'!$C$8)^K$14*K26</f>
        <v>0</v>
      </c>
      <c r="L31" s="224">
        <f>1/(1+'Financial Data'!$C$8)^L$14*L26</f>
        <v>0</v>
      </c>
      <c r="M31" s="224">
        <f>1/(1+'Financial Data'!$C$8)^M$14*M26</f>
        <v>0</v>
      </c>
      <c r="N31" s="224">
        <f>1/(1+'Financial Data'!$C$8)^N$14*N26</f>
        <v>0</v>
      </c>
      <c r="O31" s="224">
        <f>1/(1+'Financial Data'!$C$8)^O$14*O26</f>
        <v>0</v>
      </c>
      <c r="P31" s="224">
        <f>1/(1+'Financial Data'!$C$8)^P$14*P26</f>
        <v>0</v>
      </c>
      <c r="Q31" s="224">
        <f>1/(1+'Financial Data'!$C$8)^Q$14*Q26</f>
        <v>0</v>
      </c>
      <c r="R31" s="224">
        <f>1/(1+'Financial Data'!$C$8)^R$14*R26</f>
        <v>0</v>
      </c>
      <c r="S31" s="224">
        <f>1/(1+'Financial Data'!$C$8)^S$14*S26</f>
        <v>0</v>
      </c>
      <c r="T31" s="224">
        <f>1/(1+'Financial Data'!$C$8)^T$14*T26</f>
        <v>0</v>
      </c>
      <c r="U31" s="224">
        <f>1/(1+'Financial Data'!$C$8)^U$14*U26</f>
        <v>0</v>
      </c>
      <c r="V31" s="224">
        <f>1/(1+'Financial Data'!$C$8)^V$14*V26</f>
        <v>0</v>
      </c>
      <c r="W31" s="224">
        <f>1/(1+'Financial Data'!$C$8)^W$14*W26</f>
        <v>0</v>
      </c>
      <c r="X31" s="224">
        <f>1/(1+'Financial Data'!$C$8)^X$14*X26</f>
        <v>0</v>
      </c>
      <c r="Y31" s="224">
        <f>1/(1+'Financial Data'!$C$8)^Y$14*Y26</f>
        <v>0</v>
      </c>
      <c r="Z31" s="224">
        <f>1/(1+'Financial Data'!$C$8)^Z$14*Z26</f>
        <v>0</v>
      </c>
      <c r="AA31" s="224">
        <f>1/(1+'Financial Data'!$C$8)^AA$14*AA26</f>
        <v>0</v>
      </c>
    </row>
    <row r="32" spans="1:27">
      <c r="A32" s="22"/>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s="53" customFormat="1">
      <c r="A33" s="151" t="s">
        <v>143</v>
      </c>
      <c r="B33" s="149">
        <f ca="1">-'Annual WLC by Maturity Level '!$C$34
+B$18*INDEX('Annual WLC by Maturity Level '!$E$84:$I$84,MATCH(B$17,'Annual WLC by Maturity Level '!$E$9:$I$9,FALSE))</f>
        <v>-9947253.459999999</v>
      </c>
      <c r="C33" s="149">
        <f ca="1">B33
+C$18*INDEX('Annual WLC by Maturity Level '!$E84:$I84,MATCH(C$17,'Annual WLC by Maturity Level '!$E$9:$I$9,FALSE))</f>
        <v>-9945144.5699999984</v>
      </c>
      <c r="D33" s="149">
        <f ca="1">C33
+D18*INDEX('Annual WLC by Maturity Level '!$E$84:$I$84,MATCH(D17,'Annual WLC by Maturity Level '!$E$9:$I$9,FALSE))</f>
        <v>-9945144.5699999984</v>
      </c>
      <c r="E33" s="149">
        <f ca="1">D33
+E18*INDEX('Annual WLC by Maturity Level '!$E$84:$I$84,MATCH(E17,'Annual WLC by Maturity Level '!$E$9:$I$9,FALSE))</f>
        <v>-9945144.5699999984</v>
      </c>
      <c r="F33" s="149">
        <f ca="1">E33
+F18*INDEX('Annual WLC by Maturity Level '!$E$84:$I$84,MATCH(F17,'Annual WLC by Maturity Level '!$E$9:$I$9,FALSE))</f>
        <v>-9945144.5699999984</v>
      </c>
      <c r="G33" s="149">
        <f ca="1">F33
+G18*INDEX('Annual WLC by Maturity Level '!$E$84:$I$84,MATCH(G17,'Annual WLC by Maturity Level '!$E$9:$I$9,FALSE))</f>
        <v>-9945144.5699999984</v>
      </c>
      <c r="H33" s="149">
        <f ca="1">G33
+H18*INDEX('Annual WLC by Maturity Level '!$E$84:$I$84,MATCH(H17,'Annual WLC by Maturity Level '!$E$9:$I$9,FALSE))</f>
        <v>-9945144.5699999984</v>
      </c>
      <c r="I33" s="149">
        <f ca="1">H33
+I18*INDEX('Annual WLC by Maturity Level '!$E$84:$I$84,MATCH(I17,'Annual WLC by Maturity Level '!$E$9:$I$9,FALSE))</f>
        <v>-9945144.5699999984</v>
      </c>
      <c r="J33" s="149">
        <f ca="1">I33
+J18*INDEX('Annual WLC by Maturity Level '!$E$84:$I$84,MATCH(J17,'Annual WLC by Maturity Level '!$E$9:$I$9,FALSE))</f>
        <v>-9945144.5699999984</v>
      </c>
      <c r="K33" s="149">
        <f ca="1">J33
+K18*INDEX('Annual WLC by Maturity Level '!$E$84:$I$84,MATCH(K17,'Annual WLC by Maturity Level '!$E$9:$I$9,FALSE))</f>
        <v>-9945144.5699999984</v>
      </c>
      <c r="L33" s="149">
        <f ca="1">K33
+L18*INDEX('Annual WLC by Maturity Level '!$E$84:$I$84,MATCH(L17,'Annual WLC by Maturity Level '!$E$9:$I$9,FALSE))</f>
        <v>-9945144.5699999984</v>
      </c>
      <c r="M33" s="149">
        <f ca="1">L33
+M18*INDEX('Annual WLC by Maturity Level '!$E$84:$I$84,MATCH(M17,'Annual WLC by Maturity Level '!$E$9:$I$9,FALSE))</f>
        <v>-9945144.5699999984</v>
      </c>
      <c r="N33" s="149">
        <f ca="1">M33
+N18*INDEX('Annual WLC by Maturity Level '!$E$84:$I$84,MATCH(N17,'Annual WLC by Maturity Level '!$E$9:$I$9,FALSE))</f>
        <v>-9945144.5699999984</v>
      </c>
      <c r="O33" s="149">
        <f ca="1">N33
+O18*INDEX('Annual WLC by Maturity Level '!$E$84:$I$84,MATCH(O17,'Annual WLC by Maturity Level '!$E$9:$I$9,FALSE))</f>
        <v>-9945144.5699999984</v>
      </c>
      <c r="P33" s="149">
        <f ca="1">O33
+P18*INDEX('Annual WLC by Maturity Level '!$E$84:$I$84,MATCH(P17,'Annual WLC by Maturity Level '!$E$9:$I$9,FALSE))</f>
        <v>-9945144.5699999984</v>
      </c>
      <c r="Q33" s="149">
        <f ca="1">P33
+Q18*INDEX('Annual WLC by Maturity Level '!$E$84:$I$84,MATCH(Q17,'Annual WLC by Maturity Level '!$E$9:$I$9,FALSE))</f>
        <v>-9945144.5699999984</v>
      </c>
      <c r="R33" s="149">
        <f ca="1">Q33
+R18*INDEX('Annual WLC by Maturity Level '!$E$84:$I$84,MATCH(R17,'Annual WLC by Maturity Level '!$E$9:$I$9,FALSE))</f>
        <v>-9945144.5699999984</v>
      </c>
      <c r="S33" s="149">
        <f ca="1">R33
+S18*INDEX('Annual WLC by Maturity Level '!$E$84:$I$84,MATCH(S17,'Annual WLC by Maturity Level '!$E$9:$I$9,FALSE))</f>
        <v>-9945144.5699999984</v>
      </c>
      <c r="T33" s="149">
        <f ca="1">S33
+T18*INDEX('Annual WLC by Maturity Level '!$E$84:$I$84,MATCH(T17,'Annual WLC by Maturity Level '!$E$9:$I$9,FALSE))</f>
        <v>-9945144.5699999984</v>
      </c>
      <c r="U33" s="149">
        <f ca="1">T33
+U18*INDEX('Annual WLC by Maturity Level '!$E$84:$I$84,MATCH(U17,'Annual WLC by Maturity Level '!$E$9:$I$9,FALSE))</f>
        <v>-9945144.5699999984</v>
      </c>
      <c r="V33" s="149">
        <f ca="1">U33
+V18*INDEX('Annual WLC by Maturity Level '!$E$84:$I$84,MATCH(V17,'Annual WLC by Maturity Level '!$E$9:$I$9,FALSE))</f>
        <v>-9945144.5699999984</v>
      </c>
      <c r="W33" s="149">
        <f ca="1">V33
+W18*INDEX('Annual WLC by Maturity Level '!$E$84:$I$84,MATCH(W17,'Annual WLC by Maturity Level '!$E$9:$I$9,FALSE))</f>
        <v>-9945144.5699999984</v>
      </c>
      <c r="X33" s="149">
        <f ca="1">W33
+X18*INDEX('Annual WLC by Maturity Level '!$E$84:$I$84,MATCH(X17,'Annual WLC by Maturity Level '!$E$9:$I$9,FALSE))</f>
        <v>-9945144.5699999984</v>
      </c>
      <c r="Y33" s="149">
        <f ca="1">X33
+Y18*INDEX('Annual WLC by Maturity Level '!$E$84:$I$84,MATCH(Y17,'Annual WLC by Maturity Level '!$E$9:$I$9,FALSE))</f>
        <v>-9945144.5699999984</v>
      </c>
      <c r="Z33" s="149">
        <f ca="1">Y33
+Z18*INDEX('Annual WLC by Maturity Level '!$E$84:$I$84,MATCH(Z17,'Annual WLC by Maturity Level '!$E$9:$I$9,FALSE))</f>
        <v>-9945144.5699999984</v>
      </c>
      <c r="AA33" s="149">
        <f ca="1">Z33
+AA18*INDEX('Annual WLC by Maturity Level '!$E$84:$I$84,MATCH(AA17,'Annual WLC by Maturity Level '!$E$9:$I$9,FALSE))</f>
        <v>-9945144.5699999984</v>
      </c>
    </row>
    <row r="34" spans="1:27" s="225" customFormat="1">
      <c r="A34" s="223" t="str">
        <f>'Asset Info'!$C$10</f>
        <v>Crossrail</v>
      </c>
      <c r="B34" s="224">
        <f ca="1">-'Annual WLC by Maturity Level '!$C35
+B$18*INDEX('Annual WLC by Maturity Level '!$E85:$I85,MATCH(B$17,'Annual WLC by Maturity Level '!$E$9:$I$9,FALSE))</f>
        <v>-68256.75</v>
      </c>
      <c r="C34" s="224">
        <f ca="1">B34
+C$18*INDEX('Annual WLC by Maturity Level '!$E85:$I85,MATCH(C$17,'Annual WLC by Maturity Level '!$E$9:$I$9,FALSE))</f>
        <v>-66506.75</v>
      </c>
      <c r="D34" s="224">
        <f ca="1">C34
+D$18*INDEX('Annual WLC by Maturity Level '!$E85:$I85,MATCH(D$17,'Annual WLC by Maturity Level '!$E$9:$I$9,FALSE))</f>
        <v>-66506.75</v>
      </c>
      <c r="E34" s="224">
        <f ca="1">D34
+E$18*INDEX('Annual WLC by Maturity Level '!$E85:$I85,MATCH(E$17,'Annual WLC by Maturity Level '!$E$9:$I$9,FALSE))</f>
        <v>-66506.75</v>
      </c>
      <c r="F34" s="224">
        <f ca="1">E34
+F$18*INDEX('Annual WLC by Maturity Level '!$E85:$I85,MATCH(F$17,'Annual WLC by Maturity Level '!$E$9:$I$9,FALSE))</f>
        <v>-66506.75</v>
      </c>
      <c r="G34" s="224">
        <f ca="1">F34
+G$18*INDEX('Annual WLC by Maturity Level '!$E85:$I85,MATCH(G$17,'Annual WLC by Maturity Level '!$E$9:$I$9,FALSE))</f>
        <v>-66506.75</v>
      </c>
      <c r="H34" s="224">
        <f ca="1">G34
+H$18*INDEX('Annual WLC by Maturity Level '!$E85:$I85,MATCH(H$17,'Annual WLC by Maturity Level '!$E$9:$I$9,FALSE))</f>
        <v>-66506.75</v>
      </c>
      <c r="I34" s="224">
        <f ca="1">H34
+I$18*INDEX('Annual WLC by Maturity Level '!$E85:$I85,MATCH(I$17,'Annual WLC by Maturity Level '!$E$9:$I$9,FALSE))</f>
        <v>-66506.75</v>
      </c>
      <c r="J34" s="224">
        <f ca="1">I34
+J$18*INDEX('Annual WLC by Maturity Level '!$E85:$I85,MATCH(J$17,'Annual WLC by Maturity Level '!$E$9:$I$9,FALSE))</f>
        <v>-66506.75</v>
      </c>
      <c r="K34" s="224">
        <f ca="1">J34
+K$18*INDEX('Annual WLC by Maturity Level '!$E85:$I85,MATCH(K$17,'Annual WLC by Maturity Level '!$E$9:$I$9,FALSE))</f>
        <v>-66506.75</v>
      </c>
      <c r="L34" s="224">
        <f ca="1">K34
+L$18*INDEX('Annual WLC by Maturity Level '!$E85:$I85,MATCH(L$17,'Annual WLC by Maturity Level '!$E$9:$I$9,FALSE))</f>
        <v>-66506.75</v>
      </c>
      <c r="M34" s="224">
        <f ca="1">L34
+M$18*INDEX('Annual WLC by Maturity Level '!$E85:$I85,MATCH(M$17,'Annual WLC by Maturity Level '!$E$9:$I$9,FALSE))</f>
        <v>-66506.75</v>
      </c>
      <c r="N34" s="224">
        <f ca="1">M34
+N$18*INDEX('Annual WLC by Maturity Level '!$E85:$I85,MATCH(N$17,'Annual WLC by Maturity Level '!$E$9:$I$9,FALSE))</f>
        <v>-66506.75</v>
      </c>
      <c r="O34" s="224">
        <f ca="1">N34
+O$18*INDEX('Annual WLC by Maturity Level '!$E85:$I85,MATCH(O$17,'Annual WLC by Maturity Level '!$E$9:$I$9,FALSE))</f>
        <v>-66506.75</v>
      </c>
      <c r="P34" s="224">
        <f ca="1">O34
+P$18*INDEX('Annual WLC by Maturity Level '!$E85:$I85,MATCH(P$17,'Annual WLC by Maturity Level '!$E$9:$I$9,FALSE))</f>
        <v>-66506.75</v>
      </c>
      <c r="Q34" s="224">
        <f ca="1">P34
+Q$18*INDEX('Annual WLC by Maturity Level '!$E85:$I85,MATCH(Q$17,'Annual WLC by Maturity Level '!$E$9:$I$9,FALSE))</f>
        <v>-66506.75</v>
      </c>
      <c r="R34" s="224">
        <f ca="1">Q34
+R$18*INDEX('Annual WLC by Maturity Level '!$E85:$I85,MATCH(R$17,'Annual WLC by Maturity Level '!$E$9:$I$9,FALSE))</f>
        <v>-66506.75</v>
      </c>
      <c r="S34" s="224">
        <f ca="1">R34
+S$18*INDEX('Annual WLC by Maturity Level '!$E85:$I85,MATCH(S$17,'Annual WLC by Maturity Level '!$E$9:$I$9,FALSE))</f>
        <v>-66506.75</v>
      </c>
      <c r="T34" s="224">
        <f ca="1">S34
+T$18*INDEX('Annual WLC by Maturity Level '!$E85:$I85,MATCH(T$17,'Annual WLC by Maturity Level '!$E$9:$I$9,FALSE))</f>
        <v>-66506.75</v>
      </c>
      <c r="U34" s="224">
        <f ca="1">T34
+U$18*INDEX('Annual WLC by Maturity Level '!$E85:$I85,MATCH(U$17,'Annual WLC by Maturity Level '!$E$9:$I$9,FALSE))</f>
        <v>-66506.75</v>
      </c>
      <c r="V34" s="224">
        <f ca="1">U34
+V$18*INDEX('Annual WLC by Maturity Level '!$E85:$I85,MATCH(V$17,'Annual WLC by Maturity Level '!$E$9:$I$9,FALSE))</f>
        <v>-66506.75</v>
      </c>
      <c r="W34" s="224">
        <f ca="1">V34
+W$18*INDEX('Annual WLC by Maturity Level '!$E85:$I85,MATCH(W$17,'Annual WLC by Maturity Level '!$E$9:$I$9,FALSE))</f>
        <v>-66506.75</v>
      </c>
      <c r="X34" s="224">
        <f ca="1">W34
+X$18*INDEX('Annual WLC by Maturity Level '!$E85:$I85,MATCH(X$17,'Annual WLC by Maturity Level '!$E$9:$I$9,FALSE))</f>
        <v>-66506.75</v>
      </c>
      <c r="Y34" s="224">
        <f ca="1">X34
+Y$18*INDEX('Annual WLC by Maturity Level '!$E85:$I85,MATCH(Y$17,'Annual WLC by Maturity Level '!$E$9:$I$9,FALSE))</f>
        <v>-66506.75</v>
      </c>
      <c r="Z34" s="224">
        <f ca="1">Y34
+Z$18*INDEX('Annual WLC by Maturity Level '!$E85:$I85,MATCH(Z$17,'Annual WLC by Maturity Level '!$E$9:$I$9,FALSE))</f>
        <v>-66506.75</v>
      </c>
      <c r="AA34" s="224">
        <f ca="1">Z34
+AA$18*INDEX('Annual WLC by Maturity Level '!$E85:$I85,MATCH(AA$17,'Annual WLC by Maturity Level '!$E$9:$I$9,FALSE))</f>
        <v>-66506.75</v>
      </c>
    </row>
    <row r="35" spans="1:27" s="225" customFormat="1">
      <c r="A35" s="223" t="str">
        <f>'Asset Info'!$D$10</f>
        <v>NR Western</v>
      </c>
      <c r="B35" s="224">
        <f ca="1">-'Annual WLC by Maturity Level '!$C36
+B$18*INDEX('Annual WLC by Maturity Level '!$E86:$I86,MATCH(B$17,'Annual WLC by Maturity Level '!$E$9:$I$9,FALSE))</f>
        <v>-9872746.709999999</v>
      </c>
      <c r="C35" s="224">
        <f ca="1">B35
+C$18*INDEX('Annual WLC by Maturity Level '!$E86:$I86,MATCH(C$17,'Annual WLC by Maturity Level '!$E$9:$I$9,FALSE))</f>
        <v>-9866137.8199999984</v>
      </c>
      <c r="D35" s="224">
        <f ca="1">C35
+D$18*INDEX('Annual WLC by Maturity Level '!$E86:$I86,MATCH(D$17,'Annual WLC by Maturity Level '!$E$9:$I$9,FALSE))</f>
        <v>-9866137.8199999984</v>
      </c>
      <c r="E35" s="224">
        <f ca="1">D35
+E$18*INDEX('Annual WLC by Maturity Level '!$E86:$I86,MATCH(E$17,'Annual WLC by Maturity Level '!$E$9:$I$9,FALSE))</f>
        <v>-9866137.8199999984</v>
      </c>
      <c r="F35" s="224">
        <f ca="1">E35
+F$18*INDEX('Annual WLC by Maturity Level '!$E86:$I86,MATCH(F$17,'Annual WLC by Maturity Level '!$E$9:$I$9,FALSE))</f>
        <v>-9866137.8199999984</v>
      </c>
      <c r="G35" s="224">
        <f ca="1">F35
+G$18*INDEX('Annual WLC by Maturity Level '!$E86:$I86,MATCH(G$17,'Annual WLC by Maturity Level '!$E$9:$I$9,FALSE))</f>
        <v>-9866137.8199999984</v>
      </c>
      <c r="H35" s="224">
        <f ca="1">G35
+H$18*INDEX('Annual WLC by Maturity Level '!$E86:$I86,MATCH(H$17,'Annual WLC by Maturity Level '!$E$9:$I$9,FALSE))</f>
        <v>-9866137.8199999984</v>
      </c>
      <c r="I35" s="224">
        <f ca="1">H35
+I$18*INDEX('Annual WLC by Maturity Level '!$E86:$I86,MATCH(I$17,'Annual WLC by Maturity Level '!$E$9:$I$9,FALSE))</f>
        <v>-9866137.8199999984</v>
      </c>
      <c r="J35" s="224">
        <f ca="1">I35
+J$18*INDEX('Annual WLC by Maturity Level '!$E86:$I86,MATCH(J$17,'Annual WLC by Maturity Level '!$E$9:$I$9,FALSE))</f>
        <v>-9866137.8199999984</v>
      </c>
      <c r="K35" s="224">
        <f ca="1">J35
+K$18*INDEX('Annual WLC by Maturity Level '!$E86:$I86,MATCH(K$17,'Annual WLC by Maturity Level '!$E$9:$I$9,FALSE))</f>
        <v>-9866137.8199999984</v>
      </c>
      <c r="L35" s="224">
        <f ca="1">K35
+L$18*INDEX('Annual WLC by Maturity Level '!$E86:$I86,MATCH(L$17,'Annual WLC by Maturity Level '!$E$9:$I$9,FALSE))</f>
        <v>-9866137.8199999984</v>
      </c>
      <c r="M35" s="224">
        <f ca="1">L35
+M$18*INDEX('Annual WLC by Maturity Level '!$E86:$I86,MATCH(M$17,'Annual WLC by Maturity Level '!$E$9:$I$9,FALSE))</f>
        <v>-9866137.8199999984</v>
      </c>
      <c r="N35" s="224">
        <f ca="1">M35
+N$18*INDEX('Annual WLC by Maturity Level '!$E86:$I86,MATCH(N$17,'Annual WLC by Maturity Level '!$E$9:$I$9,FALSE))</f>
        <v>-9866137.8199999984</v>
      </c>
      <c r="O35" s="224">
        <f ca="1">N35
+O$18*INDEX('Annual WLC by Maturity Level '!$E86:$I86,MATCH(O$17,'Annual WLC by Maturity Level '!$E$9:$I$9,FALSE))</f>
        <v>-9866137.8199999984</v>
      </c>
      <c r="P35" s="224">
        <f ca="1">O35
+P$18*INDEX('Annual WLC by Maturity Level '!$E86:$I86,MATCH(P$17,'Annual WLC by Maturity Level '!$E$9:$I$9,FALSE))</f>
        <v>-9866137.8199999984</v>
      </c>
      <c r="Q35" s="224">
        <f ca="1">P35
+Q$18*INDEX('Annual WLC by Maturity Level '!$E86:$I86,MATCH(Q$17,'Annual WLC by Maturity Level '!$E$9:$I$9,FALSE))</f>
        <v>-9866137.8199999984</v>
      </c>
      <c r="R35" s="224">
        <f ca="1">Q35
+R$18*INDEX('Annual WLC by Maturity Level '!$E86:$I86,MATCH(R$17,'Annual WLC by Maturity Level '!$E$9:$I$9,FALSE))</f>
        <v>-9866137.8199999984</v>
      </c>
      <c r="S35" s="224">
        <f ca="1">R35
+S$18*INDEX('Annual WLC by Maturity Level '!$E86:$I86,MATCH(S$17,'Annual WLC by Maturity Level '!$E$9:$I$9,FALSE))</f>
        <v>-9866137.8199999984</v>
      </c>
      <c r="T35" s="224">
        <f ca="1">S35
+T$18*INDEX('Annual WLC by Maturity Level '!$E86:$I86,MATCH(T$17,'Annual WLC by Maturity Level '!$E$9:$I$9,FALSE))</f>
        <v>-9866137.8199999984</v>
      </c>
      <c r="U35" s="224">
        <f ca="1">T35
+U$18*INDEX('Annual WLC by Maturity Level '!$E86:$I86,MATCH(U$17,'Annual WLC by Maturity Level '!$E$9:$I$9,FALSE))</f>
        <v>-9866137.8199999984</v>
      </c>
      <c r="V35" s="224">
        <f ca="1">U35
+V$18*INDEX('Annual WLC by Maturity Level '!$E86:$I86,MATCH(V$17,'Annual WLC by Maturity Level '!$E$9:$I$9,FALSE))</f>
        <v>-9866137.8199999984</v>
      </c>
      <c r="W35" s="224">
        <f ca="1">V35
+W$18*INDEX('Annual WLC by Maturity Level '!$E86:$I86,MATCH(W$17,'Annual WLC by Maturity Level '!$E$9:$I$9,FALSE))</f>
        <v>-9866137.8199999984</v>
      </c>
      <c r="X35" s="224">
        <f ca="1">W35
+X$18*INDEX('Annual WLC by Maturity Level '!$E86:$I86,MATCH(X$17,'Annual WLC by Maturity Level '!$E$9:$I$9,FALSE))</f>
        <v>-9866137.8199999984</v>
      </c>
      <c r="Y35" s="224">
        <f ca="1">X35
+Y$18*INDEX('Annual WLC by Maturity Level '!$E86:$I86,MATCH(Y$17,'Annual WLC by Maturity Level '!$E$9:$I$9,FALSE))</f>
        <v>-9866137.8199999984</v>
      </c>
      <c r="Z35" s="224">
        <f ca="1">Y35
+Z$18*INDEX('Annual WLC by Maturity Level '!$E86:$I86,MATCH(Z$17,'Annual WLC by Maturity Level '!$E$9:$I$9,FALSE))</f>
        <v>-9866137.8199999984</v>
      </c>
      <c r="AA35" s="224">
        <f ca="1">Z35
+AA$18*INDEX('Annual WLC by Maturity Level '!$E86:$I86,MATCH(AA$17,'Annual WLC by Maturity Level '!$E$9:$I$9,FALSE))</f>
        <v>-9866137.8199999984</v>
      </c>
    </row>
    <row r="36" spans="1:27" s="225" customFormat="1">
      <c r="A36" s="223" t="str">
        <f>'Asset Info'!$E$10</f>
        <v>Balfour Beatty</v>
      </c>
      <c r="B36" s="224">
        <f ca="1">-'Annual WLC by Maturity Level '!$C37
+B$18*INDEX('Annual WLC by Maturity Level '!$E87:$I87,MATCH(B$17,'Annual WLC by Maturity Level '!$E$9:$I$9,FALSE))</f>
        <v>0</v>
      </c>
      <c r="C36" s="224">
        <f ca="1">B36
+C$18*INDEX('Annual WLC by Maturity Level '!$E87:$I87,MATCH(C$17,'Annual WLC by Maturity Level '!$E$9:$I$9,FALSE))</f>
        <v>0</v>
      </c>
      <c r="D36" s="224">
        <f ca="1">C36
+D$18*INDEX('Annual WLC by Maturity Level '!$E87:$I87,MATCH(D$17,'Annual WLC by Maturity Level '!$E$9:$I$9,FALSE))</f>
        <v>0</v>
      </c>
      <c r="E36" s="224">
        <f ca="1">D36
+E$18*INDEX('Annual WLC by Maturity Level '!$E87:$I87,MATCH(E$17,'Annual WLC by Maturity Level '!$E$9:$I$9,FALSE))</f>
        <v>0</v>
      </c>
      <c r="F36" s="224">
        <f ca="1">E36
+F$18*INDEX('Annual WLC by Maturity Level '!$E87:$I87,MATCH(F$17,'Annual WLC by Maturity Level '!$E$9:$I$9,FALSE))</f>
        <v>0</v>
      </c>
      <c r="G36" s="224">
        <f ca="1">F36
+G$18*INDEX('Annual WLC by Maturity Level '!$E87:$I87,MATCH(G$17,'Annual WLC by Maturity Level '!$E$9:$I$9,FALSE))</f>
        <v>0</v>
      </c>
      <c r="H36" s="224">
        <f ca="1">G36
+H$18*INDEX('Annual WLC by Maturity Level '!$E87:$I87,MATCH(H$17,'Annual WLC by Maturity Level '!$E$9:$I$9,FALSE))</f>
        <v>0</v>
      </c>
      <c r="I36" s="224">
        <f ca="1">H36
+I$18*INDEX('Annual WLC by Maturity Level '!$E87:$I87,MATCH(I$17,'Annual WLC by Maturity Level '!$E$9:$I$9,FALSE))</f>
        <v>0</v>
      </c>
      <c r="J36" s="224">
        <f ca="1">I36
+J$18*INDEX('Annual WLC by Maturity Level '!$E87:$I87,MATCH(J$17,'Annual WLC by Maturity Level '!$E$9:$I$9,FALSE))</f>
        <v>0</v>
      </c>
      <c r="K36" s="224">
        <f ca="1">J36
+K$18*INDEX('Annual WLC by Maturity Level '!$E87:$I87,MATCH(K$17,'Annual WLC by Maturity Level '!$E$9:$I$9,FALSE))</f>
        <v>0</v>
      </c>
      <c r="L36" s="224">
        <f ca="1">K36
+L$18*INDEX('Annual WLC by Maturity Level '!$E87:$I87,MATCH(L$17,'Annual WLC by Maturity Level '!$E$9:$I$9,FALSE))</f>
        <v>0</v>
      </c>
      <c r="M36" s="224">
        <f ca="1">L36
+M$18*INDEX('Annual WLC by Maturity Level '!$E87:$I87,MATCH(M$17,'Annual WLC by Maturity Level '!$E$9:$I$9,FALSE))</f>
        <v>0</v>
      </c>
      <c r="N36" s="224">
        <f ca="1">M36
+N$18*INDEX('Annual WLC by Maturity Level '!$E87:$I87,MATCH(N$17,'Annual WLC by Maturity Level '!$E$9:$I$9,FALSE))</f>
        <v>0</v>
      </c>
      <c r="O36" s="224">
        <f ca="1">N36
+O$18*INDEX('Annual WLC by Maturity Level '!$E87:$I87,MATCH(O$17,'Annual WLC by Maturity Level '!$E$9:$I$9,FALSE))</f>
        <v>0</v>
      </c>
      <c r="P36" s="224">
        <f ca="1">O36
+P$18*INDEX('Annual WLC by Maturity Level '!$E87:$I87,MATCH(P$17,'Annual WLC by Maturity Level '!$E$9:$I$9,FALSE))</f>
        <v>0</v>
      </c>
      <c r="Q36" s="224">
        <f ca="1">P36
+Q$18*INDEX('Annual WLC by Maturity Level '!$E87:$I87,MATCH(Q$17,'Annual WLC by Maturity Level '!$E$9:$I$9,FALSE))</f>
        <v>0</v>
      </c>
      <c r="R36" s="224">
        <f ca="1">Q36
+R$18*INDEX('Annual WLC by Maturity Level '!$E87:$I87,MATCH(R$17,'Annual WLC by Maturity Level '!$E$9:$I$9,FALSE))</f>
        <v>0</v>
      </c>
      <c r="S36" s="224">
        <f ca="1">R36
+S$18*INDEX('Annual WLC by Maturity Level '!$E87:$I87,MATCH(S$17,'Annual WLC by Maturity Level '!$E$9:$I$9,FALSE))</f>
        <v>0</v>
      </c>
      <c r="T36" s="224">
        <f ca="1">S36
+T$18*INDEX('Annual WLC by Maturity Level '!$E87:$I87,MATCH(T$17,'Annual WLC by Maturity Level '!$E$9:$I$9,FALSE))</f>
        <v>0</v>
      </c>
      <c r="U36" s="224">
        <f ca="1">T36
+U$18*INDEX('Annual WLC by Maturity Level '!$E87:$I87,MATCH(U$17,'Annual WLC by Maturity Level '!$E$9:$I$9,FALSE))</f>
        <v>0</v>
      </c>
      <c r="V36" s="224">
        <f ca="1">U36
+V$18*INDEX('Annual WLC by Maturity Level '!$E87:$I87,MATCH(V$17,'Annual WLC by Maturity Level '!$E$9:$I$9,FALSE))</f>
        <v>0</v>
      </c>
      <c r="W36" s="224">
        <f ca="1">V36
+W$18*INDEX('Annual WLC by Maturity Level '!$E87:$I87,MATCH(W$17,'Annual WLC by Maturity Level '!$E$9:$I$9,FALSE))</f>
        <v>0</v>
      </c>
      <c r="X36" s="224">
        <f ca="1">W36
+X$18*INDEX('Annual WLC by Maturity Level '!$E87:$I87,MATCH(X$17,'Annual WLC by Maturity Level '!$E$9:$I$9,FALSE))</f>
        <v>0</v>
      </c>
      <c r="Y36" s="224">
        <f ca="1">X36
+Y$18*INDEX('Annual WLC by Maturity Level '!$E87:$I87,MATCH(Y$17,'Annual WLC by Maturity Level '!$E$9:$I$9,FALSE))</f>
        <v>0</v>
      </c>
      <c r="Z36" s="224">
        <f ca="1">Y36
+Z$18*INDEX('Annual WLC by Maturity Level '!$E87:$I87,MATCH(Z$17,'Annual WLC by Maturity Level '!$E$9:$I$9,FALSE))</f>
        <v>0</v>
      </c>
      <c r="AA36" s="224">
        <f ca="1">Z36
+AA$18*INDEX('Annual WLC by Maturity Level '!$E87:$I87,MATCH(AA$17,'Annual WLC by Maturity Level '!$E$9:$I$9,FALSE))</f>
        <v>0</v>
      </c>
    </row>
    <row r="37" spans="1:27" s="225" customFormat="1">
      <c r="A37" s="223" t="str">
        <f>'Asset Info'!$F$10</f>
        <v>RSSB</v>
      </c>
      <c r="B37" s="224">
        <f ca="1">-'Annual WLC by Maturity Level '!$C38
+B$18*INDEX('Annual WLC by Maturity Level '!$E88:$I88,MATCH(B$17,'Annual WLC by Maturity Level '!$E$9:$I$9,FALSE))</f>
        <v>-6250</v>
      </c>
      <c r="C37" s="224">
        <f ca="1">B37
+C$18*INDEX('Annual WLC by Maturity Level '!$E88:$I88,MATCH(C$17,'Annual WLC by Maturity Level '!$E$9:$I$9,FALSE))</f>
        <v>-12500</v>
      </c>
      <c r="D37" s="224">
        <f ca="1">C37
+D$18*INDEX('Annual WLC by Maturity Level '!$E88:$I88,MATCH(D$17,'Annual WLC by Maturity Level '!$E$9:$I$9,FALSE))</f>
        <v>-12500</v>
      </c>
      <c r="E37" s="224">
        <f ca="1">D37
+E$18*INDEX('Annual WLC by Maturity Level '!$E88:$I88,MATCH(E$17,'Annual WLC by Maturity Level '!$E$9:$I$9,FALSE))</f>
        <v>-12500</v>
      </c>
      <c r="F37" s="224">
        <f ca="1">E37
+F$18*INDEX('Annual WLC by Maturity Level '!$E88:$I88,MATCH(F$17,'Annual WLC by Maturity Level '!$E$9:$I$9,FALSE))</f>
        <v>-12500</v>
      </c>
      <c r="G37" s="224">
        <f ca="1">F37
+G$18*INDEX('Annual WLC by Maturity Level '!$E88:$I88,MATCH(G$17,'Annual WLC by Maturity Level '!$E$9:$I$9,FALSE))</f>
        <v>-12500</v>
      </c>
      <c r="H37" s="224">
        <f ca="1">G37
+H$18*INDEX('Annual WLC by Maturity Level '!$E88:$I88,MATCH(H$17,'Annual WLC by Maturity Level '!$E$9:$I$9,FALSE))</f>
        <v>-12500</v>
      </c>
      <c r="I37" s="224">
        <f ca="1">H37
+I$18*INDEX('Annual WLC by Maturity Level '!$E88:$I88,MATCH(I$17,'Annual WLC by Maturity Level '!$E$9:$I$9,FALSE))</f>
        <v>-12500</v>
      </c>
      <c r="J37" s="224">
        <f ca="1">I37
+J$18*INDEX('Annual WLC by Maturity Level '!$E88:$I88,MATCH(J$17,'Annual WLC by Maturity Level '!$E$9:$I$9,FALSE))</f>
        <v>-12500</v>
      </c>
      <c r="K37" s="224">
        <f ca="1">J37
+K$18*INDEX('Annual WLC by Maturity Level '!$E88:$I88,MATCH(K$17,'Annual WLC by Maturity Level '!$E$9:$I$9,FALSE))</f>
        <v>-12500</v>
      </c>
      <c r="L37" s="224">
        <f ca="1">K37
+L$18*INDEX('Annual WLC by Maturity Level '!$E88:$I88,MATCH(L$17,'Annual WLC by Maturity Level '!$E$9:$I$9,FALSE))</f>
        <v>-12500</v>
      </c>
      <c r="M37" s="224">
        <f ca="1">L37
+M$18*INDEX('Annual WLC by Maturity Level '!$E88:$I88,MATCH(M$17,'Annual WLC by Maturity Level '!$E$9:$I$9,FALSE))</f>
        <v>-12500</v>
      </c>
      <c r="N37" s="224">
        <f ca="1">M37
+N$18*INDEX('Annual WLC by Maturity Level '!$E88:$I88,MATCH(N$17,'Annual WLC by Maturity Level '!$E$9:$I$9,FALSE))</f>
        <v>-12500</v>
      </c>
      <c r="O37" s="224">
        <f ca="1">N37
+O$18*INDEX('Annual WLC by Maturity Level '!$E88:$I88,MATCH(O$17,'Annual WLC by Maturity Level '!$E$9:$I$9,FALSE))</f>
        <v>-12500</v>
      </c>
      <c r="P37" s="224">
        <f ca="1">O37
+P$18*INDEX('Annual WLC by Maturity Level '!$E88:$I88,MATCH(P$17,'Annual WLC by Maturity Level '!$E$9:$I$9,FALSE))</f>
        <v>-12500</v>
      </c>
      <c r="Q37" s="224">
        <f ca="1">P37
+Q$18*INDEX('Annual WLC by Maturity Level '!$E88:$I88,MATCH(Q$17,'Annual WLC by Maturity Level '!$E$9:$I$9,FALSE))</f>
        <v>-12500</v>
      </c>
      <c r="R37" s="224">
        <f ca="1">Q37
+R$18*INDEX('Annual WLC by Maturity Level '!$E88:$I88,MATCH(R$17,'Annual WLC by Maturity Level '!$E$9:$I$9,FALSE))</f>
        <v>-12500</v>
      </c>
      <c r="S37" s="224">
        <f ca="1">R37
+S$18*INDEX('Annual WLC by Maturity Level '!$E88:$I88,MATCH(S$17,'Annual WLC by Maturity Level '!$E$9:$I$9,FALSE))</f>
        <v>-12500</v>
      </c>
      <c r="T37" s="224">
        <f ca="1">S37
+T$18*INDEX('Annual WLC by Maturity Level '!$E88:$I88,MATCH(T$17,'Annual WLC by Maturity Level '!$E$9:$I$9,FALSE))</f>
        <v>-12500</v>
      </c>
      <c r="U37" s="224">
        <f ca="1">T37
+U$18*INDEX('Annual WLC by Maturity Level '!$E88:$I88,MATCH(U$17,'Annual WLC by Maturity Level '!$E$9:$I$9,FALSE))</f>
        <v>-12500</v>
      </c>
      <c r="V37" s="224">
        <f ca="1">U37
+V$18*INDEX('Annual WLC by Maturity Level '!$E88:$I88,MATCH(V$17,'Annual WLC by Maturity Level '!$E$9:$I$9,FALSE))</f>
        <v>-12500</v>
      </c>
      <c r="W37" s="224">
        <f ca="1">V37
+W$18*INDEX('Annual WLC by Maturity Level '!$E88:$I88,MATCH(W$17,'Annual WLC by Maturity Level '!$E$9:$I$9,FALSE))</f>
        <v>-12500</v>
      </c>
      <c r="X37" s="224">
        <f ca="1">W37
+X$18*INDEX('Annual WLC by Maturity Level '!$E88:$I88,MATCH(X$17,'Annual WLC by Maturity Level '!$E$9:$I$9,FALSE))</f>
        <v>-12500</v>
      </c>
      <c r="Y37" s="224">
        <f ca="1">X37
+Y$18*INDEX('Annual WLC by Maturity Level '!$E88:$I88,MATCH(Y$17,'Annual WLC by Maturity Level '!$E$9:$I$9,FALSE))</f>
        <v>-12500</v>
      </c>
      <c r="Z37" s="224">
        <f ca="1">Y37
+Z$18*INDEX('Annual WLC by Maturity Level '!$E88:$I88,MATCH(Z$17,'Annual WLC by Maturity Level '!$E$9:$I$9,FALSE))</f>
        <v>-12500</v>
      </c>
      <c r="AA37" s="224">
        <f ca="1">Z37
+AA$18*INDEX('Annual WLC by Maturity Level '!$E88:$I88,MATCH(AA$17,'Annual WLC by Maturity Level '!$E$9:$I$9,FALSE))</f>
        <v>-12500</v>
      </c>
    </row>
    <row r="38" spans="1:27" s="53" customFormat="1">
      <c r="A38" s="148"/>
      <c r="B38" s="149"/>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126</v>
      </c>
      <c r="B39" s="149"/>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s="53" customFormat="1">
      <c r="A40" s="148" t="s">
        <v>182</v>
      </c>
      <c r="B40" s="149">
        <f ca="1">B33+'Annual WLC by Maturity Level '!$C$34</f>
        <v>2108.890000000596</v>
      </c>
      <c r="C40" s="149">
        <f ca="1">C33+'Annual WLC by Maturity Level '!$C$34</f>
        <v>4217.7800000011921</v>
      </c>
      <c r="D40" s="149">
        <f ca="1">D33+'Annual WLC by Maturity Level '!$C$34</f>
        <v>4217.7800000011921</v>
      </c>
      <c r="E40" s="149">
        <f ca="1">E33+'Annual WLC by Maturity Level '!$C$34</f>
        <v>4217.7800000011921</v>
      </c>
      <c r="F40" s="149">
        <f ca="1">F33+'Annual WLC by Maturity Level '!$C$34</f>
        <v>4217.7800000011921</v>
      </c>
      <c r="G40" s="149">
        <f ca="1">G33+'Annual WLC by Maturity Level '!$C$34</f>
        <v>4217.7800000011921</v>
      </c>
      <c r="H40" s="149">
        <f ca="1">H33+'Annual WLC by Maturity Level '!$C$34</f>
        <v>4217.7800000011921</v>
      </c>
      <c r="I40" s="149">
        <f ca="1">I33+'Annual WLC by Maturity Level '!$C$34</f>
        <v>4217.7800000011921</v>
      </c>
      <c r="J40" s="149">
        <f ca="1">J33+'Annual WLC by Maturity Level '!$C$34</f>
        <v>4217.7800000011921</v>
      </c>
      <c r="K40" s="149">
        <f ca="1">K33+'Annual WLC by Maturity Level '!$C$34</f>
        <v>4217.7800000011921</v>
      </c>
      <c r="L40" s="149">
        <f ca="1">L33+'Annual WLC by Maturity Level '!$C$34</f>
        <v>4217.7800000011921</v>
      </c>
      <c r="M40" s="149">
        <f ca="1">M33+'Annual WLC by Maturity Level '!$C$34</f>
        <v>4217.7800000011921</v>
      </c>
      <c r="N40" s="149">
        <f ca="1">N33+'Annual WLC by Maturity Level '!$C$34</f>
        <v>4217.7800000011921</v>
      </c>
      <c r="O40" s="149">
        <f ca="1">O33+'Annual WLC by Maturity Level '!$C$34</f>
        <v>4217.7800000011921</v>
      </c>
      <c r="P40" s="149">
        <f ca="1">P33+'Annual WLC by Maturity Level '!$C$34</f>
        <v>4217.7800000011921</v>
      </c>
      <c r="Q40" s="149">
        <f ca="1">Q33+'Annual WLC by Maturity Level '!$C$34</f>
        <v>4217.7800000011921</v>
      </c>
      <c r="R40" s="149">
        <f ca="1">R33+'Annual WLC by Maturity Level '!$C$34</f>
        <v>4217.7800000011921</v>
      </c>
      <c r="S40" s="149">
        <f ca="1">S33+'Annual WLC by Maturity Level '!$C$34</f>
        <v>4217.7800000011921</v>
      </c>
      <c r="T40" s="149">
        <f ca="1">T33+'Annual WLC by Maturity Level '!$C$34</f>
        <v>4217.7800000011921</v>
      </c>
      <c r="U40" s="149">
        <f ca="1">U33+'Annual WLC by Maturity Level '!$C$34</f>
        <v>4217.7800000011921</v>
      </c>
      <c r="V40" s="149">
        <f ca="1">V33+'Annual WLC by Maturity Level '!$C$34</f>
        <v>4217.7800000011921</v>
      </c>
      <c r="W40" s="149">
        <f ca="1">W33+'Annual WLC by Maturity Level '!$C$34</f>
        <v>4217.7800000011921</v>
      </c>
      <c r="X40" s="149">
        <f ca="1">X33+'Annual WLC by Maturity Level '!$C$34</f>
        <v>4217.7800000011921</v>
      </c>
      <c r="Y40" s="149">
        <f ca="1">Y33+'Annual WLC by Maturity Level '!$C$34</f>
        <v>4217.7800000011921</v>
      </c>
      <c r="Z40" s="149">
        <f ca="1">Z33+'Annual WLC by Maturity Level '!$C$34</f>
        <v>4217.7800000011921</v>
      </c>
      <c r="AA40" s="149">
        <f ca="1">AA33+'Annual WLC by Maturity Level '!$C$34</f>
        <v>4217.7800000011921</v>
      </c>
    </row>
    <row r="41" spans="1:27" s="225" customFormat="1">
      <c r="A41" s="223" t="str">
        <f>'Asset Info'!$C$10</f>
        <v>Crossrail</v>
      </c>
      <c r="B41" s="224">
        <f ca="1">B34+'Annual WLC by Maturity Level '!$C35</f>
        <v>1750</v>
      </c>
      <c r="C41" s="224">
        <f ca="1">C34+'Annual WLC by Maturity Level '!$C35</f>
        <v>3500</v>
      </c>
      <c r="D41" s="224">
        <f ca="1">D34+'Annual WLC by Maturity Level '!$C35</f>
        <v>3500</v>
      </c>
      <c r="E41" s="224">
        <f ca="1">E34+'Annual WLC by Maturity Level '!$C35</f>
        <v>3500</v>
      </c>
      <c r="F41" s="224">
        <f ca="1">F34+'Annual WLC by Maturity Level '!$C35</f>
        <v>3500</v>
      </c>
      <c r="G41" s="224">
        <f ca="1">G34+'Annual WLC by Maturity Level '!$C35</f>
        <v>3500</v>
      </c>
      <c r="H41" s="224">
        <f ca="1">H34+'Annual WLC by Maturity Level '!$C35</f>
        <v>3500</v>
      </c>
      <c r="I41" s="224">
        <f ca="1">I34+'Annual WLC by Maturity Level '!$C35</f>
        <v>3500</v>
      </c>
      <c r="J41" s="224">
        <f ca="1">J34+'Annual WLC by Maturity Level '!$C35</f>
        <v>3500</v>
      </c>
      <c r="K41" s="224">
        <f ca="1">K34+'Annual WLC by Maturity Level '!$C35</f>
        <v>3500</v>
      </c>
      <c r="L41" s="224">
        <f ca="1">L34+'Annual WLC by Maturity Level '!$C35</f>
        <v>3500</v>
      </c>
      <c r="M41" s="224">
        <f ca="1">M34+'Annual WLC by Maturity Level '!$C35</f>
        <v>3500</v>
      </c>
      <c r="N41" s="224">
        <f ca="1">N34+'Annual WLC by Maturity Level '!$C35</f>
        <v>3500</v>
      </c>
      <c r="O41" s="224">
        <f ca="1">O34+'Annual WLC by Maturity Level '!$C35</f>
        <v>3500</v>
      </c>
      <c r="P41" s="224">
        <f ca="1">P34+'Annual WLC by Maturity Level '!$C35</f>
        <v>3500</v>
      </c>
      <c r="Q41" s="224">
        <f ca="1">Q34+'Annual WLC by Maturity Level '!$C35</f>
        <v>3500</v>
      </c>
      <c r="R41" s="224">
        <f ca="1">R34+'Annual WLC by Maturity Level '!$C35</f>
        <v>3500</v>
      </c>
      <c r="S41" s="224">
        <f ca="1">S34+'Annual WLC by Maturity Level '!$C35</f>
        <v>3500</v>
      </c>
      <c r="T41" s="224">
        <f ca="1">T34+'Annual WLC by Maturity Level '!$C35</f>
        <v>3500</v>
      </c>
      <c r="U41" s="224">
        <f ca="1">U34+'Annual WLC by Maturity Level '!$C35</f>
        <v>3500</v>
      </c>
      <c r="V41" s="224">
        <f ca="1">V34+'Annual WLC by Maturity Level '!$C35</f>
        <v>3500</v>
      </c>
      <c r="W41" s="224">
        <f ca="1">W34+'Annual WLC by Maturity Level '!$C35</f>
        <v>3500</v>
      </c>
      <c r="X41" s="224">
        <f ca="1">X34+'Annual WLC by Maturity Level '!$C35</f>
        <v>3500</v>
      </c>
      <c r="Y41" s="224">
        <f ca="1">Y34+'Annual WLC by Maturity Level '!$C35</f>
        <v>3500</v>
      </c>
      <c r="Z41" s="224">
        <f ca="1">Z34+'Annual WLC by Maturity Level '!$C35</f>
        <v>3500</v>
      </c>
      <c r="AA41" s="224">
        <f ca="1">AA34+'Annual WLC by Maturity Level '!$C35</f>
        <v>3500</v>
      </c>
    </row>
    <row r="42" spans="1:27" s="225" customFormat="1">
      <c r="A42" s="223" t="str">
        <f>'Asset Info'!$D$10</f>
        <v>NR Western</v>
      </c>
      <c r="B42" s="224">
        <f ca="1">B35+'Annual WLC by Maturity Level '!$C36</f>
        <v>6608.890000000596</v>
      </c>
      <c r="C42" s="224">
        <f ca="1">C35+'Annual WLC by Maturity Level '!$C36</f>
        <v>13217.780000001192</v>
      </c>
      <c r="D42" s="224">
        <f ca="1">D35+'Annual WLC by Maturity Level '!$C36</f>
        <v>13217.780000001192</v>
      </c>
      <c r="E42" s="224">
        <f ca="1">E35+'Annual WLC by Maturity Level '!$C36</f>
        <v>13217.780000001192</v>
      </c>
      <c r="F42" s="224">
        <f ca="1">F35+'Annual WLC by Maturity Level '!$C36</f>
        <v>13217.780000001192</v>
      </c>
      <c r="G42" s="224">
        <f ca="1">G35+'Annual WLC by Maturity Level '!$C36</f>
        <v>13217.780000001192</v>
      </c>
      <c r="H42" s="224">
        <f ca="1">H35+'Annual WLC by Maturity Level '!$C36</f>
        <v>13217.780000001192</v>
      </c>
      <c r="I42" s="224">
        <f ca="1">I35+'Annual WLC by Maturity Level '!$C36</f>
        <v>13217.780000001192</v>
      </c>
      <c r="J42" s="224">
        <f ca="1">J35+'Annual WLC by Maturity Level '!$C36</f>
        <v>13217.780000001192</v>
      </c>
      <c r="K42" s="224">
        <f ca="1">K35+'Annual WLC by Maturity Level '!$C36</f>
        <v>13217.780000001192</v>
      </c>
      <c r="L42" s="224">
        <f ca="1">L35+'Annual WLC by Maturity Level '!$C36</f>
        <v>13217.780000001192</v>
      </c>
      <c r="M42" s="224">
        <f ca="1">M35+'Annual WLC by Maturity Level '!$C36</f>
        <v>13217.780000001192</v>
      </c>
      <c r="N42" s="224">
        <f ca="1">N35+'Annual WLC by Maturity Level '!$C36</f>
        <v>13217.780000001192</v>
      </c>
      <c r="O42" s="224">
        <f ca="1">O35+'Annual WLC by Maturity Level '!$C36</f>
        <v>13217.780000001192</v>
      </c>
      <c r="P42" s="224">
        <f ca="1">P35+'Annual WLC by Maturity Level '!$C36</f>
        <v>13217.780000001192</v>
      </c>
      <c r="Q42" s="224">
        <f ca="1">Q35+'Annual WLC by Maturity Level '!$C36</f>
        <v>13217.780000001192</v>
      </c>
      <c r="R42" s="224">
        <f ca="1">R35+'Annual WLC by Maturity Level '!$C36</f>
        <v>13217.780000001192</v>
      </c>
      <c r="S42" s="224">
        <f ca="1">S35+'Annual WLC by Maturity Level '!$C36</f>
        <v>13217.780000001192</v>
      </c>
      <c r="T42" s="224">
        <f ca="1">T35+'Annual WLC by Maturity Level '!$C36</f>
        <v>13217.780000001192</v>
      </c>
      <c r="U42" s="224">
        <f ca="1">U35+'Annual WLC by Maturity Level '!$C36</f>
        <v>13217.780000001192</v>
      </c>
      <c r="V42" s="224">
        <f ca="1">V35+'Annual WLC by Maturity Level '!$C36</f>
        <v>13217.780000001192</v>
      </c>
      <c r="W42" s="224">
        <f ca="1">W35+'Annual WLC by Maturity Level '!$C36</f>
        <v>13217.780000001192</v>
      </c>
      <c r="X42" s="224">
        <f ca="1">X35+'Annual WLC by Maturity Level '!$C36</f>
        <v>13217.780000001192</v>
      </c>
      <c r="Y42" s="224">
        <f ca="1">Y35+'Annual WLC by Maturity Level '!$C36</f>
        <v>13217.780000001192</v>
      </c>
      <c r="Z42" s="224">
        <f ca="1">Z35+'Annual WLC by Maturity Level '!$C36</f>
        <v>13217.780000001192</v>
      </c>
      <c r="AA42" s="224">
        <f ca="1">AA35+'Annual WLC by Maturity Level '!$C36</f>
        <v>13217.780000001192</v>
      </c>
    </row>
    <row r="43" spans="1:27" s="225" customFormat="1">
      <c r="A43" s="223" t="str">
        <f>'Asset Info'!$E$10</f>
        <v>Balfour Beatty</v>
      </c>
      <c r="B43" s="224">
        <f ca="1">B36+'Annual WLC by Maturity Level '!$C37</f>
        <v>0</v>
      </c>
      <c r="C43" s="224">
        <f ca="1">C36+'Annual WLC by Maturity Level '!$C37</f>
        <v>0</v>
      </c>
      <c r="D43" s="224">
        <f ca="1">D36+'Annual WLC by Maturity Level '!$C37</f>
        <v>0</v>
      </c>
      <c r="E43" s="224">
        <f ca="1">E36+'Annual WLC by Maturity Level '!$C37</f>
        <v>0</v>
      </c>
      <c r="F43" s="224">
        <f ca="1">F36+'Annual WLC by Maturity Level '!$C37</f>
        <v>0</v>
      </c>
      <c r="G43" s="224">
        <f ca="1">G36+'Annual WLC by Maturity Level '!$C37</f>
        <v>0</v>
      </c>
      <c r="H43" s="224">
        <f ca="1">H36+'Annual WLC by Maturity Level '!$C37</f>
        <v>0</v>
      </c>
      <c r="I43" s="224">
        <f ca="1">I36+'Annual WLC by Maturity Level '!$C37</f>
        <v>0</v>
      </c>
      <c r="J43" s="224">
        <f ca="1">J36+'Annual WLC by Maturity Level '!$C37</f>
        <v>0</v>
      </c>
      <c r="K43" s="224">
        <f ca="1">K36+'Annual WLC by Maturity Level '!$C37</f>
        <v>0</v>
      </c>
      <c r="L43" s="224">
        <f ca="1">L36+'Annual WLC by Maturity Level '!$C37</f>
        <v>0</v>
      </c>
      <c r="M43" s="224">
        <f ca="1">M36+'Annual WLC by Maturity Level '!$C37</f>
        <v>0</v>
      </c>
      <c r="N43" s="224">
        <f ca="1">N36+'Annual WLC by Maturity Level '!$C37</f>
        <v>0</v>
      </c>
      <c r="O43" s="224">
        <f ca="1">O36+'Annual WLC by Maturity Level '!$C37</f>
        <v>0</v>
      </c>
      <c r="P43" s="224">
        <f ca="1">P36+'Annual WLC by Maturity Level '!$C37</f>
        <v>0</v>
      </c>
      <c r="Q43" s="224">
        <f ca="1">Q36+'Annual WLC by Maturity Level '!$C37</f>
        <v>0</v>
      </c>
      <c r="R43" s="224">
        <f ca="1">R36+'Annual WLC by Maturity Level '!$C37</f>
        <v>0</v>
      </c>
      <c r="S43" s="224">
        <f ca="1">S36+'Annual WLC by Maturity Level '!$C37</f>
        <v>0</v>
      </c>
      <c r="T43" s="224">
        <f ca="1">T36+'Annual WLC by Maturity Level '!$C37</f>
        <v>0</v>
      </c>
      <c r="U43" s="224">
        <f ca="1">U36+'Annual WLC by Maturity Level '!$C37</f>
        <v>0</v>
      </c>
      <c r="V43" s="224">
        <f ca="1">V36+'Annual WLC by Maturity Level '!$C37</f>
        <v>0</v>
      </c>
      <c r="W43" s="224">
        <f ca="1">W36+'Annual WLC by Maturity Level '!$C37</f>
        <v>0</v>
      </c>
      <c r="X43" s="224">
        <f ca="1">X36+'Annual WLC by Maturity Level '!$C37</f>
        <v>0</v>
      </c>
      <c r="Y43" s="224">
        <f ca="1">Y36+'Annual WLC by Maturity Level '!$C37</f>
        <v>0</v>
      </c>
      <c r="Z43" s="224">
        <f ca="1">Z36+'Annual WLC by Maturity Level '!$C37</f>
        <v>0</v>
      </c>
      <c r="AA43" s="224">
        <f ca="1">AA36+'Annual WLC by Maturity Level '!$C37</f>
        <v>0</v>
      </c>
    </row>
    <row r="44" spans="1:27" s="225" customFormat="1">
      <c r="A44" s="223" t="str">
        <f>'Asset Info'!$F$10</f>
        <v>RSSB</v>
      </c>
      <c r="B44" s="224">
        <f ca="1">B37+'Annual WLC by Maturity Level '!$C38</f>
        <v>-6250</v>
      </c>
      <c r="C44" s="224">
        <f ca="1">C37+'Annual WLC by Maturity Level '!$C38</f>
        <v>-12500</v>
      </c>
      <c r="D44" s="224">
        <f ca="1">D37+'Annual WLC by Maturity Level '!$C38</f>
        <v>-12500</v>
      </c>
      <c r="E44" s="224">
        <f ca="1">E37+'Annual WLC by Maturity Level '!$C38</f>
        <v>-12500</v>
      </c>
      <c r="F44" s="224">
        <f ca="1">F37+'Annual WLC by Maturity Level '!$C38</f>
        <v>-12500</v>
      </c>
      <c r="G44" s="224">
        <f ca="1">G37+'Annual WLC by Maturity Level '!$C38</f>
        <v>-12500</v>
      </c>
      <c r="H44" s="224">
        <f ca="1">H37+'Annual WLC by Maturity Level '!$C38</f>
        <v>-12500</v>
      </c>
      <c r="I44" s="224">
        <f ca="1">I37+'Annual WLC by Maturity Level '!$C38</f>
        <v>-12500</v>
      </c>
      <c r="J44" s="224">
        <f ca="1">J37+'Annual WLC by Maturity Level '!$C38</f>
        <v>-12500</v>
      </c>
      <c r="K44" s="224">
        <f ca="1">K37+'Annual WLC by Maturity Level '!$C38</f>
        <v>-12500</v>
      </c>
      <c r="L44" s="224">
        <f ca="1">L37+'Annual WLC by Maturity Level '!$C38</f>
        <v>-12500</v>
      </c>
      <c r="M44" s="224">
        <f ca="1">M37+'Annual WLC by Maturity Level '!$C38</f>
        <v>-12500</v>
      </c>
      <c r="N44" s="224">
        <f ca="1">N37+'Annual WLC by Maturity Level '!$C38</f>
        <v>-12500</v>
      </c>
      <c r="O44" s="224">
        <f ca="1">O37+'Annual WLC by Maturity Level '!$C38</f>
        <v>-12500</v>
      </c>
      <c r="P44" s="224">
        <f ca="1">P37+'Annual WLC by Maturity Level '!$C38</f>
        <v>-12500</v>
      </c>
      <c r="Q44" s="224">
        <f ca="1">Q37+'Annual WLC by Maturity Level '!$C38</f>
        <v>-12500</v>
      </c>
      <c r="R44" s="224">
        <f ca="1">R37+'Annual WLC by Maturity Level '!$C38</f>
        <v>-12500</v>
      </c>
      <c r="S44" s="224">
        <f ca="1">S37+'Annual WLC by Maturity Level '!$C38</f>
        <v>-12500</v>
      </c>
      <c r="T44" s="224">
        <f ca="1">T37+'Annual WLC by Maturity Level '!$C38</f>
        <v>-12500</v>
      </c>
      <c r="U44" s="224">
        <f ca="1">U37+'Annual WLC by Maturity Level '!$C38</f>
        <v>-12500</v>
      </c>
      <c r="V44" s="224">
        <f ca="1">V37+'Annual WLC by Maturity Level '!$C38</f>
        <v>-12500</v>
      </c>
      <c r="W44" s="224">
        <f ca="1">W37+'Annual WLC by Maturity Level '!$C38</f>
        <v>-12500</v>
      </c>
      <c r="X44" s="224">
        <f ca="1">X37+'Annual WLC by Maturity Level '!$C38</f>
        <v>-12500</v>
      </c>
      <c r="Y44" s="224">
        <f ca="1">Y37+'Annual WLC by Maturity Level '!$C38</f>
        <v>-12500</v>
      </c>
      <c r="Z44" s="224">
        <f ca="1">Z37+'Annual WLC by Maturity Level '!$C38</f>
        <v>-12500</v>
      </c>
      <c r="AA44" s="224">
        <f ca="1">AA37+'Annual WLC by Maturity Level '!$C38</f>
        <v>-12500</v>
      </c>
    </row>
    <row r="45" spans="1:27" s="53" customFormat="1">
      <c r="A45" s="148" t="s">
        <v>183</v>
      </c>
      <c r="B45" s="149">
        <f ca="1">B40</f>
        <v>2108.890000000596</v>
      </c>
      <c r="C45" s="149">
        <f t="shared" ref="C45:AA45" ca="1" si="0">C40-B40</f>
        <v>2108.890000000596</v>
      </c>
      <c r="D45" s="149">
        <f t="shared" ca="1" si="0"/>
        <v>0</v>
      </c>
      <c r="E45" s="149">
        <f t="shared" ca="1" si="0"/>
        <v>0</v>
      </c>
      <c r="F45" s="149">
        <f t="shared" ca="1" si="0"/>
        <v>0</v>
      </c>
      <c r="G45" s="149">
        <f t="shared" ca="1" si="0"/>
        <v>0</v>
      </c>
      <c r="H45" s="149">
        <f t="shared" ca="1" si="0"/>
        <v>0</v>
      </c>
      <c r="I45" s="149">
        <f t="shared" ca="1" si="0"/>
        <v>0</v>
      </c>
      <c r="J45" s="149">
        <f t="shared" ca="1" si="0"/>
        <v>0</v>
      </c>
      <c r="K45" s="149">
        <f t="shared" ca="1" si="0"/>
        <v>0</v>
      </c>
      <c r="L45" s="149">
        <f t="shared" ca="1" si="0"/>
        <v>0</v>
      </c>
      <c r="M45" s="149">
        <f t="shared" ca="1" si="0"/>
        <v>0</v>
      </c>
      <c r="N45" s="149">
        <f t="shared" ca="1" si="0"/>
        <v>0</v>
      </c>
      <c r="O45" s="149">
        <f t="shared" ca="1" si="0"/>
        <v>0</v>
      </c>
      <c r="P45" s="149">
        <f t="shared" ca="1" si="0"/>
        <v>0</v>
      </c>
      <c r="Q45" s="149">
        <f t="shared" ca="1" si="0"/>
        <v>0</v>
      </c>
      <c r="R45" s="149">
        <f t="shared" ca="1" si="0"/>
        <v>0</v>
      </c>
      <c r="S45" s="149">
        <f t="shared" ca="1" si="0"/>
        <v>0</v>
      </c>
      <c r="T45" s="149">
        <f t="shared" ca="1" si="0"/>
        <v>0</v>
      </c>
      <c r="U45" s="149">
        <f t="shared" ca="1" si="0"/>
        <v>0</v>
      </c>
      <c r="V45" s="149">
        <f t="shared" ca="1" si="0"/>
        <v>0</v>
      </c>
      <c r="W45" s="149">
        <f t="shared" ca="1" si="0"/>
        <v>0</v>
      </c>
      <c r="X45" s="149">
        <f t="shared" ca="1" si="0"/>
        <v>0</v>
      </c>
      <c r="Y45" s="149">
        <f t="shared" ca="1" si="0"/>
        <v>0</v>
      </c>
      <c r="Z45" s="149">
        <f t="shared" ca="1" si="0"/>
        <v>0</v>
      </c>
      <c r="AA45" s="149">
        <f t="shared" ca="1" si="0"/>
        <v>0</v>
      </c>
    </row>
    <row r="46" spans="1:27" s="53" customFormat="1">
      <c r="A46" s="150" t="s">
        <v>184</v>
      </c>
      <c r="B46" s="149">
        <f ca="1">1/(1+'Financial Data'!$C$8)^B$14*B40</f>
        <v>2108.890000000596</v>
      </c>
      <c r="C46" s="149">
        <f ca="1">1/(1+'Financial Data'!$C$8)^C14*C40</f>
        <v>4075.1497584552585</v>
      </c>
      <c r="D46" s="149">
        <f ca="1">1/(1+'Financial Data'!$C$8)^D14*D40</f>
        <v>3937.3427617925204</v>
      </c>
      <c r="E46" s="149">
        <f ca="1">1/(1+'Financial Data'!$C$8)^E14*E40</f>
        <v>3804.1959051135468</v>
      </c>
      <c r="F46" s="149">
        <f ca="1">1/(1+'Financial Data'!$C$8)^F14*F40</f>
        <v>3675.5515991435236</v>
      </c>
      <c r="G46" s="149">
        <f ca="1">1/(1+'Financial Data'!$C$8)^G14*G40</f>
        <v>3551.25758371355</v>
      </c>
      <c r="H46" s="149">
        <f ca="1">1/(1+'Financial Data'!$C$8)^H14*H40</f>
        <v>3431.1667475493236</v>
      </c>
      <c r="I46" s="149">
        <f ca="1">1/(1+'Financial Data'!$C$8)^I14*I40</f>
        <v>3315.1369541539357</v>
      </c>
      <c r="J46" s="149">
        <f ca="1">1/(1+'Financial Data'!$C$8)^J14*J40</f>
        <v>3203.0308735786825</v>
      </c>
      <c r="K46" s="149">
        <f ca="1">1/(1+'Financial Data'!$C$8)^K14*K40</f>
        <v>3094.7158198827856</v>
      </c>
      <c r="L46" s="149">
        <f ca="1">1/(1+'Financial Data'!$C$8)^L14*L40</f>
        <v>2990.0635940896477</v>
      </c>
      <c r="M46" s="149">
        <f ca="1">1/(1+'Financial Data'!$C$8)^M14*M40</f>
        <v>2888.9503324537664</v>
      </c>
      <c r="N46" s="149">
        <f ca="1">1/(1+'Financial Data'!$C$8)^N14*N40</f>
        <v>2791.2563598587112</v>
      </c>
      <c r="O46" s="149">
        <f ca="1">1/(1+'Financial Data'!$C$8)^O14*O40</f>
        <v>2696.8660481726688</v>
      </c>
      <c r="P46" s="149">
        <f ca="1">1/(1+'Financial Data'!$C$8)^P14*P40</f>
        <v>2605.6676793938823</v>
      </c>
      <c r="Q46" s="149">
        <f ca="1">1/(1+'Financial Data'!$C$8)^Q14*Q40</f>
        <v>2517.5533134240413</v>
      </c>
      <c r="R46" s="149">
        <f ca="1">1/(1+'Financial Data'!$C$8)^R14*R40</f>
        <v>2432.4186603130838</v>
      </c>
      <c r="S46" s="149">
        <f ca="1">1/(1+'Financial Data'!$C$8)^S14*S40</f>
        <v>2350.1629568242356</v>
      </c>
      <c r="T46" s="149">
        <f ca="1">1/(1+'Financial Data'!$C$8)^T14*T40</f>
        <v>2270.688847173175</v>
      </c>
      <c r="U46" s="149">
        <f ca="1">1/(1+'Financial Data'!$C$8)^U14*U40</f>
        <v>2193.9022678001693</v>
      </c>
      <c r="V46" s="149">
        <f ca="1">1/(1+'Financial Data'!$C$8)^V14*V40</f>
        <v>2119.7123360388109</v>
      </c>
      <c r="W46" s="149">
        <f ca="1">1/(1+'Financial Data'!$C$8)^W14*W40</f>
        <v>2048.0312425495763</v>
      </c>
      <c r="X46" s="149">
        <f ca="1">1/(1+'Financial Data'!$C$8)^X14*X40</f>
        <v>1978.7741473908948</v>
      </c>
      <c r="Y46" s="149">
        <f ca="1">1/(1+'Financial Data'!$C$8)^Y14*Y40</f>
        <v>1911.8590796047292</v>
      </c>
      <c r="Z46" s="149">
        <f ca="1">1/(1+'Financial Data'!$C$8)^Z14*Z40</f>
        <v>1847.2068401978065</v>
      </c>
      <c r="AA46" s="149">
        <f ca="1">1/(1+'Financial Data'!$C$8)^AA14*AA40</f>
        <v>1784.7409084036778</v>
      </c>
    </row>
    <row r="47" spans="1:27" s="225" customFormat="1">
      <c r="A47" s="223" t="str">
        <f>'Asset Info'!$C$10</f>
        <v>Crossrail</v>
      </c>
      <c r="B47" s="224">
        <f ca="1">1/(1+'Financial Data'!$C$8)^B$14*B41</f>
        <v>1750</v>
      </c>
      <c r="C47" s="224">
        <f ca="1">1/(1+'Financial Data'!$C$8)^C$14*C41</f>
        <v>3381.6425120772951</v>
      </c>
      <c r="D47" s="224">
        <f ca="1">1/(1+'Financial Data'!$C$8)^D$14*D41</f>
        <v>3267.2874512824105</v>
      </c>
      <c r="E47" s="224">
        <f ca="1">1/(1+'Financial Data'!$C$8)^E$14*E41</f>
        <v>3156.7994698380785</v>
      </c>
      <c r="F47" s="224">
        <f ca="1">1/(1+'Financial Data'!$C$8)^F$14*F41</f>
        <v>3050.0477969450035</v>
      </c>
      <c r="G47" s="224">
        <f ca="1">1/(1+'Financial Data'!$C$8)^G$14*G41</f>
        <v>2946.9060840048346</v>
      </c>
      <c r="H47" s="224">
        <f ca="1">1/(1+'Financial Data'!$C$8)^H$14*H41</f>
        <v>2847.252255077135</v>
      </c>
      <c r="I47" s="224">
        <f ca="1">1/(1+'Financial Data'!$C$8)^I$14*I41</f>
        <v>2750.968362393367</v>
      </c>
      <c r="J47" s="224">
        <f ca="1">1/(1+'Financial Data'!$C$8)^J$14*J41</f>
        <v>2657.940446756877</v>
      </c>
      <c r="K47" s="224">
        <f ca="1">1/(1+'Financial Data'!$C$8)^K$14*K41</f>
        <v>2568.0584026636493</v>
      </c>
      <c r="L47" s="224">
        <f ca="1">1/(1+'Financial Data'!$C$8)^L$14*L41</f>
        <v>2481.2158479842028</v>
      </c>
      <c r="M47" s="224">
        <f ca="1">1/(1+'Financial Data'!$C$8)^M$14*M41</f>
        <v>2397.3099980523698</v>
      </c>
      <c r="N47" s="224">
        <f ca="1">1/(1+'Financial Data'!$C$8)^N$14*N41</f>
        <v>2316.2415440119512</v>
      </c>
      <c r="O47" s="224">
        <f ca="1">1/(1+'Financial Data'!$C$8)^O$14*O41</f>
        <v>2237.9145352772484</v>
      </c>
      <c r="P47" s="224">
        <f ca="1">1/(1+'Financial Data'!$C$8)^P$14*P41</f>
        <v>2162.2362659683554</v>
      </c>
      <c r="Q47" s="224">
        <f ca="1">1/(1+'Financial Data'!$C$8)^Q$14*Q41</f>
        <v>2089.1171651868176</v>
      </c>
      <c r="R47" s="224">
        <f ca="1">1/(1+'Financial Data'!$C$8)^R$14*R41</f>
        <v>2018.4706910017562</v>
      </c>
      <c r="S47" s="224">
        <f ca="1">1/(1+'Financial Data'!$C$8)^S$14*S41</f>
        <v>1950.2132280210205</v>
      </c>
      <c r="T47" s="224">
        <f ca="1">1/(1+'Financial Data'!$C$8)^T$14*T41</f>
        <v>1884.2639884261071</v>
      </c>
      <c r="U47" s="224">
        <f ca="1">1/(1+'Financial Data'!$C$8)^U$14*U41</f>
        <v>1820.5449163537269</v>
      </c>
      <c r="V47" s="224">
        <f ca="1">1/(1+'Financial Data'!$C$8)^V$14*V41</f>
        <v>1758.980595510847</v>
      </c>
      <c r="W47" s="224">
        <f ca="1">1/(1+'Financial Data'!$C$8)^W$14*W41</f>
        <v>1699.4981599138625</v>
      </c>
      <c r="X47" s="224">
        <f ca="1">1/(1+'Financial Data'!$C$8)^X$14*X41</f>
        <v>1642.0272076462438</v>
      </c>
      <c r="Y47" s="224">
        <f ca="1">1/(1+'Financial Data'!$C$8)^Y$14*Y41</f>
        <v>1586.4997175326027</v>
      </c>
      <c r="Z47" s="224">
        <f ca="1">1/(1+'Financial Data'!$C$8)^Z$14*Z41</f>
        <v>1532.8499686305345</v>
      </c>
      <c r="AA47" s="224">
        <f ca="1">1/(1+'Financial Data'!$C$8)^AA$14*AA41</f>
        <v>1481.0144624449608</v>
      </c>
    </row>
    <row r="48" spans="1:27" s="225" customFormat="1">
      <c r="A48" s="223" t="str">
        <f>'Asset Info'!$D$10</f>
        <v>NR Western</v>
      </c>
      <c r="B48" s="224">
        <f ca="1">1/(1+'Financial Data'!$C$8)^B$14*B42</f>
        <v>6608.890000000596</v>
      </c>
      <c r="C48" s="224">
        <f ca="1">1/(1+'Financial Data'!$C$8)^C$14*C42</f>
        <v>12770.801932368302</v>
      </c>
      <c r="D48" s="224">
        <f ca="1">1/(1+'Financial Data'!$C$8)^D$14*D42</f>
        <v>12338.939065090148</v>
      </c>
      <c r="E48" s="224">
        <f ca="1">1/(1+'Financial Data'!$C$8)^E$14*E42</f>
        <v>11921.680256125748</v>
      </c>
      <c r="F48" s="224">
        <f ca="1">1/(1+'Financial Data'!$C$8)^F$14*F42</f>
        <v>11518.531648430675</v>
      </c>
      <c r="G48" s="224">
        <f ca="1">1/(1+'Financial Data'!$C$8)^G$14*G42</f>
        <v>11129.016085440267</v>
      </c>
      <c r="H48" s="224">
        <f ca="1">1/(1+'Financial Data'!$C$8)^H$14*H42</f>
        <v>10752.6725463191</v>
      </c>
      <c r="I48" s="224">
        <f ca="1">1/(1+'Financial Data'!$C$8)^I$14*I42</f>
        <v>10389.055600308307</v>
      </c>
      <c r="J48" s="224">
        <f ca="1">1/(1+'Financial Data'!$C$8)^J$14*J42</f>
        <v>10037.734879524938</v>
      </c>
      <c r="K48" s="224">
        <f ca="1">1/(1+'Financial Data'!$C$8)^K$14*K42</f>
        <v>9698.2945695893122</v>
      </c>
      <c r="L48" s="224">
        <f ca="1">1/(1+'Financial Data'!$C$8)^L$14*L42</f>
        <v>9370.3329174775972</v>
      </c>
      <c r="M48" s="224">
        <f ca="1">1/(1+'Financial Data'!$C$8)^M$14*M42</f>
        <v>9053.4617560170027</v>
      </c>
      <c r="N48" s="224">
        <f ca="1">1/(1+'Financial Data'!$C$8)^N$14*N42</f>
        <v>8747.3060444608727</v>
      </c>
      <c r="O48" s="224">
        <f ca="1">1/(1+'Financial Data'!$C$8)^O$14*O42</f>
        <v>8451.5034245998777</v>
      </c>
      <c r="P48" s="224">
        <f ca="1">1/(1+'Financial Data'!$C$8)^P$14*P42</f>
        <v>8165.7037918839396</v>
      </c>
      <c r="Q48" s="224">
        <f ca="1">1/(1+'Financial Data'!$C$8)^Q$14*Q42</f>
        <v>7889.5688810472866</v>
      </c>
      <c r="R48" s="224">
        <f ca="1">1/(1+'Financial Data'!$C$8)^R$14*R42</f>
        <v>7622.771865746171</v>
      </c>
      <c r="S48" s="224">
        <f ca="1">1/(1+'Financial Data'!$C$8)^S$14*S42</f>
        <v>7364.9969717354315</v>
      </c>
      <c r="T48" s="224">
        <f ca="1">1/(1+'Financial Data'!$C$8)^T$14*T42</f>
        <v>7115.9391031260211</v>
      </c>
      <c r="U48" s="224">
        <f ca="1">1/(1+'Financial Data'!$C$8)^U$14*U42</f>
        <v>6875.3034812811811</v>
      </c>
      <c r="V48" s="224">
        <f ca="1">1/(1+'Financial Data'!$C$8)^V$14*V42</f>
        <v>6642.8052959238466</v>
      </c>
      <c r="W48" s="224">
        <f ca="1">1/(1+'Financial Data'!$C$8)^W$14*W42</f>
        <v>6418.169368042365</v>
      </c>
      <c r="X48" s="224">
        <f ca="1">1/(1+'Financial Data'!$C$8)^X$14*X42</f>
        <v>6201.1298241955219</v>
      </c>
      <c r="Y48" s="224">
        <f ca="1">1/(1+'Financial Data'!$C$8)^Y$14*Y42</f>
        <v>5991.4297818314217</v>
      </c>
      <c r="Z48" s="224">
        <f ca="1">1/(1+'Financial Data'!$C$8)^Z$14*Z42</f>
        <v>5788.8210452477524</v>
      </c>
      <c r="AA48" s="224">
        <f ca="1">1/(1+'Financial Data'!$C$8)^AA$14*AA42</f>
        <v>5593.0638118335773</v>
      </c>
    </row>
    <row r="49" spans="1:27" s="225" customFormat="1">
      <c r="A49" s="223" t="str">
        <f>'Asset Info'!$E$10</f>
        <v>Balfour Beatty</v>
      </c>
      <c r="B49" s="224">
        <f ca="1">1/(1+'Financial Data'!$C$8)^B$14*B43</f>
        <v>0</v>
      </c>
      <c r="C49" s="224">
        <f ca="1">1/(1+'Financial Data'!$C$8)^C$14*C43</f>
        <v>0</v>
      </c>
      <c r="D49" s="224">
        <f ca="1">1/(1+'Financial Data'!$C$8)^D$14*D43</f>
        <v>0</v>
      </c>
      <c r="E49" s="224">
        <f ca="1">1/(1+'Financial Data'!$C$8)^E$14*E43</f>
        <v>0</v>
      </c>
      <c r="F49" s="224">
        <f ca="1">1/(1+'Financial Data'!$C$8)^F$14*F43</f>
        <v>0</v>
      </c>
      <c r="G49" s="224">
        <f ca="1">1/(1+'Financial Data'!$C$8)^G$14*G43</f>
        <v>0</v>
      </c>
      <c r="H49" s="224">
        <f ca="1">1/(1+'Financial Data'!$C$8)^H$14*H43</f>
        <v>0</v>
      </c>
      <c r="I49" s="224">
        <f ca="1">1/(1+'Financial Data'!$C$8)^I$14*I43</f>
        <v>0</v>
      </c>
      <c r="J49" s="224">
        <f ca="1">1/(1+'Financial Data'!$C$8)^J$14*J43</f>
        <v>0</v>
      </c>
      <c r="K49" s="224">
        <f ca="1">1/(1+'Financial Data'!$C$8)^K$14*K43</f>
        <v>0</v>
      </c>
      <c r="L49" s="224">
        <f ca="1">1/(1+'Financial Data'!$C$8)^L$14*L43</f>
        <v>0</v>
      </c>
      <c r="M49" s="224">
        <f ca="1">1/(1+'Financial Data'!$C$8)^M$14*M43</f>
        <v>0</v>
      </c>
      <c r="N49" s="224">
        <f ca="1">1/(1+'Financial Data'!$C$8)^N$14*N43</f>
        <v>0</v>
      </c>
      <c r="O49" s="224">
        <f ca="1">1/(1+'Financial Data'!$C$8)^O$14*O43</f>
        <v>0</v>
      </c>
      <c r="P49" s="224">
        <f ca="1">1/(1+'Financial Data'!$C$8)^P$14*P43</f>
        <v>0</v>
      </c>
      <c r="Q49" s="224">
        <f ca="1">1/(1+'Financial Data'!$C$8)^Q$14*Q43</f>
        <v>0</v>
      </c>
      <c r="R49" s="224">
        <f ca="1">1/(1+'Financial Data'!$C$8)^R$14*R43</f>
        <v>0</v>
      </c>
      <c r="S49" s="224">
        <f ca="1">1/(1+'Financial Data'!$C$8)^S$14*S43</f>
        <v>0</v>
      </c>
      <c r="T49" s="224">
        <f ca="1">1/(1+'Financial Data'!$C$8)^T$14*T43</f>
        <v>0</v>
      </c>
      <c r="U49" s="224">
        <f ca="1">1/(1+'Financial Data'!$C$8)^U$14*U43</f>
        <v>0</v>
      </c>
      <c r="V49" s="224">
        <f ca="1">1/(1+'Financial Data'!$C$8)^V$14*V43</f>
        <v>0</v>
      </c>
      <c r="W49" s="224">
        <f ca="1">1/(1+'Financial Data'!$C$8)^W$14*W43</f>
        <v>0</v>
      </c>
      <c r="X49" s="224">
        <f ca="1">1/(1+'Financial Data'!$C$8)^X$14*X43</f>
        <v>0</v>
      </c>
      <c r="Y49" s="224">
        <f ca="1">1/(1+'Financial Data'!$C$8)^Y$14*Y43</f>
        <v>0</v>
      </c>
      <c r="Z49" s="224">
        <f ca="1">1/(1+'Financial Data'!$C$8)^Z$14*Z43</f>
        <v>0</v>
      </c>
      <c r="AA49" s="224">
        <f ca="1">1/(1+'Financial Data'!$C$8)^AA$14*AA43</f>
        <v>0</v>
      </c>
    </row>
    <row r="50" spans="1:27" s="225" customFormat="1">
      <c r="A50" s="223" t="str">
        <f>'Asset Info'!$F$10</f>
        <v>RSSB</v>
      </c>
      <c r="B50" s="224">
        <f ca="1">1/(1+'Financial Data'!$C$8)^B$14*B44</f>
        <v>-6250</v>
      </c>
      <c r="C50" s="224">
        <f ca="1">1/(1+'Financial Data'!$C$8)^C$14*C44</f>
        <v>-12077.294685990339</v>
      </c>
      <c r="D50" s="224">
        <f ca="1">1/(1+'Financial Data'!$C$8)^D$14*D44</f>
        <v>-11668.883754580038</v>
      </c>
      <c r="E50" s="224">
        <f ca="1">1/(1+'Financial Data'!$C$8)^E$14*E44</f>
        <v>-11274.28382085028</v>
      </c>
      <c r="F50" s="224">
        <f ca="1">1/(1+'Financial Data'!$C$8)^F$14*F44</f>
        <v>-10893.027846232155</v>
      </c>
      <c r="G50" s="224">
        <f ca="1">1/(1+'Financial Data'!$C$8)^G$14*G44</f>
        <v>-10524.664585731553</v>
      </c>
      <c r="H50" s="224">
        <f ca="1">1/(1+'Financial Data'!$C$8)^H$14*H44</f>
        <v>-10168.75805384691</v>
      </c>
      <c r="I50" s="224">
        <f ca="1">1/(1+'Financial Data'!$C$8)^I$14*I44</f>
        <v>-9824.8870085477392</v>
      </c>
      <c r="J50" s="224">
        <f ca="1">1/(1+'Financial Data'!$C$8)^J$14*J44</f>
        <v>-9492.6444527031326</v>
      </c>
      <c r="K50" s="224">
        <f ca="1">1/(1+'Financial Data'!$C$8)^K$14*K44</f>
        <v>-9171.6371523701764</v>
      </c>
      <c r="L50" s="224">
        <f ca="1">1/(1+'Financial Data'!$C$8)^L$14*L44</f>
        <v>-8861.4851713721528</v>
      </c>
      <c r="M50" s="224">
        <f ca="1">1/(1+'Financial Data'!$C$8)^M$14*M44</f>
        <v>-8561.8214216156066</v>
      </c>
      <c r="N50" s="224">
        <f ca="1">1/(1+'Financial Data'!$C$8)^N$14*N44</f>
        <v>-8272.2912286141127</v>
      </c>
      <c r="O50" s="224">
        <f ca="1">1/(1+'Financial Data'!$C$8)^O$14*O44</f>
        <v>-7992.5519117044587</v>
      </c>
      <c r="P50" s="224">
        <f ca="1">1/(1+'Financial Data'!$C$8)^P$14*P44</f>
        <v>-7722.2723784584123</v>
      </c>
      <c r="Q50" s="224">
        <f ca="1">1/(1+'Financial Data'!$C$8)^Q$14*Q44</f>
        <v>-7461.1327328100624</v>
      </c>
      <c r="R50" s="224">
        <f ca="1">1/(1+'Financial Data'!$C$8)^R$14*R44</f>
        <v>-7208.8238964348429</v>
      </c>
      <c r="S50" s="224">
        <f ca="1">1/(1+'Financial Data'!$C$8)^S$14*S44</f>
        <v>-6965.0472429322162</v>
      </c>
      <c r="T50" s="224">
        <f ca="1">1/(1+'Financial Data'!$C$8)^T$14*T44</f>
        <v>-6729.5142443789537</v>
      </c>
      <c r="U50" s="224">
        <f ca="1">1/(1+'Financial Data'!$C$8)^U$14*U44</f>
        <v>-6501.9461298347387</v>
      </c>
      <c r="V50" s="224">
        <f ca="1">1/(1+'Financial Data'!$C$8)^V$14*V44</f>
        <v>-6282.073555395883</v>
      </c>
      <c r="W50" s="224">
        <f ca="1">1/(1+'Financial Data'!$C$8)^W$14*W44</f>
        <v>-6069.636285406652</v>
      </c>
      <c r="X50" s="224">
        <f ca="1">1/(1+'Financial Data'!$C$8)^X$14*X44</f>
        <v>-5864.3828844508707</v>
      </c>
      <c r="Y50" s="224">
        <f ca="1">1/(1+'Financial Data'!$C$8)^Y$14*Y44</f>
        <v>-5666.0704197592959</v>
      </c>
      <c r="Z50" s="224">
        <f ca="1">1/(1+'Financial Data'!$C$8)^Z$14*Z44</f>
        <v>-5474.4641736804797</v>
      </c>
      <c r="AA50" s="224">
        <f ca="1">1/(1+'Financial Data'!$C$8)^AA$14*AA44</f>
        <v>-5289.3373658748606</v>
      </c>
    </row>
    <row r="51" spans="1:27" s="53" customFormat="1">
      <c r="A51" s="150" t="s">
        <v>185</v>
      </c>
      <c r="B51" s="149">
        <f ca="1">1/(1+'Financial Data'!$C$8)^B14*B45</f>
        <v>2108.890000000596</v>
      </c>
      <c r="C51" s="149">
        <f ca="1">1/(1+'Financial Data'!$C$8)^C14*C45</f>
        <v>2037.5748792276293</v>
      </c>
      <c r="D51" s="149">
        <f ca="1">1/(1+'Financial Data'!$C$8)^D14*D45</f>
        <v>0</v>
      </c>
      <c r="E51" s="149">
        <f ca="1">1/(1+'Financial Data'!$C$8)^E14*E45</f>
        <v>0</v>
      </c>
      <c r="F51" s="149">
        <f ca="1">1/(1+'Financial Data'!$C$8)^F14*F45</f>
        <v>0</v>
      </c>
      <c r="G51" s="149">
        <f ca="1">1/(1+'Financial Data'!$C$8)^G14*G45</f>
        <v>0</v>
      </c>
      <c r="H51" s="149">
        <f ca="1">1/(1+'Financial Data'!$C$8)^H14*H45</f>
        <v>0</v>
      </c>
      <c r="I51" s="149">
        <f ca="1">1/(1+'Financial Data'!$C$8)^I14*I45</f>
        <v>0</v>
      </c>
      <c r="J51" s="149">
        <f ca="1">1/(1+'Financial Data'!$C$8)^J14*J45</f>
        <v>0</v>
      </c>
      <c r="K51" s="149">
        <f ca="1">1/(1+'Financial Data'!$C$8)^K14*K45</f>
        <v>0</v>
      </c>
      <c r="L51" s="149">
        <f ca="1">1/(1+'Financial Data'!$C$8)^L14*L45</f>
        <v>0</v>
      </c>
      <c r="M51" s="149">
        <f ca="1">1/(1+'Financial Data'!$C$8)^M14*M45</f>
        <v>0</v>
      </c>
      <c r="N51" s="149">
        <f ca="1">1/(1+'Financial Data'!$C$8)^N14*N45</f>
        <v>0</v>
      </c>
      <c r="O51" s="149">
        <f ca="1">1/(1+'Financial Data'!$C$8)^O14*O45</f>
        <v>0</v>
      </c>
      <c r="P51" s="149">
        <f ca="1">1/(1+'Financial Data'!$C$8)^P14*P45</f>
        <v>0</v>
      </c>
      <c r="Q51" s="149">
        <f ca="1">1/(1+'Financial Data'!$C$8)^Q14*Q45</f>
        <v>0</v>
      </c>
      <c r="R51" s="149">
        <f ca="1">1/(1+'Financial Data'!$C$8)^R14*R45</f>
        <v>0</v>
      </c>
      <c r="S51" s="149">
        <f ca="1">1/(1+'Financial Data'!$C$8)^S14*S45</f>
        <v>0</v>
      </c>
      <c r="T51" s="149">
        <f ca="1">1/(1+'Financial Data'!$C$8)^T14*T45</f>
        <v>0</v>
      </c>
      <c r="U51" s="149">
        <f ca="1">1/(1+'Financial Data'!$C$8)^U14*U45</f>
        <v>0</v>
      </c>
      <c r="V51" s="149">
        <f ca="1">1/(1+'Financial Data'!$C$8)^V14*V45</f>
        <v>0</v>
      </c>
      <c r="W51" s="149">
        <f ca="1">1/(1+'Financial Data'!$C$8)^W14*W45</f>
        <v>0</v>
      </c>
      <c r="X51" s="149">
        <f ca="1">1/(1+'Financial Data'!$C$8)^X14*X45</f>
        <v>0</v>
      </c>
      <c r="Y51" s="149">
        <f ca="1">1/(1+'Financial Data'!$C$8)^Y14*Y45</f>
        <v>0</v>
      </c>
      <c r="Z51" s="149">
        <f ca="1">1/(1+'Financial Data'!$C$8)^Z14*Z45</f>
        <v>0</v>
      </c>
      <c r="AA51" s="149">
        <f ca="1">1/(1+'Financial Data'!$C$8)^AA14*AA45</f>
        <v>0</v>
      </c>
    </row>
    <row r="52" spans="1:27">
      <c r="A52" s="21"/>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row>
    <row r="53" spans="1:27">
      <c r="A53" s="22" t="s">
        <v>188</v>
      </c>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row>
    <row r="54" spans="1:27" s="53" customFormat="1">
      <c r="A54" s="148" t="s">
        <v>161</v>
      </c>
      <c r="B54" s="149">
        <f t="shared" ref="B54:AA54" ca="1" si="1">B22+B40</f>
        <v>-32891.109999999404</v>
      </c>
      <c r="C54" s="149">
        <f t="shared" ca="1" si="1"/>
        <v>-30782.219999998808</v>
      </c>
      <c r="D54" s="149">
        <f t="shared" ca="1" si="1"/>
        <v>4217.7800000011921</v>
      </c>
      <c r="E54" s="149">
        <f t="shared" ca="1" si="1"/>
        <v>4217.7800000011921</v>
      </c>
      <c r="F54" s="149">
        <f t="shared" ca="1" si="1"/>
        <v>4217.7800000011921</v>
      </c>
      <c r="G54" s="149">
        <f t="shared" ca="1" si="1"/>
        <v>4217.7800000011921</v>
      </c>
      <c r="H54" s="149">
        <f t="shared" ca="1" si="1"/>
        <v>4217.7800000011921</v>
      </c>
      <c r="I54" s="149">
        <f t="shared" ca="1" si="1"/>
        <v>4217.7800000011921</v>
      </c>
      <c r="J54" s="149">
        <f t="shared" ca="1" si="1"/>
        <v>4217.7800000011921</v>
      </c>
      <c r="K54" s="149">
        <f t="shared" ca="1" si="1"/>
        <v>4217.7800000011921</v>
      </c>
      <c r="L54" s="149">
        <f t="shared" ca="1" si="1"/>
        <v>4217.7800000011921</v>
      </c>
      <c r="M54" s="149">
        <f t="shared" ca="1" si="1"/>
        <v>4217.7800000011921</v>
      </c>
      <c r="N54" s="149">
        <f t="shared" ca="1" si="1"/>
        <v>4217.7800000011921</v>
      </c>
      <c r="O54" s="149">
        <f t="shared" ca="1" si="1"/>
        <v>4217.7800000011921</v>
      </c>
      <c r="P54" s="149">
        <f t="shared" ca="1" si="1"/>
        <v>4217.7800000011921</v>
      </c>
      <c r="Q54" s="149">
        <f t="shared" ca="1" si="1"/>
        <v>4217.7800000011921</v>
      </c>
      <c r="R54" s="149">
        <f t="shared" ca="1" si="1"/>
        <v>4217.7800000011921</v>
      </c>
      <c r="S54" s="149">
        <f t="shared" ca="1" si="1"/>
        <v>4217.7800000011921</v>
      </c>
      <c r="T54" s="149">
        <f t="shared" ca="1" si="1"/>
        <v>4217.7800000011921</v>
      </c>
      <c r="U54" s="149">
        <f t="shared" ca="1" si="1"/>
        <v>4217.7800000011921</v>
      </c>
      <c r="V54" s="149">
        <f t="shared" ca="1" si="1"/>
        <v>4217.7800000011921</v>
      </c>
      <c r="W54" s="149">
        <f t="shared" ca="1" si="1"/>
        <v>4217.7800000011921</v>
      </c>
      <c r="X54" s="149">
        <f t="shared" ca="1" si="1"/>
        <v>4217.7800000011921</v>
      </c>
      <c r="Y54" s="149">
        <f t="shared" ca="1" si="1"/>
        <v>4217.7800000011921</v>
      </c>
      <c r="Z54" s="149">
        <f t="shared" ca="1" si="1"/>
        <v>4217.7800000011921</v>
      </c>
      <c r="AA54" s="149">
        <f t="shared" ca="1" si="1"/>
        <v>4217.7800000011921</v>
      </c>
    </row>
    <row r="55" spans="1:27" s="225" customFormat="1">
      <c r="A55" s="223" t="str">
        <f>'Asset Info'!$C$10</f>
        <v>Crossrail</v>
      </c>
      <c r="B55" s="224">
        <f t="shared" ref="B55:AA55" ca="1" si="2">B23+B41</f>
        <v>1750</v>
      </c>
      <c r="C55" s="224">
        <f t="shared" ca="1" si="2"/>
        <v>3500</v>
      </c>
      <c r="D55" s="224">
        <f t="shared" ca="1" si="2"/>
        <v>3500</v>
      </c>
      <c r="E55" s="224">
        <f t="shared" ca="1" si="2"/>
        <v>3500</v>
      </c>
      <c r="F55" s="224">
        <f t="shared" ca="1" si="2"/>
        <v>3500</v>
      </c>
      <c r="G55" s="224">
        <f t="shared" ca="1" si="2"/>
        <v>3500</v>
      </c>
      <c r="H55" s="224">
        <f t="shared" ca="1" si="2"/>
        <v>3500</v>
      </c>
      <c r="I55" s="224">
        <f t="shared" ca="1" si="2"/>
        <v>3500</v>
      </c>
      <c r="J55" s="224">
        <f t="shared" ca="1" si="2"/>
        <v>3500</v>
      </c>
      <c r="K55" s="224">
        <f t="shared" ca="1" si="2"/>
        <v>3500</v>
      </c>
      <c r="L55" s="224">
        <f t="shared" ca="1" si="2"/>
        <v>3500</v>
      </c>
      <c r="M55" s="224">
        <f t="shared" ca="1" si="2"/>
        <v>3500</v>
      </c>
      <c r="N55" s="224">
        <f t="shared" ca="1" si="2"/>
        <v>3500</v>
      </c>
      <c r="O55" s="224">
        <f t="shared" ca="1" si="2"/>
        <v>3500</v>
      </c>
      <c r="P55" s="224">
        <f t="shared" ca="1" si="2"/>
        <v>3500</v>
      </c>
      <c r="Q55" s="224">
        <f t="shared" ca="1" si="2"/>
        <v>3500</v>
      </c>
      <c r="R55" s="224">
        <f t="shared" ca="1" si="2"/>
        <v>3500</v>
      </c>
      <c r="S55" s="224">
        <f t="shared" ca="1" si="2"/>
        <v>3500</v>
      </c>
      <c r="T55" s="224">
        <f t="shared" ca="1" si="2"/>
        <v>3500</v>
      </c>
      <c r="U55" s="224">
        <f t="shared" ca="1" si="2"/>
        <v>3500</v>
      </c>
      <c r="V55" s="224">
        <f t="shared" ca="1" si="2"/>
        <v>3500</v>
      </c>
      <c r="W55" s="224">
        <f t="shared" ca="1" si="2"/>
        <v>3500</v>
      </c>
      <c r="X55" s="224">
        <f t="shared" ca="1" si="2"/>
        <v>3500</v>
      </c>
      <c r="Y55" s="224">
        <f t="shared" ca="1" si="2"/>
        <v>3500</v>
      </c>
      <c r="Z55" s="224">
        <f t="shared" ca="1" si="2"/>
        <v>3500</v>
      </c>
      <c r="AA55" s="224">
        <f t="shared" ca="1" si="2"/>
        <v>3500</v>
      </c>
    </row>
    <row r="56" spans="1:27" s="225" customFormat="1">
      <c r="A56" s="223" t="str">
        <f>'Asset Info'!$D$10</f>
        <v>NR Western</v>
      </c>
      <c r="B56" s="224">
        <f t="shared" ref="B56:AA56" ca="1" si="3">B24+B42</f>
        <v>-17891.109999999404</v>
      </c>
      <c r="C56" s="224">
        <f t="shared" ca="1" si="3"/>
        <v>-11282.219999998808</v>
      </c>
      <c r="D56" s="224">
        <f t="shared" ca="1" si="3"/>
        <v>13217.780000001192</v>
      </c>
      <c r="E56" s="224">
        <f t="shared" ca="1" si="3"/>
        <v>13217.780000001192</v>
      </c>
      <c r="F56" s="224">
        <f t="shared" ca="1" si="3"/>
        <v>13217.780000001192</v>
      </c>
      <c r="G56" s="224">
        <f t="shared" ca="1" si="3"/>
        <v>13217.780000001192</v>
      </c>
      <c r="H56" s="224">
        <f t="shared" ca="1" si="3"/>
        <v>13217.780000001192</v>
      </c>
      <c r="I56" s="224">
        <f t="shared" ca="1" si="3"/>
        <v>13217.780000001192</v>
      </c>
      <c r="J56" s="224">
        <f t="shared" ca="1" si="3"/>
        <v>13217.780000001192</v>
      </c>
      <c r="K56" s="224">
        <f t="shared" ca="1" si="3"/>
        <v>13217.780000001192</v>
      </c>
      <c r="L56" s="224">
        <f t="shared" ca="1" si="3"/>
        <v>13217.780000001192</v>
      </c>
      <c r="M56" s="224">
        <f t="shared" ca="1" si="3"/>
        <v>13217.780000001192</v>
      </c>
      <c r="N56" s="224">
        <f t="shared" ca="1" si="3"/>
        <v>13217.780000001192</v>
      </c>
      <c r="O56" s="224">
        <f t="shared" ca="1" si="3"/>
        <v>13217.780000001192</v>
      </c>
      <c r="P56" s="224">
        <f t="shared" ca="1" si="3"/>
        <v>13217.780000001192</v>
      </c>
      <c r="Q56" s="224">
        <f t="shared" ca="1" si="3"/>
        <v>13217.780000001192</v>
      </c>
      <c r="R56" s="224">
        <f t="shared" ca="1" si="3"/>
        <v>13217.780000001192</v>
      </c>
      <c r="S56" s="224">
        <f t="shared" ca="1" si="3"/>
        <v>13217.780000001192</v>
      </c>
      <c r="T56" s="224">
        <f t="shared" ca="1" si="3"/>
        <v>13217.780000001192</v>
      </c>
      <c r="U56" s="224">
        <f t="shared" ca="1" si="3"/>
        <v>13217.780000001192</v>
      </c>
      <c r="V56" s="224">
        <f t="shared" ca="1" si="3"/>
        <v>13217.780000001192</v>
      </c>
      <c r="W56" s="224">
        <f t="shared" ca="1" si="3"/>
        <v>13217.780000001192</v>
      </c>
      <c r="X56" s="224">
        <f t="shared" ca="1" si="3"/>
        <v>13217.780000001192</v>
      </c>
      <c r="Y56" s="224">
        <f t="shared" ca="1" si="3"/>
        <v>13217.780000001192</v>
      </c>
      <c r="Z56" s="224">
        <f t="shared" ca="1" si="3"/>
        <v>13217.780000001192</v>
      </c>
      <c r="AA56" s="224">
        <f t="shared" ca="1" si="3"/>
        <v>13217.780000001192</v>
      </c>
    </row>
    <row r="57" spans="1:27" s="225" customFormat="1">
      <c r="A57" s="223" t="str">
        <f>'Asset Info'!$E$10</f>
        <v>Balfour Beatty</v>
      </c>
      <c r="B57" s="224">
        <f t="shared" ref="B57:AA57" ca="1" si="4">B25+B43</f>
        <v>0</v>
      </c>
      <c r="C57" s="224">
        <f t="shared" ca="1" si="4"/>
        <v>0</v>
      </c>
      <c r="D57" s="224">
        <f t="shared" ca="1" si="4"/>
        <v>0</v>
      </c>
      <c r="E57" s="224">
        <f t="shared" ca="1" si="4"/>
        <v>0</v>
      </c>
      <c r="F57" s="224">
        <f t="shared" ca="1" si="4"/>
        <v>0</v>
      </c>
      <c r="G57" s="224">
        <f t="shared" ca="1" si="4"/>
        <v>0</v>
      </c>
      <c r="H57" s="224">
        <f t="shared" ca="1" si="4"/>
        <v>0</v>
      </c>
      <c r="I57" s="224">
        <f t="shared" ca="1" si="4"/>
        <v>0</v>
      </c>
      <c r="J57" s="224">
        <f t="shared" ca="1" si="4"/>
        <v>0</v>
      </c>
      <c r="K57" s="224">
        <f t="shared" ca="1" si="4"/>
        <v>0</v>
      </c>
      <c r="L57" s="224">
        <f t="shared" ca="1" si="4"/>
        <v>0</v>
      </c>
      <c r="M57" s="224">
        <f t="shared" ca="1" si="4"/>
        <v>0</v>
      </c>
      <c r="N57" s="224">
        <f t="shared" ca="1" si="4"/>
        <v>0</v>
      </c>
      <c r="O57" s="224">
        <f t="shared" ca="1" si="4"/>
        <v>0</v>
      </c>
      <c r="P57" s="224">
        <f t="shared" ca="1" si="4"/>
        <v>0</v>
      </c>
      <c r="Q57" s="224">
        <f t="shared" ca="1" si="4"/>
        <v>0</v>
      </c>
      <c r="R57" s="224">
        <f t="shared" ca="1" si="4"/>
        <v>0</v>
      </c>
      <c r="S57" s="224">
        <f t="shared" ca="1" si="4"/>
        <v>0</v>
      </c>
      <c r="T57" s="224">
        <f t="shared" ca="1" si="4"/>
        <v>0</v>
      </c>
      <c r="U57" s="224">
        <f t="shared" ca="1" si="4"/>
        <v>0</v>
      </c>
      <c r="V57" s="224">
        <f t="shared" ca="1" si="4"/>
        <v>0</v>
      </c>
      <c r="W57" s="224">
        <f t="shared" ca="1" si="4"/>
        <v>0</v>
      </c>
      <c r="X57" s="224">
        <f t="shared" ca="1" si="4"/>
        <v>0</v>
      </c>
      <c r="Y57" s="224">
        <f t="shared" ca="1" si="4"/>
        <v>0</v>
      </c>
      <c r="Z57" s="224">
        <f t="shared" ca="1" si="4"/>
        <v>0</v>
      </c>
      <c r="AA57" s="224">
        <f t="shared" ca="1" si="4"/>
        <v>0</v>
      </c>
    </row>
    <row r="58" spans="1:27" s="225" customFormat="1">
      <c r="A58" s="223" t="str">
        <f>'Asset Info'!$F$10</f>
        <v>RSSB</v>
      </c>
      <c r="B58" s="224">
        <f t="shared" ref="B58:AA58" ca="1" si="5">B26+B44</f>
        <v>-16750</v>
      </c>
      <c r="C58" s="224">
        <f t="shared" ca="1" si="5"/>
        <v>-23000</v>
      </c>
      <c r="D58" s="224">
        <f t="shared" ca="1" si="5"/>
        <v>-12500</v>
      </c>
      <c r="E58" s="224">
        <f t="shared" ca="1" si="5"/>
        <v>-12500</v>
      </c>
      <c r="F58" s="224">
        <f t="shared" ca="1" si="5"/>
        <v>-12500</v>
      </c>
      <c r="G58" s="224">
        <f t="shared" ca="1" si="5"/>
        <v>-12500</v>
      </c>
      <c r="H58" s="224">
        <f t="shared" ca="1" si="5"/>
        <v>-12500</v>
      </c>
      <c r="I58" s="224">
        <f t="shared" ca="1" si="5"/>
        <v>-12500</v>
      </c>
      <c r="J58" s="224">
        <f t="shared" ca="1" si="5"/>
        <v>-12500</v>
      </c>
      <c r="K58" s="224">
        <f t="shared" ca="1" si="5"/>
        <v>-12500</v>
      </c>
      <c r="L58" s="224">
        <f t="shared" ca="1" si="5"/>
        <v>-12500</v>
      </c>
      <c r="M58" s="224">
        <f t="shared" ca="1" si="5"/>
        <v>-12500</v>
      </c>
      <c r="N58" s="224">
        <f t="shared" ca="1" si="5"/>
        <v>-12500</v>
      </c>
      <c r="O58" s="224">
        <f t="shared" ca="1" si="5"/>
        <v>-12500</v>
      </c>
      <c r="P58" s="224">
        <f t="shared" ca="1" si="5"/>
        <v>-12500</v>
      </c>
      <c r="Q58" s="224">
        <f t="shared" ca="1" si="5"/>
        <v>-12500</v>
      </c>
      <c r="R58" s="224">
        <f t="shared" ca="1" si="5"/>
        <v>-12500</v>
      </c>
      <c r="S58" s="224">
        <f t="shared" ca="1" si="5"/>
        <v>-12500</v>
      </c>
      <c r="T58" s="224">
        <f t="shared" ca="1" si="5"/>
        <v>-12500</v>
      </c>
      <c r="U58" s="224">
        <f t="shared" ca="1" si="5"/>
        <v>-12500</v>
      </c>
      <c r="V58" s="224">
        <f t="shared" ca="1" si="5"/>
        <v>-12500</v>
      </c>
      <c r="W58" s="224">
        <f t="shared" ca="1" si="5"/>
        <v>-12500</v>
      </c>
      <c r="X58" s="224">
        <f t="shared" ca="1" si="5"/>
        <v>-12500</v>
      </c>
      <c r="Y58" s="224">
        <f t="shared" ca="1" si="5"/>
        <v>-12500</v>
      </c>
      <c r="Z58" s="224">
        <f t="shared" ca="1" si="5"/>
        <v>-12500</v>
      </c>
      <c r="AA58" s="224">
        <f t="shared" ca="1" si="5"/>
        <v>-12500</v>
      </c>
    </row>
    <row r="59" spans="1:27" s="53" customFormat="1">
      <c r="A59" s="150" t="s">
        <v>186</v>
      </c>
      <c r="B59" s="149">
        <f ca="1">1/(1+'Financial Data'!$C$8)^B14*B54</f>
        <v>-32891.109999999404</v>
      </c>
      <c r="C59" s="149">
        <f ca="1">1/(1+'Financial Data'!$C$8)^C14*C54</f>
        <v>-29741.27536231769</v>
      </c>
      <c r="D59" s="149">
        <f ca="1">1/(1+'Financial Data'!$C$8)^D14*D54</f>
        <v>3937.3427617925204</v>
      </c>
      <c r="E59" s="149">
        <f ca="1">1/(1+'Financial Data'!$C$8)^E14*E54</f>
        <v>3804.1959051135468</v>
      </c>
      <c r="F59" s="149">
        <f ca="1">1/(1+'Financial Data'!$C$8)^F14*F54</f>
        <v>3675.5515991435236</v>
      </c>
      <c r="G59" s="149">
        <f ca="1">1/(1+'Financial Data'!$C$8)^G14*G54</f>
        <v>3551.25758371355</v>
      </c>
      <c r="H59" s="149">
        <f ca="1">1/(1+'Financial Data'!$C$8)^H14*H54</f>
        <v>3431.1667475493236</v>
      </c>
      <c r="I59" s="149">
        <f ca="1">1/(1+'Financial Data'!$C$8)^I14*I54</f>
        <v>3315.1369541539357</v>
      </c>
      <c r="J59" s="149">
        <f ca="1">1/(1+'Financial Data'!$C$8)^J14*J54</f>
        <v>3203.0308735786825</v>
      </c>
      <c r="K59" s="149">
        <f ca="1">1/(1+'Financial Data'!$C$8)^K14*K54</f>
        <v>3094.7158198827856</v>
      </c>
      <c r="L59" s="149">
        <f ca="1">1/(1+'Financial Data'!$C$8)^L14*L54</f>
        <v>2990.0635940896477</v>
      </c>
      <c r="M59" s="149">
        <f ca="1">1/(1+'Financial Data'!$C$8)^M14*M54</f>
        <v>2888.9503324537664</v>
      </c>
      <c r="N59" s="149">
        <f ca="1">1/(1+'Financial Data'!$C$8)^N14*N54</f>
        <v>2791.2563598587112</v>
      </c>
      <c r="O59" s="149">
        <f ca="1">1/(1+'Financial Data'!$C$8)^O14*O54</f>
        <v>2696.8660481726688</v>
      </c>
      <c r="P59" s="149">
        <f ca="1">1/(1+'Financial Data'!$C$8)^P14*P54</f>
        <v>2605.6676793938823</v>
      </c>
      <c r="Q59" s="149">
        <f ca="1">1/(1+'Financial Data'!$C$8)^Q14*Q54</f>
        <v>2517.5533134240413</v>
      </c>
      <c r="R59" s="149">
        <f ca="1">1/(1+'Financial Data'!$C$8)^R14*R54</f>
        <v>2432.4186603130838</v>
      </c>
      <c r="S59" s="149">
        <f ca="1">1/(1+'Financial Data'!$C$8)^S14*S54</f>
        <v>2350.1629568242356</v>
      </c>
      <c r="T59" s="149">
        <f ca="1">1/(1+'Financial Data'!$C$8)^T14*T54</f>
        <v>2270.688847173175</v>
      </c>
      <c r="U59" s="149">
        <f ca="1">1/(1+'Financial Data'!$C$8)^U14*U54</f>
        <v>2193.9022678001693</v>
      </c>
      <c r="V59" s="149">
        <f ca="1">1/(1+'Financial Data'!$C$8)^V14*V54</f>
        <v>2119.7123360388109</v>
      </c>
      <c r="W59" s="149">
        <f ca="1">1/(1+'Financial Data'!$C$8)^W14*W54</f>
        <v>2048.0312425495763</v>
      </c>
      <c r="X59" s="149">
        <f ca="1">1/(1+'Financial Data'!$C$8)^X14*X54</f>
        <v>1978.7741473908948</v>
      </c>
      <c r="Y59" s="149">
        <f ca="1">1/(1+'Financial Data'!$C$8)^Y14*Y54</f>
        <v>1911.8590796047292</v>
      </c>
      <c r="Z59" s="149">
        <f ca="1">1/(1+'Financial Data'!$C$8)^Z14*Z54</f>
        <v>1847.2068401978065</v>
      </c>
      <c r="AA59" s="149">
        <f ca="1">1/(1+'Financial Data'!$C$8)^AA14*AA54</f>
        <v>1784.7409084036778</v>
      </c>
    </row>
    <row r="60" spans="1:27" s="53" customFormat="1">
      <c r="A60" s="150" t="s">
        <v>221</v>
      </c>
      <c r="B60" s="149">
        <f ca="1">B59</f>
        <v>-32891.109999999404</v>
      </c>
      <c r="C60" s="149">
        <f t="shared" ref="C60:AA60" ca="1" si="6">B60+C59</f>
        <v>-62632.385362317094</v>
      </c>
      <c r="D60" s="149">
        <f t="shared" ca="1" si="6"/>
        <v>-58695.042600524575</v>
      </c>
      <c r="E60" s="149">
        <f t="shared" ca="1" si="6"/>
        <v>-54890.846695411026</v>
      </c>
      <c r="F60" s="149">
        <f t="shared" ca="1" si="6"/>
        <v>-51215.295096267502</v>
      </c>
      <c r="G60" s="149">
        <f t="shared" ca="1" si="6"/>
        <v>-47664.03751255395</v>
      </c>
      <c r="H60" s="149">
        <f t="shared" ca="1" si="6"/>
        <v>-44232.870765004627</v>
      </c>
      <c r="I60" s="149">
        <f t="shared" ca="1" si="6"/>
        <v>-40917.733810850688</v>
      </c>
      <c r="J60" s="149">
        <f t="shared" ca="1" si="6"/>
        <v>-37714.702937272006</v>
      </c>
      <c r="K60" s="149">
        <f t="shared" ca="1" si="6"/>
        <v>-34619.987117389217</v>
      </c>
      <c r="L60" s="149">
        <f t="shared" ca="1" si="6"/>
        <v>-31629.923523299571</v>
      </c>
      <c r="M60" s="149">
        <f t="shared" ca="1" si="6"/>
        <v>-28740.973190845805</v>
      </c>
      <c r="N60" s="149">
        <f t="shared" ca="1" si="6"/>
        <v>-25949.716830987094</v>
      </c>
      <c r="O60" s="149">
        <f t="shared" ca="1" si="6"/>
        <v>-23252.850782814425</v>
      </c>
      <c r="P60" s="149">
        <f t="shared" ca="1" si="6"/>
        <v>-20647.183103420542</v>
      </c>
      <c r="Q60" s="149">
        <f t="shared" ca="1" si="6"/>
        <v>-18129.629789996499</v>
      </c>
      <c r="R60" s="149">
        <f t="shared" ca="1" si="6"/>
        <v>-15697.211129683415</v>
      </c>
      <c r="S60" s="149">
        <f t="shared" ca="1" si="6"/>
        <v>-13347.04817285918</v>
      </c>
      <c r="T60" s="149">
        <f t="shared" ca="1" si="6"/>
        <v>-11076.359325686006</v>
      </c>
      <c r="U60" s="149">
        <f t="shared" ca="1" si="6"/>
        <v>-8882.4570578858365</v>
      </c>
      <c r="V60" s="149">
        <f t="shared" ca="1" si="6"/>
        <v>-6762.7447218470261</v>
      </c>
      <c r="W60" s="149">
        <f t="shared" ca="1" si="6"/>
        <v>-4714.7134792974502</v>
      </c>
      <c r="X60" s="149">
        <f t="shared" ca="1" si="6"/>
        <v>-2735.9393319065557</v>
      </c>
      <c r="Y60" s="149">
        <f t="shared" ca="1" si="6"/>
        <v>-824.08025230182648</v>
      </c>
      <c r="Z60" s="149">
        <f t="shared" ca="1" si="6"/>
        <v>1023.12658789598</v>
      </c>
      <c r="AA60" s="149">
        <f t="shared" ca="1" si="6"/>
        <v>2807.8674962996579</v>
      </c>
    </row>
    <row r="61" spans="1:27" s="53" customFormat="1">
      <c r="A61" s="150"/>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row>
    <row r="62" spans="1:27" s="53" customFormat="1">
      <c r="A62" s="115"/>
      <c r="B62" s="149" t="s">
        <v>29</v>
      </c>
      <c r="C62" s="149" t="str">
        <f>'Asset Info'!C10</f>
        <v>Crossrail</v>
      </c>
      <c r="D62" s="149" t="str">
        <f>'Asset Info'!D10</f>
        <v>NR Western</v>
      </c>
      <c r="E62" s="149" t="str">
        <f>'Asset Info'!E10</f>
        <v>Balfour Beatty</v>
      </c>
      <c r="F62" s="149" t="str">
        <f>'Asset Info'!F10</f>
        <v>RSSB</v>
      </c>
      <c r="G62" s="149"/>
      <c r="H62" s="149"/>
      <c r="I62" s="149"/>
      <c r="J62" s="149"/>
      <c r="K62" s="149"/>
      <c r="L62" s="149"/>
      <c r="M62" s="149"/>
      <c r="N62" s="149"/>
      <c r="O62" s="149"/>
      <c r="P62" s="149"/>
      <c r="Q62" s="149"/>
      <c r="R62" s="149"/>
      <c r="S62" s="149"/>
      <c r="T62" s="149"/>
      <c r="U62" s="149"/>
      <c r="V62" s="149"/>
      <c r="W62" s="149"/>
      <c r="X62" s="149"/>
      <c r="Y62" s="149"/>
      <c r="Z62" s="149"/>
      <c r="AA62" s="149"/>
    </row>
    <row r="63" spans="1:27">
      <c r="A63" s="22" t="s">
        <v>223</v>
      </c>
      <c r="B63" s="152">
        <f ca="1">SUMPRODUCT($B$27:$AA$27,$B$19:$AA$19)</f>
        <v>-68816.425120772939</v>
      </c>
      <c r="C63" s="152">
        <f ca="1">SUMPRODUCT($B$28:$AA$28,$B$19:$AA$19)</f>
        <v>0</v>
      </c>
      <c r="D63" s="152">
        <f ca="1">SUMPRODUCT($B$29:$AA$29,$B$19:$AA$19)</f>
        <v>-48171.497584541066</v>
      </c>
      <c r="E63" s="152">
        <f ca="1">SUMPRODUCT($B$30:$AA$30,$B$19:$AA$19)</f>
        <v>0</v>
      </c>
      <c r="F63" s="152">
        <f ca="1">SUMPRODUCT($B$31:$AA$31,$B$19:$AA$19)</f>
        <v>-20644.927536231884</v>
      </c>
      <c r="G63" s="149"/>
      <c r="H63" s="149"/>
      <c r="I63" s="149"/>
      <c r="J63" s="149"/>
      <c r="K63" s="149"/>
      <c r="L63" s="149"/>
      <c r="M63" s="149"/>
      <c r="N63" s="149"/>
      <c r="O63" s="149"/>
      <c r="P63" s="149"/>
      <c r="Q63" s="149"/>
      <c r="R63" s="149"/>
      <c r="S63" s="149"/>
      <c r="T63" s="149"/>
      <c r="U63" s="149"/>
      <c r="V63" s="149"/>
      <c r="W63" s="149"/>
      <c r="X63" s="149"/>
      <c r="Y63" s="149"/>
      <c r="Z63" s="149"/>
      <c r="AA63" s="149"/>
    </row>
    <row r="64" spans="1:27">
      <c r="A64" s="22" t="s">
        <v>224</v>
      </c>
      <c r="B64" s="152">
        <f ca="1">SUMPRODUCT($B$46:$AA$46,$B$19:$AA$19)</f>
        <v>37186.501597473369</v>
      </c>
      <c r="C64" s="152">
        <f ca="1">SUMPRODUCT($B$47:$AA$47,$B$19:$AA$19)</f>
        <v>30858.118629022858</v>
      </c>
      <c r="D64" s="152">
        <f ca="1">SUMPRODUCT($B$48:$AA$48,$B$19:$AA$19)</f>
        <v>116535.94950067499</v>
      </c>
      <c r="E64" s="152">
        <f ca="1">SUMPRODUCT($B$49:$AA$49,$B$19:$AA$19)</f>
        <v>0</v>
      </c>
      <c r="F64" s="152">
        <f ca="1">SUMPRODUCT($B$50:$AA$50,$B$19:$AA$19)</f>
        <v>-110207.56653222449</v>
      </c>
      <c r="G64" s="149"/>
      <c r="H64" s="149"/>
      <c r="I64" s="149"/>
      <c r="J64" s="149"/>
      <c r="K64" s="149"/>
      <c r="L64" s="149"/>
      <c r="M64" s="149"/>
      <c r="N64" s="149"/>
      <c r="O64" s="149"/>
      <c r="P64" s="149"/>
      <c r="Q64" s="149"/>
      <c r="R64" s="149"/>
      <c r="S64" s="149"/>
      <c r="T64" s="149"/>
      <c r="U64" s="149"/>
      <c r="V64" s="149"/>
      <c r="W64" s="149"/>
      <c r="X64" s="149"/>
      <c r="Y64" s="149"/>
      <c r="Z64" s="149"/>
      <c r="AA64" s="149"/>
    </row>
    <row r="65" spans="1:27">
      <c r="A65" s="22" t="s">
        <v>187</v>
      </c>
      <c r="B65" s="152">
        <f ca="1">B64+B63</f>
        <v>-31629.923523299571</v>
      </c>
      <c r="C65" s="152">
        <f t="shared" ref="C65:F65" ca="1" si="7">C64+C63</f>
        <v>30858.118629022858</v>
      </c>
      <c r="D65" s="152">
        <f t="shared" ca="1" si="7"/>
        <v>68364.451916133927</v>
      </c>
      <c r="E65" s="152">
        <f t="shared" ca="1" si="7"/>
        <v>0</v>
      </c>
      <c r="F65" s="152">
        <f t="shared" ca="1" si="7"/>
        <v>-130852.49406845638</v>
      </c>
      <c r="G65" s="149"/>
      <c r="H65" s="149"/>
      <c r="I65" s="149"/>
      <c r="J65" s="149"/>
      <c r="K65" s="149"/>
      <c r="L65" s="149"/>
      <c r="M65" s="149"/>
      <c r="N65" s="149"/>
      <c r="O65" s="149"/>
      <c r="P65" s="149"/>
      <c r="Q65" s="149"/>
      <c r="R65" s="149"/>
      <c r="S65" s="149"/>
      <c r="T65" s="149"/>
      <c r="U65" s="149"/>
      <c r="V65" s="149"/>
      <c r="W65" s="149"/>
      <c r="X65" s="149"/>
      <c r="Y65" s="149"/>
      <c r="Z65" s="149"/>
      <c r="AA65" s="149"/>
    </row>
    <row r="66" spans="1:27">
      <c r="A66" s="22" t="s">
        <v>222</v>
      </c>
      <c r="B66" s="153">
        <f ca="1">IF(B63&gt;=0,"n/a",B65/-B63)</f>
        <v>-0.45962753031400577</v>
      </c>
      <c r="C66" s="153" t="str">
        <f t="shared" ref="C66:F66" ca="1" si="8">IF(C63&gt;=0,"n/a",C65/-C63)</f>
        <v>n/a</v>
      </c>
      <c r="D66" s="153">
        <f t="shared" ca="1" si="8"/>
        <v>1.4191888428661408</v>
      </c>
      <c r="E66" s="153" t="str">
        <f t="shared" ca="1" si="8"/>
        <v>n/a</v>
      </c>
      <c r="F66" s="153">
        <f t="shared" ca="1" si="8"/>
        <v>-6.3382394459273357</v>
      </c>
      <c r="G66" s="149"/>
      <c r="H66" s="149"/>
      <c r="I66" s="149"/>
      <c r="J66" s="149"/>
      <c r="K66" s="149"/>
      <c r="L66" s="149"/>
      <c r="M66" s="149"/>
      <c r="N66" s="149"/>
      <c r="O66" s="149"/>
      <c r="P66" s="149"/>
      <c r="Q66" s="149"/>
      <c r="R66" s="149"/>
      <c r="S66" s="149"/>
      <c r="T66" s="149"/>
      <c r="U66" s="149"/>
      <c r="V66" s="149"/>
      <c r="W66" s="149"/>
      <c r="X66" s="149"/>
      <c r="Y66" s="149"/>
      <c r="Z66" s="149"/>
      <c r="AA66" s="149"/>
    </row>
    <row r="67" spans="1:27">
      <c r="A67" s="22"/>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row>
    <row r="68" spans="1:27">
      <c r="A68" s="21"/>
      <c r="B68" s="154"/>
      <c r="C68" s="154"/>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1512"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1513"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1514"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1515"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HA1">
    <tabColor indexed="22"/>
  </sheetPr>
  <dimension ref="A1:AA68"/>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194</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t="s">
        <v>132</v>
      </c>
      <c r="B8" s="136" t="s">
        <v>138</v>
      </c>
      <c r="C8" s="136" t="s">
        <v>138</v>
      </c>
      <c r="D8" s="137">
        <f>'Financial Data'!C17</f>
        <v>2</v>
      </c>
      <c r="E8" s="136" t="s">
        <v>111</v>
      </c>
      <c r="F8" s="21"/>
      <c r="G8" s="21"/>
      <c r="H8" s="21"/>
      <c r="I8" s="21"/>
      <c r="J8" s="21"/>
      <c r="K8" s="21"/>
      <c r="L8" s="21"/>
      <c r="M8" s="21"/>
      <c r="N8" s="21"/>
      <c r="O8" s="21"/>
      <c r="P8" s="21"/>
      <c r="Q8" s="21"/>
      <c r="R8" s="21"/>
      <c r="S8" s="21"/>
      <c r="T8" s="21"/>
      <c r="U8" s="21"/>
      <c r="V8" s="21"/>
      <c r="W8" s="21"/>
      <c r="X8" s="21"/>
      <c r="Y8" s="21"/>
      <c r="Z8" s="21"/>
      <c r="AA8" s="21"/>
    </row>
    <row r="9" spans="1:27" hidden="1">
      <c r="A9" s="138" t="s">
        <v>134</v>
      </c>
      <c r="B9" s="138" t="s">
        <v>141</v>
      </c>
      <c r="C9" s="138" t="s">
        <v>139</v>
      </c>
      <c r="D9" s="139">
        <f>'Financial Data'!C18+D8</f>
        <v>4</v>
      </c>
      <c r="E9" s="138" t="s">
        <v>117</v>
      </c>
      <c r="F9" s="21"/>
      <c r="G9" s="21"/>
      <c r="H9" s="21"/>
      <c r="I9" s="21"/>
      <c r="J9" s="21"/>
      <c r="K9" s="21"/>
      <c r="L9" s="21"/>
      <c r="M9" s="21"/>
      <c r="N9" s="21"/>
      <c r="O9" s="21"/>
      <c r="P9" s="21"/>
      <c r="Q9" s="21"/>
      <c r="R9" s="21"/>
      <c r="S9" s="21"/>
      <c r="T9" s="21"/>
      <c r="U9" s="21"/>
      <c r="V9" s="21"/>
      <c r="W9" s="21"/>
      <c r="X9" s="21"/>
      <c r="Y9" s="21"/>
      <c r="Z9" s="21"/>
      <c r="AA9" s="21"/>
    </row>
    <row r="10" spans="1:27" hidden="1">
      <c r="A10" s="138"/>
      <c r="B10" s="138"/>
      <c r="C10" s="138"/>
      <c r="D10" s="139"/>
      <c r="E10" s="138"/>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c r="B11" s="138"/>
      <c r="C11" s="138"/>
      <c r="D11" s="139"/>
      <c r="E11" s="138"/>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c r="B12" s="140"/>
      <c r="C12" s="140"/>
      <c r="D12" s="141"/>
      <c r="E12" s="140"/>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
        <v>73</v>
      </c>
      <c r="D16" s="139" t="s">
        <v>111</v>
      </c>
      <c r="E16" s="139" t="s">
        <v>111</v>
      </c>
      <c r="F16" s="139" t="s">
        <v>117</v>
      </c>
      <c r="G16" s="139" t="s">
        <v>117</v>
      </c>
      <c r="H16" s="139" t="s">
        <v>117</v>
      </c>
      <c r="I16" s="139" t="s">
        <v>117</v>
      </c>
      <c r="J16" s="139" t="s">
        <v>117</v>
      </c>
      <c r="K16" s="139" t="s">
        <v>117</v>
      </c>
      <c r="L16" s="139" t="s">
        <v>117</v>
      </c>
      <c r="M16" s="139" t="s">
        <v>117</v>
      </c>
      <c r="N16" s="139" t="s">
        <v>117</v>
      </c>
      <c r="O16" s="139" t="s">
        <v>117</v>
      </c>
      <c r="P16" s="139" t="s">
        <v>117</v>
      </c>
      <c r="Q16" s="139" t="s">
        <v>117</v>
      </c>
      <c r="R16" s="139" t="s">
        <v>117</v>
      </c>
      <c r="S16" s="139" t="s">
        <v>117</v>
      </c>
      <c r="T16" s="139" t="s">
        <v>117</v>
      </c>
      <c r="U16" s="139" t="s">
        <v>117</v>
      </c>
      <c r="V16" s="139" t="s">
        <v>117</v>
      </c>
      <c r="W16" s="139" t="s">
        <v>117</v>
      </c>
      <c r="X16" s="139" t="s">
        <v>117</v>
      </c>
      <c r="Y16" s="139" t="s">
        <v>117</v>
      </c>
      <c r="Z16" s="139" t="s">
        <v>117</v>
      </c>
      <c r="AA16" s="139" t="s">
        <v>117</v>
      </c>
    </row>
    <row r="17" spans="1:27" hidden="1">
      <c r="A17" s="75" t="s">
        <v>190</v>
      </c>
      <c r="B17" s="139" t="s">
        <v>111</v>
      </c>
      <c r="C17" s="139" t="s">
        <v>111</v>
      </c>
      <c r="D17" s="139" t="s">
        <v>117</v>
      </c>
      <c r="E17" s="139" t="s">
        <v>117</v>
      </c>
      <c r="F17" s="139" t="s">
        <v>118</v>
      </c>
      <c r="G17" s="139" t="s">
        <v>118</v>
      </c>
      <c r="H17" s="139" t="s">
        <v>118</v>
      </c>
      <c r="I17" s="139" t="s">
        <v>118</v>
      </c>
      <c r="J17" s="139" t="s">
        <v>118</v>
      </c>
      <c r="K17" s="139" t="s">
        <v>118</v>
      </c>
      <c r="L17" s="139" t="s">
        <v>118</v>
      </c>
      <c r="M17" s="139" t="s">
        <v>118</v>
      </c>
      <c r="N17" s="139" t="s">
        <v>118</v>
      </c>
      <c r="O17" s="139" t="s">
        <v>118</v>
      </c>
      <c r="P17" s="139" t="s">
        <v>118</v>
      </c>
      <c r="Q17" s="139" t="s">
        <v>118</v>
      </c>
      <c r="R17" s="139" t="s">
        <v>118</v>
      </c>
      <c r="S17" s="139" t="s">
        <v>118</v>
      </c>
      <c r="T17" s="139" t="s">
        <v>118</v>
      </c>
      <c r="U17" s="139" t="s">
        <v>118</v>
      </c>
      <c r="V17" s="139" t="s">
        <v>118</v>
      </c>
      <c r="W17" s="139" t="s">
        <v>118</v>
      </c>
      <c r="X17" s="139" t="s">
        <v>118</v>
      </c>
      <c r="Y17" s="139" t="s">
        <v>118</v>
      </c>
      <c r="Z17" s="139" t="s">
        <v>118</v>
      </c>
      <c r="AA17" s="139" t="s">
        <v>118</v>
      </c>
    </row>
    <row r="18" spans="1:27" hidden="1">
      <c r="A18" s="75" t="s">
        <v>191</v>
      </c>
      <c r="B18" s="144">
        <f ca="1">IF(TYPE(INDEX($D$8:$D$12,MATCH(B17,$E$8:$E$12,FALSE)))=16,0,
IF(INDEX($D$8:$D$12,MATCH(B17,$E$8:$E$12,FALSE))&lt;=B14,0,
IF(SUMIF('Financial Data'!$B$16:$B$21,"="&amp;'HA1-CF'!B16,'Financial Data'!$C$17:$C$21)=0,1,1/SUMIF('Financial Data'!$B$16:$B$21,"="&amp;'HA1-CF'!B16,'Financial Data'!$C$17:$C$21))))</f>
        <v>0.5</v>
      </c>
      <c r="C18" s="144">
        <f ca="1">IF(TYPE(INDEX($D$8:$D$12,MATCH(C17,$E$8:$E$12,FALSE)))=16,0,
IF(INDEX($D$8:$D$12,MATCH(C17,$E$8:$E$12,FALSE))&lt;=C14,0,
IF(SUMIF('Financial Data'!$B$16:$B$21,"="&amp;'HA1-CF'!C16,'Financial Data'!$C$17:$C$21)=0,1,1/SUMIF('Financial Data'!$B$16:$B$21,"="&amp;'HA1-CF'!C16,'Financial Data'!$C$17:$C$21))))</f>
        <v>0.5</v>
      </c>
      <c r="D18" s="144">
        <f ca="1">IF(TYPE(INDEX($D$8:$D$12,MATCH(D17,$E$8:$E$12,FALSE)))=16,0,
IF(INDEX($D$8:$D$12,MATCH(D17,$E$8:$E$12,FALSE))&lt;=D14,0,
IF(SUMIF('Financial Data'!$B$16:$B$21,"="&amp;'HA1-CF'!D16,'Financial Data'!$C$17:$C$21)=0,1,1/SUMIF('Financial Data'!$B$16:$B$21,"="&amp;'HA1-CF'!D16,'Financial Data'!$C$17:$C$21))))</f>
        <v>0.5</v>
      </c>
      <c r="E18" s="144">
        <f ca="1">IF(TYPE(INDEX($D$8:$D$12,MATCH(E17,$E$8:$E$12,FALSE)))=16,0,
IF(INDEX($D$8:$D$12,MATCH(E17,$E$8:$E$12,FALSE))&lt;=E14,0,
IF(SUMIF('Financial Data'!$B$16:$B$21,"="&amp;'HA1-CF'!E16,'Financial Data'!$C$17:$C$21)=0,1,1/SUMIF('Financial Data'!$B$16:$B$21,"="&amp;'HA1-CF'!E16,'Financial Data'!$C$17:$C$21))))</f>
        <v>0.5</v>
      </c>
      <c r="F18" s="144">
        <f>IF(TYPE(INDEX($D$8:$D$12,MATCH(F17,$E$8:$E$12,FALSE)))=16,0,
IF(INDEX($D$8:$D$12,MATCH(F17,$E$8:$E$12,FALSE))&lt;=F14,0,
IF(SUMIF('Financial Data'!$B$16:$B$21,"="&amp;'HA1-CF'!F16,'Financial Data'!$C$17:$C$21)=0,1,1/SUMIF('Financial Data'!$B$16:$B$21,"="&amp;'HA1-CF'!F16,'Financial Data'!$C$17:$C$21))))</f>
        <v>0</v>
      </c>
      <c r="G18" s="144">
        <f>IF(TYPE(INDEX($D$8:$D$12,MATCH(G17,$E$8:$E$12,FALSE)))=16,0,
IF(INDEX($D$8:$D$12,MATCH(G17,$E$8:$E$12,FALSE))&lt;=G14,0,
IF(SUMIF('Financial Data'!$B$16:$B$21,"="&amp;'HA1-CF'!G16,'Financial Data'!$C$17:$C$21)=0,1,1/SUMIF('Financial Data'!$B$16:$B$21,"="&amp;'HA1-CF'!G16,'Financial Data'!$C$17:$C$21))))</f>
        <v>0</v>
      </c>
      <c r="H18" s="144">
        <f>IF(TYPE(INDEX($D$8:$D$12,MATCH(H17,$E$8:$E$12,FALSE)))=16,0,
IF(INDEX($D$8:$D$12,MATCH(H17,$E$8:$E$12,FALSE))&lt;=H14,0,
IF(SUMIF('Financial Data'!$B$16:$B$21,"="&amp;'HA1-CF'!H16,'Financial Data'!$C$17:$C$21)=0,1,1/SUMIF('Financial Data'!$B$16:$B$21,"="&amp;'HA1-CF'!H16,'Financial Data'!$C$17:$C$21))))</f>
        <v>0</v>
      </c>
      <c r="I18" s="144">
        <f>IF(TYPE(INDEX($D$8:$D$12,MATCH(I17,$E$8:$E$12,FALSE)))=16,0,
IF(INDEX($D$8:$D$12,MATCH(I17,$E$8:$E$12,FALSE))&lt;=I14,0,
IF(SUMIF('Financial Data'!$B$16:$B$21,"="&amp;'HA1-CF'!I16,'Financial Data'!$C$17:$C$21)=0,1,1/SUMIF('Financial Data'!$B$16:$B$21,"="&amp;'HA1-CF'!I16,'Financial Data'!$C$17:$C$21))))</f>
        <v>0</v>
      </c>
      <c r="J18" s="144">
        <f>IF(TYPE(INDEX($D$8:$D$12,MATCH(J17,$E$8:$E$12,FALSE)))=16,0,
IF(INDEX($D$8:$D$12,MATCH(J17,$E$8:$E$12,FALSE))&lt;=J14,0,
IF(SUMIF('Financial Data'!$B$16:$B$21,"="&amp;'HA1-CF'!J16,'Financial Data'!$C$17:$C$21)=0,1,1/SUMIF('Financial Data'!$B$16:$B$21,"="&amp;'HA1-CF'!J16,'Financial Data'!$C$17:$C$21))))</f>
        <v>0</v>
      </c>
      <c r="K18" s="144">
        <f>IF(TYPE(INDEX($D$8:$D$12,MATCH(K17,$E$8:$E$12,FALSE)))=16,0,
IF(INDEX($D$8:$D$12,MATCH(K17,$E$8:$E$12,FALSE))&lt;=K14,0,
IF(SUMIF('Financial Data'!$B$16:$B$21,"="&amp;'HA1-CF'!K16,'Financial Data'!$C$17:$C$21)=0,1,1/SUMIF('Financial Data'!$B$16:$B$21,"="&amp;'HA1-CF'!K16,'Financial Data'!$C$17:$C$21))))</f>
        <v>0</v>
      </c>
      <c r="L18" s="144">
        <f>IF(TYPE(INDEX($D$8:$D$12,MATCH(L17,$E$8:$E$12,FALSE)))=16,0,
IF(INDEX($D$8:$D$12,MATCH(L17,$E$8:$E$12,FALSE))&lt;=L14,0,
IF(SUMIF('Financial Data'!$B$16:$B$21,"="&amp;'HA1-CF'!L16,'Financial Data'!$C$17:$C$21)=0,1,1/SUMIF('Financial Data'!$B$16:$B$21,"="&amp;'HA1-CF'!L16,'Financial Data'!$C$17:$C$21))))</f>
        <v>0</v>
      </c>
      <c r="M18" s="144">
        <f>IF(TYPE(INDEX($D$8:$D$12,MATCH(M17,$E$8:$E$12,FALSE)))=16,0,
IF(INDEX($D$8:$D$12,MATCH(M17,$E$8:$E$12,FALSE))&lt;=M14,0,
IF(SUMIF('Financial Data'!$B$16:$B$21,"="&amp;'HA1-CF'!M16,'Financial Data'!$C$17:$C$21)=0,1,1/SUMIF('Financial Data'!$B$16:$B$21,"="&amp;'HA1-CF'!M16,'Financial Data'!$C$17:$C$21))))</f>
        <v>0</v>
      </c>
      <c r="N18" s="144">
        <f>IF(TYPE(INDEX($D$8:$D$12,MATCH(N17,$E$8:$E$12,FALSE)))=16,0,
IF(INDEX($D$8:$D$12,MATCH(N17,$E$8:$E$12,FALSE))&lt;=N14,0,
IF(SUMIF('Financial Data'!$B$16:$B$21,"="&amp;'HA1-CF'!N16,'Financial Data'!$C$17:$C$21)=0,1,1/SUMIF('Financial Data'!$B$16:$B$21,"="&amp;'HA1-CF'!N16,'Financial Data'!$C$17:$C$21))))</f>
        <v>0</v>
      </c>
      <c r="O18" s="144">
        <f>IF(TYPE(INDEX($D$8:$D$12,MATCH(O17,$E$8:$E$12,FALSE)))=16,0,
IF(INDEX($D$8:$D$12,MATCH(O17,$E$8:$E$12,FALSE))&lt;=O14,0,
IF(SUMIF('Financial Data'!$B$16:$B$21,"="&amp;'HA1-CF'!O16,'Financial Data'!$C$17:$C$21)=0,1,1/SUMIF('Financial Data'!$B$16:$B$21,"="&amp;'HA1-CF'!O16,'Financial Data'!$C$17:$C$21))))</f>
        <v>0</v>
      </c>
      <c r="P18" s="144">
        <f>IF(TYPE(INDEX($D$8:$D$12,MATCH(P17,$E$8:$E$12,FALSE)))=16,0,
IF(INDEX($D$8:$D$12,MATCH(P17,$E$8:$E$12,FALSE))&lt;=P14,0,
IF(SUMIF('Financial Data'!$B$16:$B$21,"="&amp;'HA1-CF'!P16,'Financial Data'!$C$17:$C$21)=0,1,1/SUMIF('Financial Data'!$B$16:$B$21,"="&amp;'HA1-CF'!P16,'Financial Data'!$C$17:$C$21))))</f>
        <v>0</v>
      </c>
      <c r="Q18" s="144">
        <f>IF(TYPE(INDEX($D$8:$D$12,MATCH(Q17,$E$8:$E$12,FALSE)))=16,0,
IF(INDEX($D$8:$D$12,MATCH(Q17,$E$8:$E$12,FALSE))&lt;=Q14,0,
IF(SUMIF('Financial Data'!$B$16:$B$21,"="&amp;'HA1-CF'!Q16,'Financial Data'!$C$17:$C$21)=0,1,1/SUMIF('Financial Data'!$B$16:$B$21,"="&amp;'HA1-CF'!Q16,'Financial Data'!$C$17:$C$21))))</f>
        <v>0</v>
      </c>
      <c r="R18" s="144">
        <f>IF(TYPE(INDEX($D$8:$D$12,MATCH(R17,$E$8:$E$12,FALSE)))=16,0,
IF(INDEX($D$8:$D$12,MATCH(R17,$E$8:$E$12,FALSE))&lt;=R14,0,
IF(SUMIF('Financial Data'!$B$16:$B$21,"="&amp;'HA1-CF'!R16,'Financial Data'!$C$17:$C$21)=0,1,1/SUMIF('Financial Data'!$B$16:$B$21,"="&amp;'HA1-CF'!R16,'Financial Data'!$C$17:$C$21))))</f>
        <v>0</v>
      </c>
      <c r="S18" s="144">
        <f>IF(TYPE(INDEX($D$8:$D$12,MATCH(S17,$E$8:$E$12,FALSE)))=16,0,
IF(INDEX($D$8:$D$12,MATCH(S17,$E$8:$E$12,FALSE))&lt;=S14,0,
IF(SUMIF('Financial Data'!$B$16:$B$21,"="&amp;'HA1-CF'!S16,'Financial Data'!$C$17:$C$21)=0,1,1/SUMIF('Financial Data'!$B$16:$B$21,"="&amp;'HA1-CF'!S16,'Financial Data'!$C$17:$C$21))))</f>
        <v>0</v>
      </c>
      <c r="T18" s="144">
        <f>IF(TYPE(INDEX($D$8:$D$12,MATCH(T17,$E$8:$E$12,FALSE)))=16,0,
IF(INDEX($D$8:$D$12,MATCH(T17,$E$8:$E$12,FALSE))&lt;=T14,0,
IF(SUMIF('Financial Data'!$B$16:$B$21,"="&amp;'HA1-CF'!T16,'Financial Data'!$C$17:$C$21)=0,1,1/SUMIF('Financial Data'!$B$16:$B$21,"="&amp;'HA1-CF'!T16,'Financial Data'!$C$17:$C$21))))</f>
        <v>0</v>
      </c>
      <c r="U18" s="144">
        <f>IF(TYPE(INDEX($D$8:$D$12,MATCH(U17,$E$8:$E$12,FALSE)))=16,0,
IF(INDEX($D$8:$D$12,MATCH(U17,$E$8:$E$12,FALSE))&lt;=U14,0,
IF(SUMIF('Financial Data'!$B$16:$B$21,"="&amp;'HA1-CF'!U16,'Financial Data'!$C$17:$C$21)=0,1,1/SUMIF('Financial Data'!$B$16:$B$21,"="&amp;'HA1-CF'!U16,'Financial Data'!$C$17:$C$21))))</f>
        <v>0</v>
      </c>
      <c r="V18" s="144">
        <f>IF(TYPE(INDEX($D$8:$D$12,MATCH(V17,$E$8:$E$12,FALSE)))=16,0,
IF(INDEX($D$8:$D$12,MATCH(V17,$E$8:$E$12,FALSE))&lt;=V14,0,
IF(SUMIF('Financial Data'!$B$16:$B$21,"="&amp;'HA1-CF'!V16,'Financial Data'!$C$17:$C$21)=0,1,1/SUMIF('Financial Data'!$B$16:$B$21,"="&amp;'HA1-CF'!V16,'Financial Data'!$C$17:$C$21))))</f>
        <v>0</v>
      </c>
      <c r="W18" s="144">
        <f>IF(TYPE(INDEX($D$8:$D$12,MATCH(W17,$E$8:$E$12,FALSE)))=16,0,
IF(INDEX($D$8:$D$12,MATCH(W17,$E$8:$E$12,FALSE))&lt;=W14,0,
IF(SUMIF('Financial Data'!$B$16:$B$21,"="&amp;'HA1-CF'!W16,'Financial Data'!$C$17:$C$21)=0,1,1/SUMIF('Financial Data'!$B$16:$B$21,"="&amp;'HA1-CF'!W16,'Financial Data'!$C$17:$C$21))))</f>
        <v>0</v>
      </c>
      <c r="X18" s="144">
        <f>IF(TYPE(INDEX($D$8:$D$12,MATCH(X17,$E$8:$E$12,FALSE)))=16,0,
IF(INDEX($D$8:$D$12,MATCH(X17,$E$8:$E$12,FALSE))&lt;=X14,0,
IF(SUMIF('Financial Data'!$B$16:$B$21,"="&amp;'HA1-CF'!X16,'Financial Data'!$C$17:$C$21)=0,1,1/SUMIF('Financial Data'!$B$16:$B$21,"="&amp;'HA1-CF'!X16,'Financial Data'!$C$17:$C$21))))</f>
        <v>0</v>
      </c>
      <c r="Y18" s="144">
        <f>IF(TYPE(INDEX($D$8:$D$12,MATCH(Y17,$E$8:$E$12,FALSE)))=16,0,
IF(INDEX($D$8:$D$12,MATCH(Y17,$E$8:$E$12,FALSE))&lt;=Y14,0,
IF(SUMIF('Financial Data'!$B$16:$B$21,"="&amp;'HA1-CF'!Y16,'Financial Data'!$C$17:$C$21)=0,1,1/SUMIF('Financial Data'!$B$16:$B$21,"="&amp;'HA1-CF'!Y16,'Financial Data'!$C$17:$C$21))))</f>
        <v>0</v>
      </c>
      <c r="Z18" s="144">
        <f>IF(TYPE(INDEX($D$8:$D$12,MATCH(Z17,$E$8:$E$12,FALSE)))=16,0,
IF(INDEX($D$8:$D$12,MATCH(Z17,$E$8:$E$12,FALSE))&lt;=Z14,0,
IF(SUMIF('Financial Data'!$B$16:$B$21,"="&amp;'HA1-CF'!Z16,'Financial Data'!$C$17:$C$21)=0,1,1/SUMIF('Financial Data'!$B$16:$B$21,"="&amp;'HA1-CF'!Z16,'Financial Data'!$C$17:$C$21))))</f>
        <v>0</v>
      </c>
      <c r="AA18" s="144">
        <f>IF(TYPE(INDEX($D$8:$D$12,MATCH(AA17,$E$8:$E$12,FALSE)))=16,0,
IF(INDEX($D$8:$D$12,MATCH(AA17,$E$8:$E$12,FALSE))&lt;=AA14,0,
IF(SUMIF('Financial Data'!$B$16:$B$21,"="&amp;'HA1-CF'!AA16,'Financial Data'!$C$17:$C$21)=0,1,1/SUMIF('Financial Data'!$B$16:$B$21,"="&amp;'HA1-CF'!AA16,'Financial Data'!$C$17:$C$21))))</f>
        <v>0</v>
      </c>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f ca="1">-B18*SUMIF('Annual WLC by Maturity Level '!$E$9:$I$9,B17,'Annual WLC by Maturity Level '!$E$40:$I$40)</f>
        <v>-35000</v>
      </c>
      <c r="C22" s="149">
        <f ca="1">-C18*SUMIF('Annual WLC by Maturity Level '!$E$9:$I$9,C17,'Annual WLC by Maturity Level '!$E$40:$I$40)</f>
        <v>-35000</v>
      </c>
      <c r="D22" s="149">
        <f ca="1">-D18*SUMIF('Annual WLC by Maturity Level '!$E$9:$I$9,D17,'Annual WLC by Maturity Level '!$E$40:$I$40)</f>
        <v>-24500</v>
      </c>
      <c r="E22" s="149">
        <f ca="1">-E18*SUMIF('Annual WLC by Maturity Level '!$E$9:$I$9,E17,'Annual WLC by Maturity Level '!$E$40:$I$40)</f>
        <v>-24500</v>
      </c>
      <c r="F22" s="149">
        <f>-F18*SUMIF('Annual WLC by Maturity Level '!$E$9:$I$9,F17,'Annual WLC by Maturity Level '!$E$40:$I$40)</f>
        <v>0</v>
      </c>
      <c r="G22" s="149">
        <f>-G18*SUMIF('Annual WLC by Maturity Level '!$E$9:$I$9,G17,'Annual WLC by Maturity Level '!$E$40:$I$40)</f>
        <v>0</v>
      </c>
      <c r="H22" s="149">
        <f>-H18*SUMIF('Annual WLC by Maturity Level '!$E$9:$I$9,H17,'Annual WLC by Maturity Level '!$E$40:$I$40)</f>
        <v>0</v>
      </c>
      <c r="I22" s="149">
        <f>-I18*SUMIF('Annual WLC by Maturity Level '!$E$9:$I$9,I17,'Annual WLC by Maturity Level '!$E$40:$I$40)</f>
        <v>0</v>
      </c>
      <c r="J22" s="149">
        <f>-J18*SUMIF('Annual WLC by Maturity Level '!$E$9:$I$9,J17,'Annual WLC by Maturity Level '!$E$40:$I$40)</f>
        <v>0</v>
      </c>
      <c r="K22" s="149">
        <f>-K18*SUMIF('Annual WLC by Maturity Level '!$E$9:$I$9,K17,'Annual WLC by Maturity Level '!$E$40:$I$40)</f>
        <v>0</v>
      </c>
      <c r="L22" s="149">
        <f>-L18*SUMIF('Annual WLC by Maturity Level '!$E$9:$I$9,L17,'Annual WLC by Maturity Level '!$E$40:$I$40)</f>
        <v>0</v>
      </c>
      <c r="M22" s="149">
        <f>-M18*SUMIF('Annual WLC by Maturity Level '!$E$9:$I$9,M17,'Annual WLC by Maturity Level '!$E$40:$I$40)</f>
        <v>0</v>
      </c>
      <c r="N22" s="149">
        <f>-N18*SUMIF('Annual WLC by Maturity Level '!$E$9:$I$9,N17,'Annual WLC by Maturity Level '!$E$40:$I$40)</f>
        <v>0</v>
      </c>
      <c r="O22" s="149">
        <f>-O18*SUMIF('Annual WLC by Maturity Level '!$E$9:$I$9,O17,'Annual WLC by Maturity Level '!$E$40:$I$40)</f>
        <v>0</v>
      </c>
      <c r="P22" s="149">
        <f>-P18*SUMIF('Annual WLC by Maturity Level '!$E$9:$I$9,P17,'Annual WLC by Maturity Level '!$E$40:$I$40)</f>
        <v>0</v>
      </c>
      <c r="Q22" s="149">
        <f>-Q18*SUMIF('Annual WLC by Maturity Level '!$E$9:$I$9,Q17,'Annual WLC by Maturity Level '!$E$40:$I$40)</f>
        <v>0</v>
      </c>
      <c r="R22" s="149">
        <f>-R18*SUMIF('Annual WLC by Maturity Level '!$E$9:$I$9,R17,'Annual WLC by Maturity Level '!$E$40:$I$40)</f>
        <v>0</v>
      </c>
      <c r="S22" s="149">
        <f>-S18*SUMIF('Annual WLC by Maturity Level '!$E$9:$I$9,S17,'Annual WLC by Maturity Level '!$E$40:$I$40)</f>
        <v>0</v>
      </c>
      <c r="T22" s="149">
        <f>-T18*SUMIF('Annual WLC by Maturity Level '!$E$9:$I$9,T17,'Annual WLC by Maturity Level '!$E$40:$I$40)</f>
        <v>0</v>
      </c>
      <c r="U22" s="149">
        <f>-U18*SUMIF('Annual WLC by Maturity Level '!$E$9:$I$9,U17,'Annual WLC by Maturity Level '!$E$40:$I$40)</f>
        <v>0</v>
      </c>
      <c r="V22" s="149">
        <f>-V18*SUMIF('Annual WLC by Maturity Level '!$E$9:$I$9,V17,'Annual WLC by Maturity Level '!$E$40:$I$40)</f>
        <v>0</v>
      </c>
      <c r="W22" s="149">
        <f>-W18*SUMIF('Annual WLC by Maturity Level '!$E$9:$I$9,W17,'Annual WLC by Maturity Level '!$E$40:$I$40)</f>
        <v>0</v>
      </c>
      <c r="X22" s="149">
        <f>-X18*SUMIF('Annual WLC by Maturity Level '!$E$9:$I$9,X17,'Annual WLC by Maturity Level '!$E$40:$I$40)</f>
        <v>0</v>
      </c>
      <c r="Y22" s="149">
        <f>-Y18*SUMIF('Annual WLC by Maturity Level '!$E$9:$I$9,Y17,'Annual WLC by Maturity Level '!$E$40:$I$40)</f>
        <v>0</v>
      </c>
      <c r="Z22" s="149">
        <f>-Z18*SUMIF('Annual WLC by Maturity Level '!$E$9:$I$9,Z17,'Annual WLC by Maturity Level '!$E$40:$I$40)</f>
        <v>0</v>
      </c>
      <c r="AA22" s="149">
        <f>-AA18*SUMIF('Annual WLC by Maturity Level '!$E$9:$I$9,AA17,'Annual WLC by Maturity Level '!$E$40:$I$40)</f>
        <v>0</v>
      </c>
    </row>
    <row r="23" spans="1:27" s="225" customFormat="1">
      <c r="A23" s="223" t="str">
        <f>'Asset Info'!$C$10</f>
        <v>Crossrail</v>
      </c>
      <c r="B23" s="224">
        <f ca="1">-B$18*SUMIF('Annual WLC by Maturity Level '!$E$9:$I$9,B$17,'Annual WLC by Maturity Level '!$E41:$I41)</f>
        <v>0</v>
      </c>
      <c r="C23" s="224">
        <f ca="1">-C$18*SUMIF('Annual WLC by Maturity Level '!$E$9:$I$9,C$17,'Annual WLC by Maturity Level '!$E41:$I41)</f>
        <v>0</v>
      </c>
      <c r="D23" s="224">
        <f ca="1">-D$18*SUMIF('Annual WLC by Maturity Level '!$E$9:$I$9,D$17,'Annual WLC by Maturity Level '!$E41:$I41)</f>
        <v>0</v>
      </c>
      <c r="E23" s="224">
        <f ca="1">-E$18*SUMIF('Annual WLC by Maturity Level '!$E$9:$I$9,E$17,'Annual WLC by Maturity Level '!$E41:$I41)</f>
        <v>0</v>
      </c>
      <c r="F23" s="224">
        <f>-F$18*SUMIF('Annual WLC by Maturity Level '!$E$9:$I$9,F$17,'Annual WLC by Maturity Level '!$E41:$I41)</f>
        <v>0</v>
      </c>
      <c r="G23" s="224">
        <f>-G$18*SUMIF('Annual WLC by Maturity Level '!$E$9:$I$9,G$17,'Annual WLC by Maturity Level '!$E41:$I41)</f>
        <v>0</v>
      </c>
      <c r="H23" s="224">
        <f>-H$18*SUMIF('Annual WLC by Maturity Level '!$E$9:$I$9,H$17,'Annual WLC by Maturity Level '!$E41:$I41)</f>
        <v>0</v>
      </c>
      <c r="I23" s="224">
        <f>-I$18*SUMIF('Annual WLC by Maturity Level '!$E$9:$I$9,I$17,'Annual WLC by Maturity Level '!$E41:$I41)</f>
        <v>0</v>
      </c>
      <c r="J23" s="224">
        <f>-J$18*SUMIF('Annual WLC by Maturity Level '!$E$9:$I$9,J$17,'Annual WLC by Maturity Level '!$E41:$I41)</f>
        <v>0</v>
      </c>
      <c r="K23" s="224">
        <f>-K$18*SUMIF('Annual WLC by Maturity Level '!$E$9:$I$9,K$17,'Annual WLC by Maturity Level '!$E41:$I41)</f>
        <v>0</v>
      </c>
      <c r="L23" s="224">
        <f>-L$18*SUMIF('Annual WLC by Maturity Level '!$E$9:$I$9,L$17,'Annual WLC by Maturity Level '!$E41:$I41)</f>
        <v>0</v>
      </c>
      <c r="M23" s="224">
        <f>-M$18*SUMIF('Annual WLC by Maturity Level '!$E$9:$I$9,M$17,'Annual WLC by Maturity Level '!$E41:$I41)</f>
        <v>0</v>
      </c>
      <c r="N23" s="224">
        <f>-N$18*SUMIF('Annual WLC by Maturity Level '!$E$9:$I$9,N$17,'Annual WLC by Maturity Level '!$E41:$I41)</f>
        <v>0</v>
      </c>
      <c r="O23" s="224">
        <f>-O$18*SUMIF('Annual WLC by Maturity Level '!$E$9:$I$9,O$17,'Annual WLC by Maturity Level '!$E41:$I41)</f>
        <v>0</v>
      </c>
      <c r="P23" s="224">
        <f>-P$18*SUMIF('Annual WLC by Maturity Level '!$E$9:$I$9,P$17,'Annual WLC by Maturity Level '!$E41:$I41)</f>
        <v>0</v>
      </c>
      <c r="Q23" s="224">
        <f>-Q$18*SUMIF('Annual WLC by Maturity Level '!$E$9:$I$9,Q$17,'Annual WLC by Maturity Level '!$E41:$I41)</f>
        <v>0</v>
      </c>
      <c r="R23" s="224">
        <f>-R$18*SUMIF('Annual WLC by Maturity Level '!$E$9:$I$9,R$17,'Annual WLC by Maturity Level '!$E41:$I41)</f>
        <v>0</v>
      </c>
      <c r="S23" s="224">
        <f>-S$18*SUMIF('Annual WLC by Maturity Level '!$E$9:$I$9,S$17,'Annual WLC by Maturity Level '!$E41:$I41)</f>
        <v>0</v>
      </c>
      <c r="T23" s="224">
        <f>-T$18*SUMIF('Annual WLC by Maturity Level '!$E$9:$I$9,T$17,'Annual WLC by Maturity Level '!$E41:$I41)</f>
        <v>0</v>
      </c>
      <c r="U23" s="224">
        <f>-U$18*SUMIF('Annual WLC by Maturity Level '!$E$9:$I$9,U$17,'Annual WLC by Maturity Level '!$E41:$I41)</f>
        <v>0</v>
      </c>
      <c r="V23" s="224">
        <f>-V$18*SUMIF('Annual WLC by Maturity Level '!$E$9:$I$9,V$17,'Annual WLC by Maturity Level '!$E41:$I41)</f>
        <v>0</v>
      </c>
      <c r="W23" s="224">
        <f>-W$18*SUMIF('Annual WLC by Maturity Level '!$E$9:$I$9,W$17,'Annual WLC by Maturity Level '!$E41:$I41)</f>
        <v>0</v>
      </c>
      <c r="X23" s="224">
        <f>-X$18*SUMIF('Annual WLC by Maturity Level '!$E$9:$I$9,X$17,'Annual WLC by Maturity Level '!$E41:$I41)</f>
        <v>0</v>
      </c>
      <c r="Y23" s="224">
        <f>-Y$18*SUMIF('Annual WLC by Maturity Level '!$E$9:$I$9,Y$17,'Annual WLC by Maturity Level '!$E41:$I41)</f>
        <v>0</v>
      </c>
      <c r="Z23" s="224">
        <f>-Z$18*SUMIF('Annual WLC by Maturity Level '!$E$9:$I$9,Z$17,'Annual WLC by Maturity Level '!$E41:$I41)</f>
        <v>0</v>
      </c>
      <c r="AA23" s="224">
        <f>-AA$18*SUMIF('Annual WLC by Maturity Level '!$E$9:$I$9,AA$17,'Annual WLC by Maturity Level '!$E41:$I41)</f>
        <v>0</v>
      </c>
    </row>
    <row r="24" spans="1:27" s="225" customFormat="1">
      <c r="A24" s="223" t="str">
        <f>'Asset Info'!$D$10</f>
        <v>NR Western</v>
      </c>
      <c r="B24" s="224">
        <f ca="1">-B$18*SUMIF('Annual WLC by Maturity Level '!$E$9:$I$9,B$17,'Annual WLC by Maturity Level '!$E42:$I42)</f>
        <v>-24500</v>
      </c>
      <c r="C24" s="224">
        <f ca="1">-C$18*SUMIF('Annual WLC by Maturity Level '!$E$9:$I$9,C$17,'Annual WLC by Maturity Level '!$E42:$I42)</f>
        <v>-24500</v>
      </c>
      <c r="D24" s="224">
        <f ca="1">-D$18*SUMIF('Annual WLC by Maturity Level '!$E$9:$I$9,D$17,'Annual WLC by Maturity Level '!$E42:$I42)</f>
        <v>-17150</v>
      </c>
      <c r="E24" s="224">
        <f ca="1">-E$18*SUMIF('Annual WLC by Maturity Level '!$E$9:$I$9,E$17,'Annual WLC by Maturity Level '!$E42:$I42)</f>
        <v>-17150</v>
      </c>
      <c r="F24" s="224">
        <f>-F$18*SUMIF('Annual WLC by Maturity Level '!$E$9:$I$9,F$17,'Annual WLC by Maturity Level '!$E42:$I42)</f>
        <v>0</v>
      </c>
      <c r="G24" s="224">
        <f>-G$18*SUMIF('Annual WLC by Maturity Level '!$E$9:$I$9,G$17,'Annual WLC by Maturity Level '!$E42:$I42)</f>
        <v>0</v>
      </c>
      <c r="H24" s="224">
        <f>-H$18*SUMIF('Annual WLC by Maturity Level '!$E$9:$I$9,H$17,'Annual WLC by Maturity Level '!$E42:$I42)</f>
        <v>0</v>
      </c>
      <c r="I24" s="224">
        <f>-I$18*SUMIF('Annual WLC by Maturity Level '!$E$9:$I$9,I$17,'Annual WLC by Maturity Level '!$E42:$I42)</f>
        <v>0</v>
      </c>
      <c r="J24" s="224">
        <f>-J$18*SUMIF('Annual WLC by Maturity Level '!$E$9:$I$9,J$17,'Annual WLC by Maturity Level '!$E42:$I42)</f>
        <v>0</v>
      </c>
      <c r="K24" s="224">
        <f>-K$18*SUMIF('Annual WLC by Maturity Level '!$E$9:$I$9,K$17,'Annual WLC by Maturity Level '!$E42:$I42)</f>
        <v>0</v>
      </c>
      <c r="L24" s="224">
        <f>-L$18*SUMIF('Annual WLC by Maturity Level '!$E$9:$I$9,L$17,'Annual WLC by Maturity Level '!$E42:$I42)</f>
        <v>0</v>
      </c>
      <c r="M24" s="224">
        <f>-M$18*SUMIF('Annual WLC by Maturity Level '!$E$9:$I$9,M$17,'Annual WLC by Maturity Level '!$E42:$I42)</f>
        <v>0</v>
      </c>
      <c r="N24" s="224">
        <f>-N$18*SUMIF('Annual WLC by Maturity Level '!$E$9:$I$9,N$17,'Annual WLC by Maturity Level '!$E42:$I42)</f>
        <v>0</v>
      </c>
      <c r="O24" s="224">
        <f>-O$18*SUMIF('Annual WLC by Maturity Level '!$E$9:$I$9,O$17,'Annual WLC by Maturity Level '!$E42:$I42)</f>
        <v>0</v>
      </c>
      <c r="P24" s="224">
        <f>-P$18*SUMIF('Annual WLC by Maturity Level '!$E$9:$I$9,P$17,'Annual WLC by Maturity Level '!$E42:$I42)</f>
        <v>0</v>
      </c>
      <c r="Q24" s="224">
        <f>-Q$18*SUMIF('Annual WLC by Maturity Level '!$E$9:$I$9,Q$17,'Annual WLC by Maturity Level '!$E42:$I42)</f>
        <v>0</v>
      </c>
      <c r="R24" s="224">
        <f>-R$18*SUMIF('Annual WLC by Maturity Level '!$E$9:$I$9,R$17,'Annual WLC by Maturity Level '!$E42:$I42)</f>
        <v>0</v>
      </c>
      <c r="S24" s="224">
        <f>-S$18*SUMIF('Annual WLC by Maturity Level '!$E$9:$I$9,S$17,'Annual WLC by Maturity Level '!$E42:$I42)</f>
        <v>0</v>
      </c>
      <c r="T24" s="224">
        <f>-T$18*SUMIF('Annual WLC by Maturity Level '!$E$9:$I$9,T$17,'Annual WLC by Maturity Level '!$E42:$I42)</f>
        <v>0</v>
      </c>
      <c r="U24" s="224">
        <f>-U$18*SUMIF('Annual WLC by Maturity Level '!$E$9:$I$9,U$17,'Annual WLC by Maturity Level '!$E42:$I42)</f>
        <v>0</v>
      </c>
      <c r="V24" s="224">
        <f>-V$18*SUMIF('Annual WLC by Maturity Level '!$E$9:$I$9,V$17,'Annual WLC by Maturity Level '!$E42:$I42)</f>
        <v>0</v>
      </c>
      <c r="W24" s="224">
        <f>-W$18*SUMIF('Annual WLC by Maturity Level '!$E$9:$I$9,W$17,'Annual WLC by Maturity Level '!$E42:$I42)</f>
        <v>0</v>
      </c>
      <c r="X24" s="224">
        <f>-X$18*SUMIF('Annual WLC by Maturity Level '!$E$9:$I$9,X$17,'Annual WLC by Maturity Level '!$E42:$I42)</f>
        <v>0</v>
      </c>
      <c r="Y24" s="224">
        <f>-Y$18*SUMIF('Annual WLC by Maturity Level '!$E$9:$I$9,Y$17,'Annual WLC by Maturity Level '!$E42:$I42)</f>
        <v>0</v>
      </c>
      <c r="Z24" s="224">
        <f>-Z$18*SUMIF('Annual WLC by Maturity Level '!$E$9:$I$9,Z$17,'Annual WLC by Maturity Level '!$E42:$I42)</f>
        <v>0</v>
      </c>
      <c r="AA24" s="224">
        <f>-AA$18*SUMIF('Annual WLC by Maturity Level '!$E$9:$I$9,AA$17,'Annual WLC by Maturity Level '!$E42:$I42)</f>
        <v>0</v>
      </c>
    </row>
    <row r="25" spans="1:27" s="225" customFormat="1">
      <c r="A25" s="223" t="str">
        <f>'Asset Info'!$E$10</f>
        <v>Balfour Beatty</v>
      </c>
      <c r="B25" s="224">
        <f ca="1">-B$18*SUMIF('Annual WLC by Maturity Level '!$E$9:$I$9,B$17,'Annual WLC by Maturity Level '!$E43:$I43)</f>
        <v>0</v>
      </c>
      <c r="C25" s="224">
        <f ca="1">-C$18*SUMIF('Annual WLC by Maturity Level '!$E$9:$I$9,C$17,'Annual WLC by Maturity Level '!$E43:$I43)</f>
        <v>0</v>
      </c>
      <c r="D25" s="224">
        <f ca="1">-D$18*SUMIF('Annual WLC by Maturity Level '!$E$9:$I$9,D$17,'Annual WLC by Maturity Level '!$E43:$I43)</f>
        <v>0</v>
      </c>
      <c r="E25" s="224">
        <f ca="1">-E$18*SUMIF('Annual WLC by Maturity Level '!$E$9:$I$9,E$17,'Annual WLC by Maturity Level '!$E43:$I43)</f>
        <v>0</v>
      </c>
      <c r="F25" s="224">
        <f>-F$18*SUMIF('Annual WLC by Maturity Level '!$E$9:$I$9,F$17,'Annual WLC by Maturity Level '!$E43:$I43)</f>
        <v>0</v>
      </c>
      <c r="G25" s="224">
        <f>-G$18*SUMIF('Annual WLC by Maturity Level '!$E$9:$I$9,G$17,'Annual WLC by Maturity Level '!$E43:$I43)</f>
        <v>0</v>
      </c>
      <c r="H25" s="224">
        <f>-H$18*SUMIF('Annual WLC by Maturity Level '!$E$9:$I$9,H$17,'Annual WLC by Maturity Level '!$E43:$I43)</f>
        <v>0</v>
      </c>
      <c r="I25" s="224">
        <f>-I$18*SUMIF('Annual WLC by Maturity Level '!$E$9:$I$9,I$17,'Annual WLC by Maturity Level '!$E43:$I43)</f>
        <v>0</v>
      </c>
      <c r="J25" s="224">
        <f>-J$18*SUMIF('Annual WLC by Maturity Level '!$E$9:$I$9,J$17,'Annual WLC by Maturity Level '!$E43:$I43)</f>
        <v>0</v>
      </c>
      <c r="K25" s="224">
        <f>-K$18*SUMIF('Annual WLC by Maturity Level '!$E$9:$I$9,K$17,'Annual WLC by Maturity Level '!$E43:$I43)</f>
        <v>0</v>
      </c>
      <c r="L25" s="224">
        <f>-L$18*SUMIF('Annual WLC by Maturity Level '!$E$9:$I$9,L$17,'Annual WLC by Maturity Level '!$E43:$I43)</f>
        <v>0</v>
      </c>
      <c r="M25" s="224">
        <f>-M$18*SUMIF('Annual WLC by Maturity Level '!$E$9:$I$9,M$17,'Annual WLC by Maturity Level '!$E43:$I43)</f>
        <v>0</v>
      </c>
      <c r="N25" s="224">
        <f>-N$18*SUMIF('Annual WLC by Maturity Level '!$E$9:$I$9,N$17,'Annual WLC by Maturity Level '!$E43:$I43)</f>
        <v>0</v>
      </c>
      <c r="O25" s="224">
        <f>-O$18*SUMIF('Annual WLC by Maturity Level '!$E$9:$I$9,O$17,'Annual WLC by Maturity Level '!$E43:$I43)</f>
        <v>0</v>
      </c>
      <c r="P25" s="224">
        <f>-P$18*SUMIF('Annual WLC by Maturity Level '!$E$9:$I$9,P$17,'Annual WLC by Maturity Level '!$E43:$I43)</f>
        <v>0</v>
      </c>
      <c r="Q25" s="224">
        <f>-Q$18*SUMIF('Annual WLC by Maturity Level '!$E$9:$I$9,Q$17,'Annual WLC by Maturity Level '!$E43:$I43)</f>
        <v>0</v>
      </c>
      <c r="R25" s="224">
        <f>-R$18*SUMIF('Annual WLC by Maturity Level '!$E$9:$I$9,R$17,'Annual WLC by Maturity Level '!$E43:$I43)</f>
        <v>0</v>
      </c>
      <c r="S25" s="224">
        <f>-S$18*SUMIF('Annual WLC by Maturity Level '!$E$9:$I$9,S$17,'Annual WLC by Maturity Level '!$E43:$I43)</f>
        <v>0</v>
      </c>
      <c r="T25" s="224">
        <f>-T$18*SUMIF('Annual WLC by Maturity Level '!$E$9:$I$9,T$17,'Annual WLC by Maturity Level '!$E43:$I43)</f>
        <v>0</v>
      </c>
      <c r="U25" s="224">
        <f>-U$18*SUMIF('Annual WLC by Maturity Level '!$E$9:$I$9,U$17,'Annual WLC by Maturity Level '!$E43:$I43)</f>
        <v>0</v>
      </c>
      <c r="V25" s="224">
        <f>-V$18*SUMIF('Annual WLC by Maturity Level '!$E$9:$I$9,V$17,'Annual WLC by Maturity Level '!$E43:$I43)</f>
        <v>0</v>
      </c>
      <c r="W25" s="224">
        <f>-W$18*SUMIF('Annual WLC by Maturity Level '!$E$9:$I$9,W$17,'Annual WLC by Maturity Level '!$E43:$I43)</f>
        <v>0</v>
      </c>
      <c r="X25" s="224">
        <f>-X$18*SUMIF('Annual WLC by Maturity Level '!$E$9:$I$9,X$17,'Annual WLC by Maturity Level '!$E43:$I43)</f>
        <v>0</v>
      </c>
      <c r="Y25" s="224">
        <f>-Y$18*SUMIF('Annual WLC by Maturity Level '!$E$9:$I$9,Y$17,'Annual WLC by Maturity Level '!$E43:$I43)</f>
        <v>0</v>
      </c>
      <c r="Z25" s="224">
        <f>-Z$18*SUMIF('Annual WLC by Maturity Level '!$E$9:$I$9,Z$17,'Annual WLC by Maturity Level '!$E43:$I43)</f>
        <v>0</v>
      </c>
      <c r="AA25" s="224">
        <f>-AA$18*SUMIF('Annual WLC by Maturity Level '!$E$9:$I$9,AA$17,'Annual WLC by Maturity Level '!$E43:$I43)</f>
        <v>0</v>
      </c>
    </row>
    <row r="26" spans="1:27" s="225" customFormat="1">
      <c r="A26" s="223" t="str">
        <f>'Asset Info'!$F$10</f>
        <v>RSSB</v>
      </c>
      <c r="B26" s="224">
        <f ca="1">-B$18*SUMIF('Annual WLC by Maturity Level '!$E$9:$I$9,B$17,'Annual WLC by Maturity Level '!$E44:$I44)</f>
        <v>-10500</v>
      </c>
      <c r="C26" s="224">
        <f ca="1">-C$18*SUMIF('Annual WLC by Maturity Level '!$E$9:$I$9,C$17,'Annual WLC by Maturity Level '!$E44:$I44)</f>
        <v>-10500</v>
      </c>
      <c r="D26" s="224">
        <f ca="1">-D$18*SUMIF('Annual WLC by Maturity Level '!$E$9:$I$9,D$17,'Annual WLC by Maturity Level '!$E44:$I44)</f>
        <v>-7350</v>
      </c>
      <c r="E26" s="224">
        <f ca="1">-E$18*SUMIF('Annual WLC by Maturity Level '!$E$9:$I$9,E$17,'Annual WLC by Maturity Level '!$E44:$I44)</f>
        <v>-7350</v>
      </c>
      <c r="F26" s="224">
        <f>-F$18*SUMIF('Annual WLC by Maturity Level '!$E$9:$I$9,F$17,'Annual WLC by Maturity Level '!$E44:$I44)</f>
        <v>0</v>
      </c>
      <c r="G26" s="224">
        <f>-G$18*SUMIF('Annual WLC by Maturity Level '!$E$9:$I$9,G$17,'Annual WLC by Maturity Level '!$E44:$I44)</f>
        <v>0</v>
      </c>
      <c r="H26" s="224">
        <f>-H$18*SUMIF('Annual WLC by Maturity Level '!$E$9:$I$9,H$17,'Annual WLC by Maturity Level '!$E44:$I44)</f>
        <v>0</v>
      </c>
      <c r="I26" s="224">
        <f>-I$18*SUMIF('Annual WLC by Maturity Level '!$E$9:$I$9,I$17,'Annual WLC by Maturity Level '!$E44:$I44)</f>
        <v>0</v>
      </c>
      <c r="J26" s="224">
        <f>-J$18*SUMIF('Annual WLC by Maturity Level '!$E$9:$I$9,J$17,'Annual WLC by Maturity Level '!$E44:$I44)</f>
        <v>0</v>
      </c>
      <c r="K26" s="224">
        <f>-K$18*SUMIF('Annual WLC by Maturity Level '!$E$9:$I$9,K$17,'Annual WLC by Maturity Level '!$E44:$I44)</f>
        <v>0</v>
      </c>
      <c r="L26" s="224">
        <f>-L$18*SUMIF('Annual WLC by Maturity Level '!$E$9:$I$9,L$17,'Annual WLC by Maturity Level '!$E44:$I44)</f>
        <v>0</v>
      </c>
      <c r="M26" s="224">
        <f>-M$18*SUMIF('Annual WLC by Maturity Level '!$E$9:$I$9,M$17,'Annual WLC by Maturity Level '!$E44:$I44)</f>
        <v>0</v>
      </c>
      <c r="N26" s="224">
        <f>-N$18*SUMIF('Annual WLC by Maturity Level '!$E$9:$I$9,N$17,'Annual WLC by Maturity Level '!$E44:$I44)</f>
        <v>0</v>
      </c>
      <c r="O26" s="224">
        <f>-O$18*SUMIF('Annual WLC by Maturity Level '!$E$9:$I$9,O$17,'Annual WLC by Maturity Level '!$E44:$I44)</f>
        <v>0</v>
      </c>
      <c r="P26" s="224">
        <f>-P$18*SUMIF('Annual WLC by Maturity Level '!$E$9:$I$9,P$17,'Annual WLC by Maturity Level '!$E44:$I44)</f>
        <v>0</v>
      </c>
      <c r="Q26" s="224">
        <f>-Q$18*SUMIF('Annual WLC by Maturity Level '!$E$9:$I$9,Q$17,'Annual WLC by Maturity Level '!$E44:$I44)</f>
        <v>0</v>
      </c>
      <c r="R26" s="224">
        <f>-R$18*SUMIF('Annual WLC by Maturity Level '!$E$9:$I$9,R$17,'Annual WLC by Maturity Level '!$E44:$I44)</f>
        <v>0</v>
      </c>
      <c r="S26" s="224">
        <f>-S$18*SUMIF('Annual WLC by Maturity Level '!$E$9:$I$9,S$17,'Annual WLC by Maturity Level '!$E44:$I44)</f>
        <v>0</v>
      </c>
      <c r="T26" s="224">
        <f>-T$18*SUMIF('Annual WLC by Maturity Level '!$E$9:$I$9,T$17,'Annual WLC by Maturity Level '!$E44:$I44)</f>
        <v>0</v>
      </c>
      <c r="U26" s="224">
        <f>-U$18*SUMIF('Annual WLC by Maturity Level '!$E$9:$I$9,U$17,'Annual WLC by Maturity Level '!$E44:$I44)</f>
        <v>0</v>
      </c>
      <c r="V26" s="224">
        <f>-V$18*SUMIF('Annual WLC by Maturity Level '!$E$9:$I$9,V$17,'Annual WLC by Maturity Level '!$E44:$I44)</f>
        <v>0</v>
      </c>
      <c r="W26" s="224">
        <f>-W$18*SUMIF('Annual WLC by Maturity Level '!$E$9:$I$9,W$17,'Annual WLC by Maturity Level '!$E44:$I44)</f>
        <v>0</v>
      </c>
      <c r="X26" s="224">
        <f>-X$18*SUMIF('Annual WLC by Maturity Level '!$E$9:$I$9,X$17,'Annual WLC by Maturity Level '!$E44:$I44)</f>
        <v>0</v>
      </c>
      <c r="Y26" s="224">
        <f>-Y$18*SUMIF('Annual WLC by Maturity Level '!$E$9:$I$9,Y$17,'Annual WLC by Maturity Level '!$E44:$I44)</f>
        <v>0</v>
      </c>
      <c r="Z26" s="224">
        <f>-Z$18*SUMIF('Annual WLC by Maturity Level '!$E$9:$I$9,Z$17,'Annual WLC by Maturity Level '!$E44:$I44)</f>
        <v>0</v>
      </c>
      <c r="AA26" s="224">
        <f>-AA$18*SUMIF('Annual WLC by Maturity Level '!$E$9:$I$9,AA$17,'Annual WLC by Maturity Level '!$E44:$I44)</f>
        <v>0</v>
      </c>
    </row>
    <row r="27" spans="1:27" s="53" customFormat="1">
      <c r="A27" s="150" t="s">
        <v>178</v>
      </c>
      <c r="B27" s="149">
        <f ca="1">1/(1+'Financial Data'!$C$8)^B14*B22</f>
        <v>-35000</v>
      </c>
      <c r="C27" s="149">
        <f ca="1">1/(1+'Financial Data'!$C$8)^C14*C22</f>
        <v>-33816.425120772947</v>
      </c>
      <c r="D27" s="149">
        <f ca="1">1/(1+'Financial Data'!$C$8)^D14*D22</f>
        <v>-22871.012158976875</v>
      </c>
      <c r="E27" s="149">
        <f ca="1">1/(1+'Financial Data'!$C$8)^E14*E22</f>
        <v>-22097.596288866549</v>
      </c>
      <c r="F27" s="149">
        <f>1/(1+'Financial Data'!$C$8)^F14*F22</f>
        <v>0</v>
      </c>
      <c r="G27" s="149">
        <f>1/(1+'Financial Data'!$C$8)^G14*G22</f>
        <v>0</v>
      </c>
      <c r="H27" s="149">
        <f>1/(1+'Financial Data'!$C$8)^H14*H22</f>
        <v>0</v>
      </c>
      <c r="I27" s="149">
        <f>1/(1+'Financial Data'!$C$8)^I14*I22</f>
        <v>0</v>
      </c>
      <c r="J27" s="149">
        <f>1/(1+'Financial Data'!$C$8)^J14*J22</f>
        <v>0</v>
      </c>
      <c r="K27" s="149">
        <f>1/(1+'Financial Data'!$C$8)^K14*K22</f>
        <v>0</v>
      </c>
      <c r="L27" s="149">
        <f>1/(1+'Financial Data'!$C$8)^L14*L22</f>
        <v>0</v>
      </c>
      <c r="M27" s="149">
        <f>1/(1+'Financial Data'!$C$8)^M14*M22</f>
        <v>0</v>
      </c>
      <c r="N27" s="149">
        <f>1/(1+'Financial Data'!$C$8)^N14*N22</f>
        <v>0</v>
      </c>
      <c r="O27" s="149">
        <f>1/(1+'Financial Data'!$C$8)^O14*O22</f>
        <v>0</v>
      </c>
      <c r="P27" s="149">
        <f>1/(1+'Financial Data'!$C$8)^P14*P22</f>
        <v>0</v>
      </c>
      <c r="Q27" s="149">
        <f>1/(1+'Financial Data'!$C$8)^Q14*Q22</f>
        <v>0</v>
      </c>
      <c r="R27" s="149">
        <f>1/(1+'Financial Data'!$C$8)^R14*R22</f>
        <v>0</v>
      </c>
      <c r="S27" s="149">
        <f>1/(1+'Financial Data'!$C$8)^S14*S22</f>
        <v>0</v>
      </c>
      <c r="T27" s="149">
        <f>1/(1+'Financial Data'!$C$8)^T14*T22</f>
        <v>0</v>
      </c>
      <c r="U27" s="149">
        <f>1/(1+'Financial Data'!$C$8)^U14*U22</f>
        <v>0</v>
      </c>
      <c r="V27" s="149">
        <f>1/(1+'Financial Data'!$C$8)^V14*V22</f>
        <v>0</v>
      </c>
      <c r="W27" s="149">
        <f>1/(1+'Financial Data'!$C$8)^W14*W22</f>
        <v>0</v>
      </c>
      <c r="X27" s="149">
        <f>1/(1+'Financial Data'!$C$8)^X14*X22</f>
        <v>0</v>
      </c>
      <c r="Y27" s="149">
        <f>1/(1+'Financial Data'!$C$8)^Y14*Y22</f>
        <v>0</v>
      </c>
      <c r="Z27" s="149">
        <f>1/(1+'Financial Data'!$C$8)^Z14*Z22</f>
        <v>0</v>
      </c>
      <c r="AA27" s="149">
        <f>1/(1+'Financial Data'!$C$8)^AA14*AA22</f>
        <v>0</v>
      </c>
    </row>
    <row r="28" spans="1:27" s="225" customFormat="1">
      <c r="A28" s="223" t="str">
        <f>'Asset Info'!$C$10</f>
        <v>Crossrail</v>
      </c>
      <c r="B28" s="224">
        <f ca="1">-B$18*SUMIF('Annual WLC by Maturity Level '!$E$9:$I$9,B$17,'Annual WLC by Maturity Level '!$E41:$I41)</f>
        <v>0</v>
      </c>
      <c r="C28" s="224">
        <f ca="1">1/(1+'Financial Data'!$C$8)^C$14*C23</f>
        <v>0</v>
      </c>
      <c r="D28" s="224">
        <f ca="1">1/(1+'Financial Data'!$C$8)^D$14*D23</f>
        <v>0</v>
      </c>
      <c r="E28" s="224">
        <f ca="1">1/(1+'Financial Data'!$C$8)^E$14*E23</f>
        <v>0</v>
      </c>
      <c r="F28" s="224">
        <f>1/(1+'Financial Data'!$C$8)^F$14*F23</f>
        <v>0</v>
      </c>
      <c r="G28" s="224">
        <f>1/(1+'Financial Data'!$C$8)^G$14*G23</f>
        <v>0</v>
      </c>
      <c r="H28" s="224">
        <f>1/(1+'Financial Data'!$C$8)^H$14*H23</f>
        <v>0</v>
      </c>
      <c r="I28" s="224">
        <f>1/(1+'Financial Data'!$C$8)^I$14*I23</f>
        <v>0</v>
      </c>
      <c r="J28" s="224">
        <f>1/(1+'Financial Data'!$C$8)^J$14*J23</f>
        <v>0</v>
      </c>
      <c r="K28" s="224">
        <f>1/(1+'Financial Data'!$C$8)^K$14*K23</f>
        <v>0</v>
      </c>
      <c r="L28" s="224">
        <f>1/(1+'Financial Data'!$C$8)^L$14*L23</f>
        <v>0</v>
      </c>
      <c r="M28" s="224">
        <f>1/(1+'Financial Data'!$C$8)^M$14*M23</f>
        <v>0</v>
      </c>
      <c r="N28" s="224">
        <f>1/(1+'Financial Data'!$C$8)^N$14*N23</f>
        <v>0</v>
      </c>
      <c r="O28" s="224">
        <f>1/(1+'Financial Data'!$C$8)^O$14*O23</f>
        <v>0</v>
      </c>
      <c r="P28" s="224">
        <f>1/(1+'Financial Data'!$C$8)^P$14*P23</f>
        <v>0</v>
      </c>
      <c r="Q28" s="224">
        <f>1/(1+'Financial Data'!$C$8)^Q$14*Q23</f>
        <v>0</v>
      </c>
      <c r="R28" s="224">
        <f>1/(1+'Financial Data'!$C$8)^R$14*R23</f>
        <v>0</v>
      </c>
      <c r="S28" s="224">
        <f>1/(1+'Financial Data'!$C$8)^S$14*S23</f>
        <v>0</v>
      </c>
      <c r="T28" s="224">
        <f>1/(1+'Financial Data'!$C$8)^T$14*T23</f>
        <v>0</v>
      </c>
      <c r="U28" s="224">
        <f>1/(1+'Financial Data'!$C$8)^U$14*U23</f>
        <v>0</v>
      </c>
      <c r="V28" s="224">
        <f>1/(1+'Financial Data'!$C$8)^V$14*V23</f>
        <v>0</v>
      </c>
      <c r="W28" s="224">
        <f>1/(1+'Financial Data'!$C$8)^W$14*W23</f>
        <v>0</v>
      </c>
      <c r="X28" s="224">
        <f>1/(1+'Financial Data'!$C$8)^X$14*X23</f>
        <v>0</v>
      </c>
      <c r="Y28" s="224">
        <f>1/(1+'Financial Data'!$C$8)^Y$14*Y23</f>
        <v>0</v>
      </c>
      <c r="Z28" s="224">
        <f>1/(1+'Financial Data'!$C$8)^Z$14*Z23</f>
        <v>0</v>
      </c>
      <c r="AA28" s="224">
        <f>1/(1+'Financial Data'!$C$8)^AA$14*AA23</f>
        <v>0</v>
      </c>
    </row>
    <row r="29" spans="1:27" s="225" customFormat="1">
      <c r="A29" s="223" t="str">
        <f>'Asset Info'!$D$10</f>
        <v>NR Western</v>
      </c>
      <c r="B29" s="224">
        <f ca="1">-B$18*SUMIF('Annual WLC by Maturity Level '!$E$9:$I$9,B$17,'Annual WLC by Maturity Level '!$E42:$I42)</f>
        <v>-24500</v>
      </c>
      <c r="C29" s="224">
        <f ca="1">1/(1+'Financial Data'!$C$8)^C$14*C24</f>
        <v>-23671.497584541066</v>
      </c>
      <c r="D29" s="224">
        <f ca="1">1/(1+'Financial Data'!$C$8)^D$14*D24</f>
        <v>-16009.708511283812</v>
      </c>
      <c r="E29" s="224">
        <f ca="1">1/(1+'Financial Data'!$C$8)^E$14*E24</f>
        <v>-15468.317402206583</v>
      </c>
      <c r="F29" s="224">
        <f>1/(1+'Financial Data'!$C$8)^F$14*F24</f>
        <v>0</v>
      </c>
      <c r="G29" s="224">
        <f>1/(1+'Financial Data'!$C$8)^G$14*G24</f>
        <v>0</v>
      </c>
      <c r="H29" s="224">
        <f>1/(1+'Financial Data'!$C$8)^H$14*H24</f>
        <v>0</v>
      </c>
      <c r="I29" s="224">
        <f>1/(1+'Financial Data'!$C$8)^I$14*I24</f>
        <v>0</v>
      </c>
      <c r="J29" s="224">
        <f>1/(1+'Financial Data'!$C$8)^J$14*J24</f>
        <v>0</v>
      </c>
      <c r="K29" s="224">
        <f>1/(1+'Financial Data'!$C$8)^K$14*K24</f>
        <v>0</v>
      </c>
      <c r="L29" s="224">
        <f>1/(1+'Financial Data'!$C$8)^L$14*L24</f>
        <v>0</v>
      </c>
      <c r="M29" s="224">
        <f>1/(1+'Financial Data'!$C$8)^M$14*M24</f>
        <v>0</v>
      </c>
      <c r="N29" s="224">
        <f>1/(1+'Financial Data'!$C$8)^N$14*N24</f>
        <v>0</v>
      </c>
      <c r="O29" s="224">
        <f>1/(1+'Financial Data'!$C$8)^O$14*O24</f>
        <v>0</v>
      </c>
      <c r="P29" s="224">
        <f>1/(1+'Financial Data'!$C$8)^P$14*P24</f>
        <v>0</v>
      </c>
      <c r="Q29" s="224">
        <f>1/(1+'Financial Data'!$C$8)^Q$14*Q24</f>
        <v>0</v>
      </c>
      <c r="R29" s="224">
        <f>1/(1+'Financial Data'!$C$8)^R$14*R24</f>
        <v>0</v>
      </c>
      <c r="S29" s="224">
        <f>1/(1+'Financial Data'!$C$8)^S$14*S24</f>
        <v>0</v>
      </c>
      <c r="T29" s="224">
        <f>1/(1+'Financial Data'!$C$8)^T$14*T24</f>
        <v>0</v>
      </c>
      <c r="U29" s="224">
        <f>1/(1+'Financial Data'!$C$8)^U$14*U24</f>
        <v>0</v>
      </c>
      <c r="V29" s="224">
        <f>1/(1+'Financial Data'!$C$8)^V$14*V24</f>
        <v>0</v>
      </c>
      <c r="W29" s="224">
        <f>1/(1+'Financial Data'!$C$8)^W$14*W24</f>
        <v>0</v>
      </c>
      <c r="X29" s="224">
        <f>1/(1+'Financial Data'!$C$8)^X$14*X24</f>
        <v>0</v>
      </c>
      <c r="Y29" s="224">
        <f>1/(1+'Financial Data'!$C$8)^Y$14*Y24</f>
        <v>0</v>
      </c>
      <c r="Z29" s="224">
        <f>1/(1+'Financial Data'!$C$8)^Z$14*Z24</f>
        <v>0</v>
      </c>
      <c r="AA29" s="224">
        <f>1/(1+'Financial Data'!$C$8)^AA$14*AA24</f>
        <v>0</v>
      </c>
    </row>
    <row r="30" spans="1:27" s="225" customFormat="1">
      <c r="A30" s="223" t="str">
        <f>'Asset Info'!$E$10</f>
        <v>Balfour Beatty</v>
      </c>
      <c r="B30" s="224">
        <f ca="1">-B$18*SUMIF('Annual WLC by Maturity Level '!$E$9:$I$9,B$17,'Annual WLC by Maturity Level '!$E43:$I43)</f>
        <v>0</v>
      </c>
      <c r="C30" s="224">
        <f ca="1">1/(1+'Financial Data'!$C$8)^C$14*C25</f>
        <v>0</v>
      </c>
      <c r="D30" s="224">
        <f ca="1">1/(1+'Financial Data'!$C$8)^D$14*D25</f>
        <v>0</v>
      </c>
      <c r="E30" s="224">
        <f ca="1">1/(1+'Financial Data'!$C$8)^E$14*E25</f>
        <v>0</v>
      </c>
      <c r="F30" s="224">
        <f>1/(1+'Financial Data'!$C$8)^F$14*F25</f>
        <v>0</v>
      </c>
      <c r="G30" s="224">
        <f>1/(1+'Financial Data'!$C$8)^G$14*G25</f>
        <v>0</v>
      </c>
      <c r="H30" s="224">
        <f>1/(1+'Financial Data'!$C$8)^H$14*H25</f>
        <v>0</v>
      </c>
      <c r="I30" s="224">
        <f>1/(1+'Financial Data'!$C$8)^I$14*I25</f>
        <v>0</v>
      </c>
      <c r="J30" s="224">
        <f>1/(1+'Financial Data'!$C$8)^J$14*J25</f>
        <v>0</v>
      </c>
      <c r="K30" s="224">
        <f>1/(1+'Financial Data'!$C$8)^K$14*K25</f>
        <v>0</v>
      </c>
      <c r="L30" s="224">
        <f>1/(1+'Financial Data'!$C$8)^L$14*L25</f>
        <v>0</v>
      </c>
      <c r="M30" s="224">
        <f>1/(1+'Financial Data'!$C$8)^M$14*M25</f>
        <v>0</v>
      </c>
      <c r="N30" s="224">
        <f>1/(1+'Financial Data'!$C$8)^N$14*N25</f>
        <v>0</v>
      </c>
      <c r="O30" s="224">
        <f>1/(1+'Financial Data'!$C$8)^O$14*O25</f>
        <v>0</v>
      </c>
      <c r="P30" s="224">
        <f>1/(1+'Financial Data'!$C$8)^P$14*P25</f>
        <v>0</v>
      </c>
      <c r="Q30" s="224">
        <f>1/(1+'Financial Data'!$C$8)^Q$14*Q25</f>
        <v>0</v>
      </c>
      <c r="R30" s="224">
        <f>1/(1+'Financial Data'!$C$8)^R$14*R25</f>
        <v>0</v>
      </c>
      <c r="S30" s="224">
        <f>1/(1+'Financial Data'!$C$8)^S$14*S25</f>
        <v>0</v>
      </c>
      <c r="T30" s="224">
        <f>1/(1+'Financial Data'!$C$8)^T$14*T25</f>
        <v>0</v>
      </c>
      <c r="U30" s="224">
        <f>1/(1+'Financial Data'!$C$8)^U$14*U25</f>
        <v>0</v>
      </c>
      <c r="V30" s="224">
        <f>1/(1+'Financial Data'!$C$8)^V$14*V25</f>
        <v>0</v>
      </c>
      <c r="W30" s="224">
        <f>1/(1+'Financial Data'!$C$8)^W$14*W25</f>
        <v>0</v>
      </c>
      <c r="X30" s="224">
        <f>1/(1+'Financial Data'!$C$8)^X$14*X25</f>
        <v>0</v>
      </c>
      <c r="Y30" s="224">
        <f>1/(1+'Financial Data'!$C$8)^Y$14*Y25</f>
        <v>0</v>
      </c>
      <c r="Z30" s="224">
        <f>1/(1+'Financial Data'!$C$8)^Z$14*Z25</f>
        <v>0</v>
      </c>
      <c r="AA30" s="224">
        <f>1/(1+'Financial Data'!$C$8)^AA$14*AA25</f>
        <v>0</v>
      </c>
    </row>
    <row r="31" spans="1:27" s="225" customFormat="1">
      <c r="A31" s="223" t="str">
        <f>'Asset Info'!$F$10</f>
        <v>RSSB</v>
      </c>
      <c r="B31" s="224">
        <f ca="1">-B$18*SUMIF('Annual WLC by Maturity Level '!$E$9:$I$9,B$17,'Annual WLC by Maturity Level '!$E44:$I44)</f>
        <v>-10500</v>
      </c>
      <c r="C31" s="224">
        <f ca="1">1/(1+'Financial Data'!$C$8)^C$14*C26</f>
        <v>-10144.927536231884</v>
      </c>
      <c r="D31" s="224">
        <f ca="1">1/(1+'Financial Data'!$C$8)^D$14*D26</f>
        <v>-6861.303647693062</v>
      </c>
      <c r="E31" s="224">
        <f ca="1">1/(1+'Financial Data'!$C$8)^E$14*E26</f>
        <v>-6629.278886659964</v>
      </c>
      <c r="F31" s="224">
        <f>1/(1+'Financial Data'!$C$8)^F$14*F26</f>
        <v>0</v>
      </c>
      <c r="G31" s="224">
        <f>1/(1+'Financial Data'!$C$8)^G$14*G26</f>
        <v>0</v>
      </c>
      <c r="H31" s="224">
        <f>1/(1+'Financial Data'!$C$8)^H$14*H26</f>
        <v>0</v>
      </c>
      <c r="I31" s="224">
        <f>1/(1+'Financial Data'!$C$8)^I$14*I26</f>
        <v>0</v>
      </c>
      <c r="J31" s="224">
        <f>1/(1+'Financial Data'!$C$8)^J$14*J26</f>
        <v>0</v>
      </c>
      <c r="K31" s="224">
        <f>1/(1+'Financial Data'!$C$8)^K$14*K26</f>
        <v>0</v>
      </c>
      <c r="L31" s="224">
        <f>1/(1+'Financial Data'!$C$8)^L$14*L26</f>
        <v>0</v>
      </c>
      <c r="M31" s="224">
        <f>1/(1+'Financial Data'!$C$8)^M$14*M26</f>
        <v>0</v>
      </c>
      <c r="N31" s="224">
        <f>1/(1+'Financial Data'!$C$8)^N$14*N26</f>
        <v>0</v>
      </c>
      <c r="O31" s="224">
        <f>1/(1+'Financial Data'!$C$8)^O$14*O26</f>
        <v>0</v>
      </c>
      <c r="P31" s="224">
        <f>1/(1+'Financial Data'!$C$8)^P$14*P26</f>
        <v>0</v>
      </c>
      <c r="Q31" s="224">
        <f>1/(1+'Financial Data'!$C$8)^Q$14*Q26</f>
        <v>0</v>
      </c>
      <c r="R31" s="224">
        <f>1/(1+'Financial Data'!$C$8)^R$14*R26</f>
        <v>0</v>
      </c>
      <c r="S31" s="224">
        <f>1/(1+'Financial Data'!$C$8)^S$14*S26</f>
        <v>0</v>
      </c>
      <c r="T31" s="224">
        <f>1/(1+'Financial Data'!$C$8)^T$14*T26</f>
        <v>0</v>
      </c>
      <c r="U31" s="224">
        <f>1/(1+'Financial Data'!$C$8)^U$14*U26</f>
        <v>0</v>
      </c>
      <c r="V31" s="224">
        <f>1/(1+'Financial Data'!$C$8)^V$14*V26</f>
        <v>0</v>
      </c>
      <c r="W31" s="224">
        <f>1/(1+'Financial Data'!$C$8)^W$14*W26</f>
        <v>0</v>
      </c>
      <c r="X31" s="224">
        <f>1/(1+'Financial Data'!$C$8)^X$14*X26</f>
        <v>0</v>
      </c>
      <c r="Y31" s="224">
        <f>1/(1+'Financial Data'!$C$8)^Y$14*Y26</f>
        <v>0</v>
      </c>
      <c r="Z31" s="224">
        <f>1/(1+'Financial Data'!$C$8)^Z$14*Z26</f>
        <v>0</v>
      </c>
      <c r="AA31" s="224">
        <f>1/(1+'Financial Data'!$C$8)^AA$14*AA26</f>
        <v>0</v>
      </c>
    </row>
    <row r="32" spans="1:27">
      <c r="A32" s="22"/>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s="53" customFormat="1">
      <c r="A33" s="151" t="s">
        <v>143</v>
      </c>
      <c r="B33" s="149">
        <f ca="1">-'Annual WLC by Maturity Level '!$C$34
+B18*INDEX('Annual WLC by Maturity Level '!$E$84:$I$84,MATCH(B17,'Annual WLC by Maturity Level '!$E$9:$I$9,FALSE))</f>
        <v>-9947253.459999999</v>
      </c>
      <c r="C33" s="149">
        <f ca="1">B33
+C18*INDEX('Annual WLC by Maturity Level '!$E$84:$I$84,MATCH(C17,'Annual WLC by Maturity Level '!$E$9:$I$9,FALSE))</f>
        <v>-9945144.5699999984</v>
      </c>
      <c r="D33" s="149">
        <f ca="1">C33
+D18*INDEX('Annual WLC by Maturity Level '!$E$84:$I$84,MATCH(D17,'Annual WLC by Maturity Level '!$E$9:$I$9,FALSE))</f>
        <v>-9850229.2359999977</v>
      </c>
      <c r="E33" s="149">
        <f ca="1">D33
+E18*INDEX('Annual WLC by Maturity Level '!$E$84:$I$84,MATCH(E17,'Annual WLC by Maturity Level '!$E$9:$I$9,FALSE))</f>
        <v>-9755313.901999997</v>
      </c>
      <c r="F33" s="149">
        <f ca="1">E33
+F18*INDEX('Annual WLC by Maturity Level '!$E$84:$I$84,MATCH(F17,'Annual WLC by Maturity Level '!$E$9:$I$9,FALSE))</f>
        <v>-9755313.901999997</v>
      </c>
      <c r="G33" s="149">
        <f ca="1">F33
+G18*INDEX('Annual WLC by Maturity Level '!$E$84:$I$84,MATCH(G17,'Annual WLC by Maturity Level '!$E$9:$I$9,FALSE))</f>
        <v>-9755313.901999997</v>
      </c>
      <c r="H33" s="149">
        <f ca="1">G33
+H18*INDEX('Annual WLC by Maturity Level '!$E$84:$I$84,MATCH(H17,'Annual WLC by Maturity Level '!$E$9:$I$9,FALSE))</f>
        <v>-9755313.901999997</v>
      </c>
      <c r="I33" s="149">
        <f ca="1">H33
+I18*INDEX('Annual WLC by Maturity Level '!$E$84:$I$84,MATCH(I17,'Annual WLC by Maturity Level '!$E$9:$I$9,FALSE))</f>
        <v>-9755313.901999997</v>
      </c>
      <c r="J33" s="149">
        <f ca="1">I33
+J18*INDEX('Annual WLC by Maturity Level '!$E$84:$I$84,MATCH(J17,'Annual WLC by Maturity Level '!$E$9:$I$9,FALSE))</f>
        <v>-9755313.901999997</v>
      </c>
      <c r="K33" s="149">
        <f ca="1">J33
+K18*INDEX('Annual WLC by Maturity Level '!$E$84:$I$84,MATCH(K17,'Annual WLC by Maturity Level '!$E$9:$I$9,FALSE))</f>
        <v>-9755313.901999997</v>
      </c>
      <c r="L33" s="149">
        <f ca="1">K33
+L18*INDEX('Annual WLC by Maturity Level '!$E$84:$I$84,MATCH(L17,'Annual WLC by Maturity Level '!$E$9:$I$9,FALSE))</f>
        <v>-9755313.901999997</v>
      </c>
      <c r="M33" s="149">
        <f ca="1">L33
+M18*INDEX('Annual WLC by Maturity Level '!$E$84:$I$84,MATCH(M17,'Annual WLC by Maturity Level '!$E$9:$I$9,FALSE))</f>
        <v>-9755313.901999997</v>
      </c>
      <c r="N33" s="149">
        <f ca="1">M33
+N18*INDEX('Annual WLC by Maturity Level '!$E$84:$I$84,MATCH(N17,'Annual WLC by Maturity Level '!$E$9:$I$9,FALSE))</f>
        <v>-9755313.901999997</v>
      </c>
      <c r="O33" s="149">
        <f ca="1">N33
+O18*INDEX('Annual WLC by Maturity Level '!$E$84:$I$84,MATCH(O17,'Annual WLC by Maturity Level '!$E$9:$I$9,FALSE))</f>
        <v>-9755313.901999997</v>
      </c>
      <c r="P33" s="149">
        <f ca="1">O33
+P18*INDEX('Annual WLC by Maturity Level '!$E$84:$I$84,MATCH(P17,'Annual WLC by Maturity Level '!$E$9:$I$9,FALSE))</f>
        <v>-9755313.901999997</v>
      </c>
      <c r="Q33" s="149">
        <f ca="1">P33
+Q18*INDEX('Annual WLC by Maturity Level '!$E$84:$I$84,MATCH(Q17,'Annual WLC by Maturity Level '!$E$9:$I$9,FALSE))</f>
        <v>-9755313.901999997</v>
      </c>
      <c r="R33" s="149">
        <f ca="1">Q33
+R18*INDEX('Annual WLC by Maturity Level '!$E$84:$I$84,MATCH(R17,'Annual WLC by Maturity Level '!$E$9:$I$9,FALSE))</f>
        <v>-9755313.901999997</v>
      </c>
      <c r="S33" s="149">
        <f ca="1">R33
+S18*INDEX('Annual WLC by Maturity Level '!$E$84:$I$84,MATCH(S17,'Annual WLC by Maturity Level '!$E$9:$I$9,FALSE))</f>
        <v>-9755313.901999997</v>
      </c>
      <c r="T33" s="149">
        <f ca="1">S33
+T18*INDEX('Annual WLC by Maturity Level '!$E$84:$I$84,MATCH(T17,'Annual WLC by Maturity Level '!$E$9:$I$9,FALSE))</f>
        <v>-9755313.901999997</v>
      </c>
      <c r="U33" s="149">
        <f ca="1">T33
+U18*INDEX('Annual WLC by Maturity Level '!$E$84:$I$84,MATCH(U17,'Annual WLC by Maturity Level '!$E$9:$I$9,FALSE))</f>
        <v>-9755313.901999997</v>
      </c>
      <c r="V33" s="149">
        <f ca="1">U33
+V18*INDEX('Annual WLC by Maturity Level '!$E$84:$I$84,MATCH(V17,'Annual WLC by Maturity Level '!$E$9:$I$9,FALSE))</f>
        <v>-9755313.901999997</v>
      </c>
      <c r="W33" s="149">
        <f ca="1">V33
+W18*INDEX('Annual WLC by Maturity Level '!$E$84:$I$84,MATCH(W17,'Annual WLC by Maturity Level '!$E$9:$I$9,FALSE))</f>
        <v>-9755313.901999997</v>
      </c>
      <c r="X33" s="149">
        <f ca="1">W33
+X18*INDEX('Annual WLC by Maturity Level '!$E$84:$I$84,MATCH(X17,'Annual WLC by Maturity Level '!$E$9:$I$9,FALSE))</f>
        <v>-9755313.901999997</v>
      </c>
      <c r="Y33" s="149">
        <f ca="1">X33
+Y18*INDEX('Annual WLC by Maturity Level '!$E$84:$I$84,MATCH(Y17,'Annual WLC by Maturity Level '!$E$9:$I$9,FALSE))</f>
        <v>-9755313.901999997</v>
      </c>
      <c r="Z33" s="149">
        <f ca="1">Y33
+Z18*INDEX('Annual WLC by Maturity Level '!$E$84:$I$84,MATCH(Z17,'Annual WLC by Maturity Level '!$E$9:$I$9,FALSE))</f>
        <v>-9755313.901999997</v>
      </c>
      <c r="AA33" s="149">
        <f ca="1">Z33
+AA18*INDEX('Annual WLC by Maturity Level '!$E$84:$I$84,MATCH(AA17,'Annual WLC by Maturity Level '!$E$9:$I$9,FALSE))</f>
        <v>-9755313.901999997</v>
      </c>
    </row>
    <row r="34" spans="1:27" s="225" customFormat="1">
      <c r="A34" s="223" t="str">
        <f>'Asset Info'!$C$10</f>
        <v>Crossrail</v>
      </c>
      <c r="B34" s="224">
        <f ca="1">-'Annual WLC by Maturity Level '!$C35
+B$18*INDEX('Annual WLC by Maturity Level '!$E85:$I85,MATCH(B$17,'Annual WLC by Maturity Level '!$E$9:$I$9,FALSE))</f>
        <v>-68256.75</v>
      </c>
      <c r="C34" s="224">
        <f ca="1">B34
+C$18*INDEX('Annual WLC by Maturity Level '!$E85:$I85,MATCH(C$17,'Annual WLC by Maturity Level '!$E$9:$I$9,FALSE))</f>
        <v>-66506.75</v>
      </c>
      <c r="D34" s="224">
        <f ca="1">C34
+D$18*INDEX('Annual WLC by Maturity Level '!$E85:$I85,MATCH(D$17,'Annual WLC by Maturity Level '!$E$9:$I$9,FALSE))</f>
        <v>-65456.75</v>
      </c>
      <c r="E34" s="224">
        <f ca="1">D34
+E$18*INDEX('Annual WLC by Maturity Level '!$E85:$I85,MATCH(E$17,'Annual WLC by Maturity Level '!$E$9:$I$9,FALSE))</f>
        <v>-64406.75</v>
      </c>
      <c r="F34" s="224">
        <f ca="1">E34
+F$18*INDEX('Annual WLC by Maturity Level '!$E85:$I85,MATCH(F$17,'Annual WLC by Maturity Level '!$E$9:$I$9,FALSE))</f>
        <v>-64406.75</v>
      </c>
      <c r="G34" s="224">
        <f ca="1">F34
+G$18*INDEX('Annual WLC by Maturity Level '!$E85:$I85,MATCH(G$17,'Annual WLC by Maturity Level '!$E$9:$I$9,FALSE))</f>
        <v>-64406.75</v>
      </c>
      <c r="H34" s="224">
        <f ca="1">G34
+H$18*INDEX('Annual WLC by Maturity Level '!$E85:$I85,MATCH(H$17,'Annual WLC by Maturity Level '!$E$9:$I$9,FALSE))</f>
        <v>-64406.75</v>
      </c>
      <c r="I34" s="224">
        <f ca="1">H34
+I$18*INDEX('Annual WLC by Maturity Level '!$E85:$I85,MATCH(I$17,'Annual WLC by Maturity Level '!$E$9:$I$9,FALSE))</f>
        <v>-64406.75</v>
      </c>
      <c r="J34" s="224">
        <f ca="1">I34
+J$18*INDEX('Annual WLC by Maturity Level '!$E85:$I85,MATCH(J$17,'Annual WLC by Maturity Level '!$E$9:$I$9,FALSE))</f>
        <v>-64406.75</v>
      </c>
      <c r="K34" s="224">
        <f ca="1">J34
+K$18*INDEX('Annual WLC by Maturity Level '!$E85:$I85,MATCH(K$17,'Annual WLC by Maturity Level '!$E$9:$I$9,FALSE))</f>
        <v>-64406.75</v>
      </c>
      <c r="L34" s="224">
        <f ca="1">K34
+L$18*INDEX('Annual WLC by Maturity Level '!$E85:$I85,MATCH(L$17,'Annual WLC by Maturity Level '!$E$9:$I$9,FALSE))</f>
        <v>-64406.75</v>
      </c>
      <c r="M34" s="224">
        <f ca="1">L34
+M$18*INDEX('Annual WLC by Maturity Level '!$E85:$I85,MATCH(M$17,'Annual WLC by Maturity Level '!$E$9:$I$9,FALSE))</f>
        <v>-64406.75</v>
      </c>
      <c r="N34" s="224">
        <f ca="1">M34
+N$18*INDEX('Annual WLC by Maturity Level '!$E85:$I85,MATCH(N$17,'Annual WLC by Maturity Level '!$E$9:$I$9,FALSE))</f>
        <v>-64406.75</v>
      </c>
      <c r="O34" s="224">
        <f ca="1">N34
+O$18*INDEX('Annual WLC by Maturity Level '!$E85:$I85,MATCH(O$17,'Annual WLC by Maturity Level '!$E$9:$I$9,FALSE))</f>
        <v>-64406.75</v>
      </c>
      <c r="P34" s="224">
        <f ca="1">O34
+P$18*INDEX('Annual WLC by Maturity Level '!$E85:$I85,MATCH(P$17,'Annual WLC by Maturity Level '!$E$9:$I$9,FALSE))</f>
        <v>-64406.75</v>
      </c>
      <c r="Q34" s="224">
        <f ca="1">P34
+Q$18*INDEX('Annual WLC by Maturity Level '!$E85:$I85,MATCH(Q$17,'Annual WLC by Maturity Level '!$E$9:$I$9,FALSE))</f>
        <v>-64406.75</v>
      </c>
      <c r="R34" s="224">
        <f ca="1">Q34
+R$18*INDEX('Annual WLC by Maturity Level '!$E85:$I85,MATCH(R$17,'Annual WLC by Maturity Level '!$E$9:$I$9,FALSE))</f>
        <v>-64406.75</v>
      </c>
      <c r="S34" s="224">
        <f ca="1">R34
+S$18*INDEX('Annual WLC by Maturity Level '!$E85:$I85,MATCH(S$17,'Annual WLC by Maturity Level '!$E$9:$I$9,FALSE))</f>
        <v>-64406.75</v>
      </c>
      <c r="T34" s="224">
        <f ca="1">S34
+T$18*INDEX('Annual WLC by Maturity Level '!$E85:$I85,MATCH(T$17,'Annual WLC by Maturity Level '!$E$9:$I$9,FALSE))</f>
        <v>-64406.75</v>
      </c>
      <c r="U34" s="224">
        <f ca="1">T34
+U$18*INDEX('Annual WLC by Maturity Level '!$E85:$I85,MATCH(U$17,'Annual WLC by Maturity Level '!$E$9:$I$9,FALSE))</f>
        <v>-64406.75</v>
      </c>
      <c r="V34" s="224">
        <f ca="1">U34
+V$18*INDEX('Annual WLC by Maturity Level '!$E85:$I85,MATCH(V$17,'Annual WLC by Maturity Level '!$E$9:$I$9,FALSE))</f>
        <v>-64406.75</v>
      </c>
      <c r="W34" s="224">
        <f ca="1">V34
+W$18*INDEX('Annual WLC by Maturity Level '!$E85:$I85,MATCH(W$17,'Annual WLC by Maturity Level '!$E$9:$I$9,FALSE))</f>
        <v>-64406.75</v>
      </c>
      <c r="X34" s="224">
        <f ca="1">W34
+X$18*INDEX('Annual WLC by Maturity Level '!$E85:$I85,MATCH(X$17,'Annual WLC by Maturity Level '!$E$9:$I$9,FALSE))</f>
        <v>-64406.75</v>
      </c>
      <c r="Y34" s="224">
        <f ca="1">X34
+Y$18*INDEX('Annual WLC by Maturity Level '!$E85:$I85,MATCH(Y$17,'Annual WLC by Maturity Level '!$E$9:$I$9,FALSE))</f>
        <v>-64406.75</v>
      </c>
      <c r="Z34" s="224">
        <f ca="1">Y34
+Z$18*INDEX('Annual WLC by Maturity Level '!$E85:$I85,MATCH(Z$17,'Annual WLC by Maturity Level '!$E$9:$I$9,FALSE))</f>
        <v>-64406.75</v>
      </c>
      <c r="AA34" s="224">
        <f ca="1">Z34
+AA$18*INDEX('Annual WLC by Maturity Level '!$E85:$I85,MATCH(AA$17,'Annual WLC by Maturity Level '!$E$9:$I$9,FALSE))</f>
        <v>-64406.75</v>
      </c>
    </row>
    <row r="35" spans="1:27" s="225" customFormat="1">
      <c r="A35" s="223" t="str">
        <f>'Asset Info'!$D$10</f>
        <v>NR Western</v>
      </c>
      <c r="B35" s="224">
        <f ca="1">-'Annual WLC by Maturity Level '!$C36
+B$18*INDEX('Annual WLC by Maturity Level '!$E86:$I86,MATCH(B$17,'Annual WLC by Maturity Level '!$E$9:$I$9,FALSE))</f>
        <v>-9872746.709999999</v>
      </c>
      <c r="C35" s="224">
        <f ca="1">B35
+C$18*INDEX('Annual WLC by Maturity Level '!$E86:$I86,MATCH(C$17,'Annual WLC by Maturity Level '!$E$9:$I$9,FALSE))</f>
        <v>-9866137.8199999984</v>
      </c>
      <c r="D35" s="224">
        <f ca="1">C35
+D$18*INDEX('Annual WLC by Maturity Level '!$E86:$I86,MATCH(D$17,'Annual WLC by Maturity Level '!$E$9:$I$9,FALSE))</f>
        <v>-9770067.4859999977</v>
      </c>
      <c r="E35" s="224">
        <f ca="1">D35
+E$18*INDEX('Annual WLC by Maturity Level '!$E86:$I86,MATCH(E$17,'Annual WLC by Maturity Level '!$E$9:$I$9,FALSE))</f>
        <v>-9673997.151999997</v>
      </c>
      <c r="F35" s="224">
        <f ca="1">E35
+F$18*INDEX('Annual WLC by Maturity Level '!$E86:$I86,MATCH(F$17,'Annual WLC by Maturity Level '!$E$9:$I$9,FALSE))</f>
        <v>-9673997.151999997</v>
      </c>
      <c r="G35" s="224">
        <f ca="1">F35
+G$18*INDEX('Annual WLC by Maturity Level '!$E86:$I86,MATCH(G$17,'Annual WLC by Maturity Level '!$E$9:$I$9,FALSE))</f>
        <v>-9673997.151999997</v>
      </c>
      <c r="H35" s="224">
        <f ca="1">G35
+H$18*INDEX('Annual WLC by Maturity Level '!$E86:$I86,MATCH(H$17,'Annual WLC by Maturity Level '!$E$9:$I$9,FALSE))</f>
        <v>-9673997.151999997</v>
      </c>
      <c r="I35" s="224">
        <f ca="1">H35
+I$18*INDEX('Annual WLC by Maturity Level '!$E86:$I86,MATCH(I$17,'Annual WLC by Maturity Level '!$E$9:$I$9,FALSE))</f>
        <v>-9673997.151999997</v>
      </c>
      <c r="J35" s="224">
        <f ca="1">I35
+J$18*INDEX('Annual WLC by Maturity Level '!$E86:$I86,MATCH(J$17,'Annual WLC by Maturity Level '!$E$9:$I$9,FALSE))</f>
        <v>-9673997.151999997</v>
      </c>
      <c r="K35" s="224">
        <f ca="1">J35
+K$18*INDEX('Annual WLC by Maturity Level '!$E86:$I86,MATCH(K$17,'Annual WLC by Maturity Level '!$E$9:$I$9,FALSE))</f>
        <v>-9673997.151999997</v>
      </c>
      <c r="L35" s="224">
        <f ca="1">K35
+L$18*INDEX('Annual WLC by Maturity Level '!$E86:$I86,MATCH(L$17,'Annual WLC by Maturity Level '!$E$9:$I$9,FALSE))</f>
        <v>-9673997.151999997</v>
      </c>
      <c r="M35" s="224">
        <f ca="1">L35
+M$18*INDEX('Annual WLC by Maturity Level '!$E86:$I86,MATCH(M$17,'Annual WLC by Maturity Level '!$E$9:$I$9,FALSE))</f>
        <v>-9673997.151999997</v>
      </c>
      <c r="N35" s="224">
        <f ca="1">M35
+N$18*INDEX('Annual WLC by Maturity Level '!$E86:$I86,MATCH(N$17,'Annual WLC by Maturity Level '!$E$9:$I$9,FALSE))</f>
        <v>-9673997.151999997</v>
      </c>
      <c r="O35" s="224">
        <f ca="1">N35
+O$18*INDEX('Annual WLC by Maturity Level '!$E86:$I86,MATCH(O$17,'Annual WLC by Maturity Level '!$E$9:$I$9,FALSE))</f>
        <v>-9673997.151999997</v>
      </c>
      <c r="P35" s="224">
        <f ca="1">O35
+P$18*INDEX('Annual WLC by Maturity Level '!$E86:$I86,MATCH(P$17,'Annual WLC by Maturity Level '!$E$9:$I$9,FALSE))</f>
        <v>-9673997.151999997</v>
      </c>
      <c r="Q35" s="224">
        <f ca="1">P35
+Q$18*INDEX('Annual WLC by Maturity Level '!$E86:$I86,MATCH(Q$17,'Annual WLC by Maturity Level '!$E$9:$I$9,FALSE))</f>
        <v>-9673997.151999997</v>
      </c>
      <c r="R35" s="224">
        <f ca="1">Q35
+R$18*INDEX('Annual WLC by Maturity Level '!$E86:$I86,MATCH(R$17,'Annual WLC by Maturity Level '!$E$9:$I$9,FALSE))</f>
        <v>-9673997.151999997</v>
      </c>
      <c r="S35" s="224">
        <f ca="1">R35
+S$18*INDEX('Annual WLC by Maturity Level '!$E86:$I86,MATCH(S$17,'Annual WLC by Maturity Level '!$E$9:$I$9,FALSE))</f>
        <v>-9673997.151999997</v>
      </c>
      <c r="T35" s="224">
        <f ca="1">S35
+T$18*INDEX('Annual WLC by Maturity Level '!$E86:$I86,MATCH(T$17,'Annual WLC by Maturity Level '!$E$9:$I$9,FALSE))</f>
        <v>-9673997.151999997</v>
      </c>
      <c r="U35" s="224">
        <f ca="1">T35
+U$18*INDEX('Annual WLC by Maturity Level '!$E86:$I86,MATCH(U$17,'Annual WLC by Maturity Level '!$E$9:$I$9,FALSE))</f>
        <v>-9673997.151999997</v>
      </c>
      <c r="V35" s="224">
        <f ca="1">U35
+V$18*INDEX('Annual WLC by Maturity Level '!$E86:$I86,MATCH(V$17,'Annual WLC by Maturity Level '!$E$9:$I$9,FALSE))</f>
        <v>-9673997.151999997</v>
      </c>
      <c r="W35" s="224">
        <f ca="1">V35
+W$18*INDEX('Annual WLC by Maturity Level '!$E86:$I86,MATCH(W$17,'Annual WLC by Maturity Level '!$E$9:$I$9,FALSE))</f>
        <v>-9673997.151999997</v>
      </c>
      <c r="X35" s="224">
        <f ca="1">W35
+X$18*INDEX('Annual WLC by Maturity Level '!$E86:$I86,MATCH(X$17,'Annual WLC by Maturity Level '!$E$9:$I$9,FALSE))</f>
        <v>-9673997.151999997</v>
      </c>
      <c r="Y35" s="224">
        <f ca="1">X35
+Y$18*INDEX('Annual WLC by Maturity Level '!$E86:$I86,MATCH(Y$17,'Annual WLC by Maturity Level '!$E$9:$I$9,FALSE))</f>
        <v>-9673997.151999997</v>
      </c>
      <c r="Z35" s="224">
        <f ca="1">Y35
+Z$18*INDEX('Annual WLC by Maturity Level '!$E86:$I86,MATCH(Z$17,'Annual WLC by Maturity Level '!$E$9:$I$9,FALSE))</f>
        <v>-9673997.151999997</v>
      </c>
      <c r="AA35" s="224">
        <f ca="1">Z35
+AA$18*INDEX('Annual WLC by Maturity Level '!$E86:$I86,MATCH(AA$17,'Annual WLC by Maturity Level '!$E$9:$I$9,FALSE))</f>
        <v>-9673997.151999997</v>
      </c>
    </row>
    <row r="36" spans="1:27" s="225" customFormat="1">
      <c r="A36" s="223" t="str">
        <f>'Asset Info'!$E$10</f>
        <v>Balfour Beatty</v>
      </c>
      <c r="B36" s="224">
        <f ca="1">-'Annual WLC by Maturity Level '!$C37
+B$18*INDEX('Annual WLC by Maturity Level '!$E87:$I87,MATCH(B$17,'Annual WLC by Maturity Level '!$E$9:$I$9,FALSE))</f>
        <v>0</v>
      </c>
      <c r="C36" s="224">
        <f ca="1">B36
+C$18*INDEX('Annual WLC by Maturity Level '!$E87:$I87,MATCH(C$17,'Annual WLC by Maturity Level '!$E$9:$I$9,FALSE))</f>
        <v>0</v>
      </c>
      <c r="D36" s="224">
        <f ca="1">C36
+D$18*INDEX('Annual WLC by Maturity Level '!$E87:$I87,MATCH(D$17,'Annual WLC by Maturity Level '!$E$9:$I$9,FALSE))</f>
        <v>0</v>
      </c>
      <c r="E36" s="224">
        <f ca="1">D36
+E$18*INDEX('Annual WLC by Maturity Level '!$E87:$I87,MATCH(E$17,'Annual WLC by Maturity Level '!$E$9:$I$9,FALSE))</f>
        <v>0</v>
      </c>
      <c r="F36" s="224">
        <f ca="1">E36
+F$18*INDEX('Annual WLC by Maturity Level '!$E87:$I87,MATCH(F$17,'Annual WLC by Maturity Level '!$E$9:$I$9,FALSE))</f>
        <v>0</v>
      </c>
      <c r="G36" s="224">
        <f ca="1">F36
+G$18*INDEX('Annual WLC by Maturity Level '!$E87:$I87,MATCH(G$17,'Annual WLC by Maturity Level '!$E$9:$I$9,FALSE))</f>
        <v>0</v>
      </c>
      <c r="H36" s="224">
        <f ca="1">G36
+H$18*INDEX('Annual WLC by Maturity Level '!$E87:$I87,MATCH(H$17,'Annual WLC by Maturity Level '!$E$9:$I$9,FALSE))</f>
        <v>0</v>
      </c>
      <c r="I36" s="224">
        <f ca="1">H36
+I$18*INDEX('Annual WLC by Maturity Level '!$E87:$I87,MATCH(I$17,'Annual WLC by Maturity Level '!$E$9:$I$9,FALSE))</f>
        <v>0</v>
      </c>
      <c r="J36" s="224">
        <f ca="1">I36
+J$18*INDEX('Annual WLC by Maturity Level '!$E87:$I87,MATCH(J$17,'Annual WLC by Maturity Level '!$E$9:$I$9,FALSE))</f>
        <v>0</v>
      </c>
      <c r="K36" s="224">
        <f ca="1">J36
+K$18*INDEX('Annual WLC by Maturity Level '!$E87:$I87,MATCH(K$17,'Annual WLC by Maturity Level '!$E$9:$I$9,FALSE))</f>
        <v>0</v>
      </c>
      <c r="L36" s="224">
        <f ca="1">K36
+L$18*INDEX('Annual WLC by Maturity Level '!$E87:$I87,MATCH(L$17,'Annual WLC by Maturity Level '!$E$9:$I$9,FALSE))</f>
        <v>0</v>
      </c>
      <c r="M36" s="224">
        <f ca="1">L36
+M$18*INDEX('Annual WLC by Maturity Level '!$E87:$I87,MATCH(M$17,'Annual WLC by Maturity Level '!$E$9:$I$9,FALSE))</f>
        <v>0</v>
      </c>
      <c r="N36" s="224">
        <f ca="1">M36
+N$18*INDEX('Annual WLC by Maturity Level '!$E87:$I87,MATCH(N$17,'Annual WLC by Maturity Level '!$E$9:$I$9,FALSE))</f>
        <v>0</v>
      </c>
      <c r="O36" s="224">
        <f ca="1">N36
+O$18*INDEX('Annual WLC by Maturity Level '!$E87:$I87,MATCH(O$17,'Annual WLC by Maturity Level '!$E$9:$I$9,FALSE))</f>
        <v>0</v>
      </c>
      <c r="P36" s="224">
        <f ca="1">O36
+P$18*INDEX('Annual WLC by Maturity Level '!$E87:$I87,MATCH(P$17,'Annual WLC by Maturity Level '!$E$9:$I$9,FALSE))</f>
        <v>0</v>
      </c>
      <c r="Q36" s="224">
        <f ca="1">P36
+Q$18*INDEX('Annual WLC by Maturity Level '!$E87:$I87,MATCH(Q$17,'Annual WLC by Maturity Level '!$E$9:$I$9,FALSE))</f>
        <v>0</v>
      </c>
      <c r="R36" s="224">
        <f ca="1">Q36
+R$18*INDEX('Annual WLC by Maturity Level '!$E87:$I87,MATCH(R$17,'Annual WLC by Maturity Level '!$E$9:$I$9,FALSE))</f>
        <v>0</v>
      </c>
      <c r="S36" s="224">
        <f ca="1">R36
+S$18*INDEX('Annual WLC by Maturity Level '!$E87:$I87,MATCH(S$17,'Annual WLC by Maturity Level '!$E$9:$I$9,FALSE))</f>
        <v>0</v>
      </c>
      <c r="T36" s="224">
        <f ca="1">S36
+T$18*INDEX('Annual WLC by Maturity Level '!$E87:$I87,MATCH(T$17,'Annual WLC by Maturity Level '!$E$9:$I$9,FALSE))</f>
        <v>0</v>
      </c>
      <c r="U36" s="224">
        <f ca="1">T36
+U$18*INDEX('Annual WLC by Maturity Level '!$E87:$I87,MATCH(U$17,'Annual WLC by Maturity Level '!$E$9:$I$9,FALSE))</f>
        <v>0</v>
      </c>
      <c r="V36" s="224">
        <f ca="1">U36
+V$18*INDEX('Annual WLC by Maturity Level '!$E87:$I87,MATCH(V$17,'Annual WLC by Maturity Level '!$E$9:$I$9,FALSE))</f>
        <v>0</v>
      </c>
      <c r="W36" s="224">
        <f ca="1">V36
+W$18*INDEX('Annual WLC by Maturity Level '!$E87:$I87,MATCH(W$17,'Annual WLC by Maturity Level '!$E$9:$I$9,FALSE))</f>
        <v>0</v>
      </c>
      <c r="X36" s="224">
        <f ca="1">W36
+X$18*INDEX('Annual WLC by Maturity Level '!$E87:$I87,MATCH(X$17,'Annual WLC by Maturity Level '!$E$9:$I$9,FALSE))</f>
        <v>0</v>
      </c>
      <c r="Y36" s="224">
        <f ca="1">X36
+Y$18*INDEX('Annual WLC by Maturity Level '!$E87:$I87,MATCH(Y$17,'Annual WLC by Maturity Level '!$E$9:$I$9,FALSE))</f>
        <v>0</v>
      </c>
      <c r="Z36" s="224">
        <f ca="1">Y36
+Z$18*INDEX('Annual WLC by Maturity Level '!$E87:$I87,MATCH(Z$17,'Annual WLC by Maturity Level '!$E$9:$I$9,FALSE))</f>
        <v>0</v>
      </c>
      <c r="AA36" s="224">
        <f ca="1">Z36
+AA$18*INDEX('Annual WLC by Maturity Level '!$E87:$I87,MATCH(AA$17,'Annual WLC by Maturity Level '!$E$9:$I$9,FALSE))</f>
        <v>0</v>
      </c>
    </row>
    <row r="37" spans="1:27" s="225" customFormat="1">
      <c r="A37" s="223" t="str">
        <f>'Asset Info'!$F$10</f>
        <v>RSSB</v>
      </c>
      <c r="B37" s="224">
        <f ca="1">-'Annual WLC by Maturity Level '!$C38
+B$18*INDEX('Annual WLC by Maturity Level '!$E88:$I88,MATCH(B$17,'Annual WLC by Maturity Level '!$E$9:$I$9,FALSE))</f>
        <v>-6250</v>
      </c>
      <c r="C37" s="224">
        <f ca="1">B37
+C$18*INDEX('Annual WLC by Maturity Level '!$E88:$I88,MATCH(C$17,'Annual WLC by Maturity Level '!$E$9:$I$9,FALSE))</f>
        <v>-12500</v>
      </c>
      <c r="D37" s="224">
        <f ca="1">C37
+D$18*INDEX('Annual WLC by Maturity Level '!$E88:$I88,MATCH(D$17,'Annual WLC by Maturity Level '!$E$9:$I$9,FALSE))</f>
        <v>-14705</v>
      </c>
      <c r="E37" s="224">
        <f ca="1">D37
+E$18*INDEX('Annual WLC by Maturity Level '!$E88:$I88,MATCH(E$17,'Annual WLC by Maturity Level '!$E$9:$I$9,FALSE))</f>
        <v>-16910</v>
      </c>
      <c r="F37" s="224">
        <f ca="1">E37
+F$18*INDEX('Annual WLC by Maturity Level '!$E88:$I88,MATCH(F$17,'Annual WLC by Maturity Level '!$E$9:$I$9,FALSE))</f>
        <v>-16910</v>
      </c>
      <c r="G37" s="224">
        <f ca="1">F37
+G$18*INDEX('Annual WLC by Maturity Level '!$E88:$I88,MATCH(G$17,'Annual WLC by Maturity Level '!$E$9:$I$9,FALSE))</f>
        <v>-16910</v>
      </c>
      <c r="H37" s="224">
        <f ca="1">G37
+H$18*INDEX('Annual WLC by Maturity Level '!$E88:$I88,MATCH(H$17,'Annual WLC by Maturity Level '!$E$9:$I$9,FALSE))</f>
        <v>-16910</v>
      </c>
      <c r="I37" s="224">
        <f ca="1">H37
+I$18*INDEX('Annual WLC by Maturity Level '!$E88:$I88,MATCH(I$17,'Annual WLC by Maturity Level '!$E$9:$I$9,FALSE))</f>
        <v>-16910</v>
      </c>
      <c r="J37" s="224">
        <f ca="1">I37
+J$18*INDEX('Annual WLC by Maturity Level '!$E88:$I88,MATCH(J$17,'Annual WLC by Maturity Level '!$E$9:$I$9,FALSE))</f>
        <v>-16910</v>
      </c>
      <c r="K37" s="224">
        <f ca="1">J37
+K$18*INDEX('Annual WLC by Maturity Level '!$E88:$I88,MATCH(K$17,'Annual WLC by Maturity Level '!$E$9:$I$9,FALSE))</f>
        <v>-16910</v>
      </c>
      <c r="L37" s="224">
        <f ca="1">K37
+L$18*INDEX('Annual WLC by Maturity Level '!$E88:$I88,MATCH(L$17,'Annual WLC by Maturity Level '!$E$9:$I$9,FALSE))</f>
        <v>-16910</v>
      </c>
      <c r="M37" s="224">
        <f ca="1">L37
+M$18*INDEX('Annual WLC by Maturity Level '!$E88:$I88,MATCH(M$17,'Annual WLC by Maturity Level '!$E$9:$I$9,FALSE))</f>
        <v>-16910</v>
      </c>
      <c r="N37" s="224">
        <f ca="1">M37
+N$18*INDEX('Annual WLC by Maturity Level '!$E88:$I88,MATCH(N$17,'Annual WLC by Maturity Level '!$E$9:$I$9,FALSE))</f>
        <v>-16910</v>
      </c>
      <c r="O37" s="224">
        <f ca="1">N37
+O$18*INDEX('Annual WLC by Maturity Level '!$E88:$I88,MATCH(O$17,'Annual WLC by Maturity Level '!$E$9:$I$9,FALSE))</f>
        <v>-16910</v>
      </c>
      <c r="P37" s="224">
        <f ca="1">O37
+P$18*INDEX('Annual WLC by Maturity Level '!$E88:$I88,MATCH(P$17,'Annual WLC by Maturity Level '!$E$9:$I$9,FALSE))</f>
        <v>-16910</v>
      </c>
      <c r="Q37" s="224">
        <f ca="1">P37
+Q$18*INDEX('Annual WLC by Maturity Level '!$E88:$I88,MATCH(Q$17,'Annual WLC by Maturity Level '!$E$9:$I$9,FALSE))</f>
        <v>-16910</v>
      </c>
      <c r="R37" s="224">
        <f ca="1">Q37
+R$18*INDEX('Annual WLC by Maturity Level '!$E88:$I88,MATCH(R$17,'Annual WLC by Maturity Level '!$E$9:$I$9,FALSE))</f>
        <v>-16910</v>
      </c>
      <c r="S37" s="224">
        <f ca="1">R37
+S$18*INDEX('Annual WLC by Maturity Level '!$E88:$I88,MATCH(S$17,'Annual WLC by Maturity Level '!$E$9:$I$9,FALSE))</f>
        <v>-16910</v>
      </c>
      <c r="T37" s="224">
        <f ca="1">S37
+T$18*INDEX('Annual WLC by Maturity Level '!$E88:$I88,MATCH(T$17,'Annual WLC by Maturity Level '!$E$9:$I$9,FALSE))</f>
        <v>-16910</v>
      </c>
      <c r="U37" s="224">
        <f ca="1">T37
+U$18*INDEX('Annual WLC by Maturity Level '!$E88:$I88,MATCH(U$17,'Annual WLC by Maturity Level '!$E$9:$I$9,FALSE))</f>
        <v>-16910</v>
      </c>
      <c r="V37" s="224">
        <f ca="1">U37
+V$18*INDEX('Annual WLC by Maturity Level '!$E88:$I88,MATCH(V$17,'Annual WLC by Maturity Level '!$E$9:$I$9,FALSE))</f>
        <v>-16910</v>
      </c>
      <c r="W37" s="224">
        <f ca="1">V37
+W$18*INDEX('Annual WLC by Maturity Level '!$E88:$I88,MATCH(W$17,'Annual WLC by Maturity Level '!$E$9:$I$9,FALSE))</f>
        <v>-16910</v>
      </c>
      <c r="X37" s="224">
        <f ca="1">W37
+X$18*INDEX('Annual WLC by Maturity Level '!$E88:$I88,MATCH(X$17,'Annual WLC by Maturity Level '!$E$9:$I$9,FALSE))</f>
        <v>-16910</v>
      </c>
      <c r="Y37" s="224">
        <f ca="1">X37
+Y$18*INDEX('Annual WLC by Maturity Level '!$E88:$I88,MATCH(Y$17,'Annual WLC by Maturity Level '!$E$9:$I$9,FALSE))</f>
        <v>-16910</v>
      </c>
      <c r="Z37" s="224">
        <f ca="1">Y37
+Z$18*INDEX('Annual WLC by Maturity Level '!$E88:$I88,MATCH(Z$17,'Annual WLC by Maturity Level '!$E$9:$I$9,FALSE))</f>
        <v>-16910</v>
      </c>
      <c r="AA37" s="224">
        <f ca="1">Z37
+AA$18*INDEX('Annual WLC by Maturity Level '!$E88:$I88,MATCH(AA$17,'Annual WLC by Maturity Level '!$E$9:$I$9,FALSE))</f>
        <v>-16910</v>
      </c>
    </row>
    <row r="38" spans="1:27" s="53" customFormat="1">
      <c r="A38" s="148"/>
      <c r="B38" s="149"/>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126</v>
      </c>
      <c r="B39" s="149"/>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s="53" customFormat="1">
      <c r="A40" s="148" t="s">
        <v>182</v>
      </c>
      <c r="B40" s="149">
        <f ca="1">B33+'Annual WLC by Maturity Level '!$C$34</f>
        <v>2108.890000000596</v>
      </c>
      <c r="C40" s="149">
        <f ca="1">C33+'Annual WLC by Maturity Level '!$C$34</f>
        <v>4217.7800000011921</v>
      </c>
      <c r="D40" s="149">
        <f ca="1">D33+'Annual WLC by Maturity Level '!$C$34</f>
        <v>99133.114000001922</v>
      </c>
      <c r="E40" s="149">
        <f ca="1">E33+'Annual WLC by Maturity Level '!$C$34</f>
        <v>194048.44800000265</v>
      </c>
      <c r="F40" s="149">
        <f ca="1">F33+'Annual WLC by Maturity Level '!$C$34</f>
        <v>194048.44800000265</v>
      </c>
      <c r="G40" s="149">
        <f ca="1">G33+'Annual WLC by Maturity Level '!$C$34</f>
        <v>194048.44800000265</v>
      </c>
      <c r="H40" s="149">
        <f ca="1">H33+'Annual WLC by Maturity Level '!$C$34</f>
        <v>194048.44800000265</v>
      </c>
      <c r="I40" s="149">
        <f ca="1">I33+'Annual WLC by Maturity Level '!$C$34</f>
        <v>194048.44800000265</v>
      </c>
      <c r="J40" s="149">
        <f ca="1">J33+'Annual WLC by Maturity Level '!$C$34</f>
        <v>194048.44800000265</v>
      </c>
      <c r="K40" s="149">
        <f ca="1">K33+'Annual WLC by Maturity Level '!$C$34</f>
        <v>194048.44800000265</v>
      </c>
      <c r="L40" s="149">
        <f ca="1">L33+'Annual WLC by Maturity Level '!$C$34</f>
        <v>194048.44800000265</v>
      </c>
      <c r="M40" s="149">
        <f ca="1">M33+'Annual WLC by Maturity Level '!$C$34</f>
        <v>194048.44800000265</v>
      </c>
      <c r="N40" s="149">
        <f ca="1">N33+'Annual WLC by Maturity Level '!$C$34</f>
        <v>194048.44800000265</v>
      </c>
      <c r="O40" s="149">
        <f ca="1">O33+'Annual WLC by Maturity Level '!$C$34</f>
        <v>194048.44800000265</v>
      </c>
      <c r="P40" s="149">
        <f ca="1">P33+'Annual WLC by Maturity Level '!$C$34</f>
        <v>194048.44800000265</v>
      </c>
      <c r="Q40" s="149">
        <f ca="1">Q33+'Annual WLC by Maturity Level '!$C$34</f>
        <v>194048.44800000265</v>
      </c>
      <c r="R40" s="149">
        <f ca="1">R33+'Annual WLC by Maturity Level '!$C$34</f>
        <v>194048.44800000265</v>
      </c>
      <c r="S40" s="149">
        <f ca="1">S33+'Annual WLC by Maturity Level '!$C$34</f>
        <v>194048.44800000265</v>
      </c>
      <c r="T40" s="149">
        <f ca="1">T33+'Annual WLC by Maturity Level '!$C$34</f>
        <v>194048.44800000265</v>
      </c>
      <c r="U40" s="149">
        <f ca="1">U33+'Annual WLC by Maturity Level '!$C$34</f>
        <v>194048.44800000265</v>
      </c>
      <c r="V40" s="149">
        <f ca="1">V33+'Annual WLC by Maturity Level '!$C$34</f>
        <v>194048.44800000265</v>
      </c>
      <c r="W40" s="149">
        <f ca="1">W33+'Annual WLC by Maturity Level '!$C$34</f>
        <v>194048.44800000265</v>
      </c>
      <c r="X40" s="149">
        <f ca="1">X33+'Annual WLC by Maturity Level '!$C$34</f>
        <v>194048.44800000265</v>
      </c>
      <c r="Y40" s="149">
        <f ca="1">Y33+'Annual WLC by Maturity Level '!$C$34</f>
        <v>194048.44800000265</v>
      </c>
      <c r="Z40" s="149">
        <f ca="1">Z33+'Annual WLC by Maturity Level '!$C$34</f>
        <v>194048.44800000265</v>
      </c>
      <c r="AA40" s="149">
        <f ca="1">AA33+'Annual WLC by Maturity Level '!$C$34</f>
        <v>194048.44800000265</v>
      </c>
    </row>
    <row r="41" spans="1:27" s="225" customFormat="1">
      <c r="A41" s="223" t="str">
        <f>'Asset Info'!$C$10</f>
        <v>Crossrail</v>
      </c>
      <c r="B41" s="224">
        <f ca="1">B34+'Annual WLC by Maturity Level '!$C35</f>
        <v>1750</v>
      </c>
      <c r="C41" s="224">
        <f ca="1">C34+'Annual WLC by Maturity Level '!$C35</f>
        <v>3500</v>
      </c>
      <c r="D41" s="224">
        <f ca="1">D34+'Annual WLC by Maturity Level '!$C35</f>
        <v>4550</v>
      </c>
      <c r="E41" s="224">
        <f ca="1">E34+'Annual WLC by Maturity Level '!$C35</f>
        <v>5600</v>
      </c>
      <c r="F41" s="224">
        <f ca="1">F34+'Annual WLC by Maturity Level '!$C35</f>
        <v>5600</v>
      </c>
      <c r="G41" s="224">
        <f ca="1">G34+'Annual WLC by Maturity Level '!$C35</f>
        <v>5600</v>
      </c>
      <c r="H41" s="224">
        <f ca="1">H34+'Annual WLC by Maturity Level '!$C35</f>
        <v>5600</v>
      </c>
      <c r="I41" s="224">
        <f ca="1">I34+'Annual WLC by Maturity Level '!$C35</f>
        <v>5600</v>
      </c>
      <c r="J41" s="224">
        <f ca="1">J34+'Annual WLC by Maturity Level '!$C35</f>
        <v>5600</v>
      </c>
      <c r="K41" s="224">
        <f ca="1">K34+'Annual WLC by Maturity Level '!$C35</f>
        <v>5600</v>
      </c>
      <c r="L41" s="224">
        <f ca="1">L34+'Annual WLC by Maturity Level '!$C35</f>
        <v>5600</v>
      </c>
      <c r="M41" s="224">
        <f ca="1">M34+'Annual WLC by Maturity Level '!$C35</f>
        <v>5600</v>
      </c>
      <c r="N41" s="224">
        <f ca="1">N34+'Annual WLC by Maturity Level '!$C35</f>
        <v>5600</v>
      </c>
      <c r="O41" s="224">
        <f ca="1">O34+'Annual WLC by Maturity Level '!$C35</f>
        <v>5600</v>
      </c>
      <c r="P41" s="224">
        <f ca="1">P34+'Annual WLC by Maturity Level '!$C35</f>
        <v>5600</v>
      </c>
      <c r="Q41" s="224">
        <f ca="1">Q34+'Annual WLC by Maturity Level '!$C35</f>
        <v>5600</v>
      </c>
      <c r="R41" s="224">
        <f ca="1">R34+'Annual WLC by Maturity Level '!$C35</f>
        <v>5600</v>
      </c>
      <c r="S41" s="224">
        <f ca="1">S34+'Annual WLC by Maturity Level '!$C35</f>
        <v>5600</v>
      </c>
      <c r="T41" s="224">
        <f ca="1">T34+'Annual WLC by Maturity Level '!$C35</f>
        <v>5600</v>
      </c>
      <c r="U41" s="224">
        <f ca="1">U34+'Annual WLC by Maturity Level '!$C35</f>
        <v>5600</v>
      </c>
      <c r="V41" s="224">
        <f ca="1">V34+'Annual WLC by Maturity Level '!$C35</f>
        <v>5600</v>
      </c>
      <c r="W41" s="224">
        <f ca="1">W34+'Annual WLC by Maturity Level '!$C35</f>
        <v>5600</v>
      </c>
      <c r="X41" s="224">
        <f ca="1">X34+'Annual WLC by Maturity Level '!$C35</f>
        <v>5600</v>
      </c>
      <c r="Y41" s="224">
        <f ca="1">Y34+'Annual WLC by Maturity Level '!$C35</f>
        <v>5600</v>
      </c>
      <c r="Z41" s="224">
        <f ca="1">Z34+'Annual WLC by Maturity Level '!$C35</f>
        <v>5600</v>
      </c>
      <c r="AA41" s="224">
        <f ca="1">AA34+'Annual WLC by Maturity Level '!$C35</f>
        <v>5600</v>
      </c>
    </row>
    <row r="42" spans="1:27" s="225" customFormat="1">
      <c r="A42" s="223" t="str">
        <f>'Asset Info'!$D$10</f>
        <v>NR Western</v>
      </c>
      <c r="B42" s="224">
        <f ca="1">B35+'Annual WLC by Maturity Level '!$C36</f>
        <v>6608.890000000596</v>
      </c>
      <c r="C42" s="224">
        <f ca="1">C35+'Annual WLC by Maturity Level '!$C36</f>
        <v>13217.780000001192</v>
      </c>
      <c r="D42" s="224">
        <f ca="1">D35+'Annual WLC by Maturity Level '!$C36</f>
        <v>109288.11400000192</v>
      </c>
      <c r="E42" s="224">
        <f ca="1">E35+'Annual WLC by Maturity Level '!$C36</f>
        <v>205358.44800000265</v>
      </c>
      <c r="F42" s="224">
        <f ca="1">F35+'Annual WLC by Maturity Level '!$C36</f>
        <v>205358.44800000265</v>
      </c>
      <c r="G42" s="224">
        <f ca="1">G35+'Annual WLC by Maturity Level '!$C36</f>
        <v>205358.44800000265</v>
      </c>
      <c r="H42" s="224">
        <f ca="1">H35+'Annual WLC by Maturity Level '!$C36</f>
        <v>205358.44800000265</v>
      </c>
      <c r="I42" s="224">
        <f ca="1">I35+'Annual WLC by Maturity Level '!$C36</f>
        <v>205358.44800000265</v>
      </c>
      <c r="J42" s="224">
        <f ca="1">J35+'Annual WLC by Maturity Level '!$C36</f>
        <v>205358.44800000265</v>
      </c>
      <c r="K42" s="224">
        <f ca="1">K35+'Annual WLC by Maturity Level '!$C36</f>
        <v>205358.44800000265</v>
      </c>
      <c r="L42" s="224">
        <f ca="1">L35+'Annual WLC by Maturity Level '!$C36</f>
        <v>205358.44800000265</v>
      </c>
      <c r="M42" s="224">
        <f ca="1">M35+'Annual WLC by Maturity Level '!$C36</f>
        <v>205358.44800000265</v>
      </c>
      <c r="N42" s="224">
        <f ca="1">N35+'Annual WLC by Maturity Level '!$C36</f>
        <v>205358.44800000265</v>
      </c>
      <c r="O42" s="224">
        <f ca="1">O35+'Annual WLC by Maturity Level '!$C36</f>
        <v>205358.44800000265</v>
      </c>
      <c r="P42" s="224">
        <f ca="1">P35+'Annual WLC by Maturity Level '!$C36</f>
        <v>205358.44800000265</v>
      </c>
      <c r="Q42" s="224">
        <f ca="1">Q35+'Annual WLC by Maturity Level '!$C36</f>
        <v>205358.44800000265</v>
      </c>
      <c r="R42" s="224">
        <f ca="1">R35+'Annual WLC by Maturity Level '!$C36</f>
        <v>205358.44800000265</v>
      </c>
      <c r="S42" s="224">
        <f ca="1">S35+'Annual WLC by Maturity Level '!$C36</f>
        <v>205358.44800000265</v>
      </c>
      <c r="T42" s="224">
        <f ca="1">T35+'Annual WLC by Maturity Level '!$C36</f>
        <v>205358.44800000265</v>
      </c>
      <c r="U42" s="224">
        <f ca="1">U35+'Annual WLC by Maturity Level '!$C36</f>
        <v>205358.44800000265</v>
      </c>
      <c r="V42" s="224">
        <f ca="1">V35+'Annual WLC by Maturity Level '!$C36</f>
        <v>205358.44800000265</v>
      </c>
      <c r="W42" s="224">
        <f ca="1">W35+'Annual WLC by Maturity Level '!$C36</f>
        <v>205358.44800000265</v>
      </c>
      <c r="X42" s="224">
        <f ca="1">X35+'Annual WLC by Maturity Level '!$C36</f>
        <v>205358.44800000265</v>
      </c>
      <c r="Y42" s="224">
        <f ca="1">Y35+'Annual WLC by Maturity Level '!$C36</f>
        <v>205358.44800000265</v>
      </c>
      <c r="Z42" s="224">
        <f ca="1">Z35+'Annual WLC by Maturity Level '!$C36</f>
        <v>205358.44800000265</v>
      </c>
      <c r="AA42" s="224">
        <f ca="1">AA35+'Annual WLC by Maturity Level '!$C36</f>
        <v>205358.44800000265</v>
      </c>
    </row>
    <row r="43" spans="1:27" s="225" customFormat="1">
      <c r="A43" s="223" t="str">
        <f>'Asset Info'!$E$10</f>
        <v>Balfour Beatty</v>
      </c>
      <c r="B43" s="224">
        <f ca="1">B36+'Annual WLC by Maturity Level '!$C37</f>
        <v>0</v>
      </c>
      <c r="C43" s="224">
        <f ca="1">C36+'Annual WLC by Maturity Level '!$C37</f>
        <v>0</v>
      </c>
      <c r="D43" s="224">
        <f ca="1">D36+'Annual WLC by Maturity Level '!$C37</f>
        <v>0</v>
      </c>
      <c r="E43" s="224">
        <f ca="1">E36+'Annual WLC by Maturity Level '!$C37</f>
        <v>0</v>
      </c>
      <c r="F43" s="224">
        <f ca="1">F36+'Annual WLC by Maturity Level '!$C37</f>
        <v>0</v>
      </c>
      <c r="G43" s="224">
        <f ca="1">G36+'Annual WLC by Maturity Level '!$C37</f>
        <v>0</v>
      </c>
      <c r="H43" s="224">
        <f ca="1">H36+'Annual WLC by Maturity Level '!$C37</f>
        <v>0</v>
      </c>
      <c r="I43" s="224">
        <f ca="1">I36+'Annual WLC by Maturity Level '!$C37</f>
        <v>0</v>
      </c>
      <c r="J43" s="224">
        <f ca="1">J36+'Annual WLC by Maturity Level '!$C37</f>
        <v>0</v>
      </c>
      <c r="K43" s="224">
        <f ca="1">K36+'Annual WLC by Maturity Level '!$C37</f>
        <v>0</v>
      </c>
      <c r="L43" s="224">
        <f ca="1">L36+'Annual WLC by Maturity Level '!$C37</f>
        <v>0</v>
      </c>
      <c r="M43" s="224">
        <f ca="1">M36+'Annual WLC by Maturity Level '!$C37</f>
        <v>0</v>
      </c>
      <c r="N43" s="224">
        <f ca="1">N36+'Annual WLC by Maturity Level '!$C37</f>
        <v>0</v>
      </c>
      <c r="O43" s="224">
        <f ca="1">O36+'Annual WLC by Maturity Level '!$C37</f>
        <v>0</v>
      </c>
      <c r="P43" s="224">
        <f ca="1">P36+'Annual WLC by Maturity Level '!$C37</f>
        <v>0</v>
      </c>
      <c r="Q43" s="224">
        <f ca="1">Q36+'Annual WLC by Maturity Level '!$C37</f>
        <v>0</v>
      </c>
      <c r="R43" s="224">
        <f ca="1">R36+'Annual WLC by Maturity Level '!$C37</f>
        <v>0</v>
      </c>
      <c r="S43" s="224">
        <f ca="1">S36+'Annual WLC by Maturity Level '!$C37</f>
        <v>0</v>
      </c>
      <c r="T43" s="224">
        <f ca="1">T36+'Annual WLC by Maturity Level '!$C37</f>
        <v>0</v>
      </c>
      <c r="U43" s="224">
        <f ca="1">U36+'Annual WLC by Maturity Level '!$C37</f>
        <v>0</v>
      </c>
      <c r="V43" s="224">
        <f ca="1">V36+'Annual WLC by Maturity Level '!$C37</f>
        <v>0</v>
      </c>
      <c r="W43" s="224">
        <f ca="1">W36+'Annual WLC by Maturity Level '!$C37</f>
        <v>0</v>
      </c>
      <c r="X43" s="224">
        <f ca="1">X36+'Annual WLC by Maturity Level '!$C37</f>
        <v>0</v>
      </c>
      <c r="Y43" s="224">
        <f ca="1">Y36+'Annual WLC by Maturity Level '!$C37</f>
        <v>0</v>
      </c>
      <c r="Z43" s="224">
        <f ca="1">Z36+'Annual WLC by Maturity Level '!$C37</f>
        <v>0</v>
      </c>
      <c r="AA43" s="224">
        <f ca="1">AA36+'Annual WLC by Maturity Level '!$C37</f>
        <v>0</v>
      </c>
    </row>
    <row r="44" spans="1:27" s="225" customFormat="1">
      <c r="A44" s="223" t="str">
        <f>'Asset Info'!$F$10</f>
        <v>RSSB</v>
      </c>
      <c r="B44" s="224">
        <f ca="1">B37+'Annual WLC by Maturity Level '!$C38</f>
        <v>-6250</v>
      </c>
      <c r="C44" s="224">
        <f ca="1">C37+'Annual WLC by Maturity Level '!$C38</f>
        <v>-12500</v>
      </c>
      <c r="D44" s="224">
        <f ca="1">D37+'Annual WLC by Maturity Level '!$C38</f>
        <v>-14705</v>
      </c>
      <c r="E44" s="224">
        <f ca="1">E37+'Annual WLC by Maturity Level '!$C38</f>
        <v>-16910</v>
      </c>
      <c r="F44" s="224">
        <f ca="1">F37+'Annual WLC by Maturity Level '!$C38</f>
        <v>-16910</v>
      </c>
      <c r="G44" s="224">
        <f ca="1">G37+'Annual WLC by Maturity Level '!$C38</f>
        <v>-16910</v>
      </c>
      <c r="H44" s="224">
        <f ca="1">H37+'Annual WLC by Maturity Level '!$C38</f>
        <v>-16910</v>
      </c>
      <c r="I44" s="224">
        <f ca="1">I37+'Annual WLC by Maturity Level '!$C38</f>
        <v>-16910</v>
      </c>
      <c r="J44" s="224">
        <f ca="1">J37+'Annual WLC by Maturity Level '!$C38</f>
        <v>-16910</v>
      </c>
      <c r="K44" s="224">
        <f ca="1">K37+'Annual WLC by Maturity Level '!$C38</f>
        <v>-16910</v>
      </c>
      <c r="L44" s="224">
        <f ca="1">L37+'Annual WLC by Maturity Level '!$C38</f>
        <v>-16910</v>
      </c>
      <c r="M44" s="224">
        <f ca="1">M37+'Annual WLC by Maturity Level '!$C38</f>
        <v>-16910</v>
      </c>
      <c r="N44" s="224">
        <f ca="1">N37+'Annual WLC by Maturity Level '!$C38</f>
        <v>-16910</v>
      </c>
      <c r="O44" s="224">
        <f ca="1">O37+'Annual WLC by Maturity Level '!$C38</f>
        <v>-16910</v>
      </c>
      <c r="P44" s="224">
        <f ca="1">P37+'Annual WLC by Maturity Level '!$C38</f>
        <v>-16910</v>
      </c>
      <c r="Q44" s="224">
        <f ca="1">Q37+'Annual WLC by Maturity Level '!$C38</f>
        <v>-16910</v>
      </c>
      <c r="R44" s="224">
        <f ca="1">R37+'Annual WLC by Maturity Level '!$C38</f>
        <v>-16910</v>
      </c>
      <c r="S44" s="224">
        <f ca="1">S37+'Annual WLC by Maturity Level '!$C38</f>
        <v>-16910</v>
      </c>
      <c r="T44" s="224">
        <f ca="1">T37+'Annual WLC by Maturity Level '!$C38</f>
        <v>-16910</v>
      </c>
      <c r="U44" s="224">
        <f ca="1">U37+'Annual WLC by Maturity Level '!$C38</f>
        <v>-16910</v>
      </c>
      <c r="V44" s="224">
        <f ca="1">V37+'Annual WLC by Maturity Level '!$C38</f>
        <v>-16910</v>
      </c>
      <c r="W44" s="224">
        <f ca="1">W37+'Annual WLC by Maturity Level '!$C38</f>
        <v>-16910</v>
      </c>
      <c r="X44" s="224">
        <f ca="1">X37+'Annual WLC by Maturity Level '!$C38</f>
        <v>-16910</v>
      </c>
      <c r="Y44" s="224">
        <f ca="1">Y37+'Annual WLC by Maturity Level '!$C38</f>
        <v>-16910</v>
      </c>
      <c r="Z44" s="224">
        <f ca="1">Z37+'Annual WLC by Maturity Level '!$C38</f>
        <v>-16910</v>
      </c>
      <c r="AA44" s="224">
        <f ca="1">AA37+'Annual WLC by Maturity Level '!$C38</f>
        <v>-16910</v>
      </c>
    </row>
    <row r="45" spans="1:27" s="53" customFormat="1">
      <c r="A45" s="148" t="s">
        <v>183</v>
      </c>
      <c r="B45" s="149">
        <f ca="1">B40</f>
        <v>2108.890000000596</v>
      </c>
      <c r="C45" s="149">
        <f t="shared" ref="C45:AA45" ca="1" si="0">C40-B40</f>
        <v>2108.890000000596</v>
      </c>
      <c r="D45" s="149">
        <f t="shared" ca="1" si="0"/>
        <v>94915.33400000073</v>
      </c>
      <c r="E45" s="149">
        <f t="shared" ca="1" si="0"/>
        <v>94915.33400000073</v>
      </c>
      <c r="F45" s="149">
        <f t="shared" ca="1" si="0"/>
        <v>0</v>
      </c>
      <c r="G45" s="149">
        <f t="shared" ca="1" si="0"/>
        <v>0</v>
      </c>
      <c r="H45" s="149">
        <f t="shared" ca="1" si="0"/>
        <v>0</v>
      </c>
      <c r="I45" s="149">
        <f t="shared" ca="1" si="0"/>
        <v>0</v>
      </c>
      <c r="J45" s="149">
        <f t="shared" ca="1" si="0"/>
        <v>0</v>
      </c>
      <c r="K45" s="149">
        <f t="shared" ca="1" si="0"/>
        <v>0</v>
      </c>
      <c r="L45" s="149">
        <f t="shared" ca="1" si="0"/>
        <v>0</v>
      </c>
      <c r="M45" s="149">
        <f t="shared" ca="1" si="0"/>
        <v>0</v>
      </c>
      <c r="N45" s="149">
        <f t="shared" ca="1" si="0"/>
        <v>0</v>
      </c>
      <c r="O45" s="149">
        <f t="shared" ca="1" si="0"/>
        <v>0</v>
      </c>
      <c r="P45" s="149">
        <f t="shared" ca="1" si="0"/>
        <v>0</v>
      </c>
      <c r="Q45" s="149">
        <f t="shared" ca="1" si="0"/>
        <v>0</v>
      </c>
      <c r="R45" s="149">
        <f t="shared" ca="1" si="0"/>
        <v>0</v>
      </c>
      <c r="S45" s="149">
        <f t="shared" ca="1" si="0"/>
        <v>0</v>
      </c>
      <c r="T45" s="149">
        <f t="shared" ca="1" si="0"/>
        <v>0</v>
      </c>
      <c r="U45" s="149">
        <f t="shared" ca="1" si="0"/>
        <v>0</v>
      </c>
      <c r="V45" s="149">
        <f t="shared" ca="1" si="0"/>
        <v>0</v>
      </c>
      <c r="W45" s="149">
        <f t="shared" ca="1" si="0"/>
        <v>0</v>
      </c>
      <c r="X45" s="149">
        <f t="shared" ca="1" si="0"/>
        <v>0</v>
      </c>
      <c r="Y45" s="149">
        <f t="shared" ca="1" si="0"/>
        <v>0</v>
      </c>
      <c r="Z45" s="149">
        <f t="shared" ca="1" si="0"/>
        <v>0</v>
      </c>
      <c r="AA45" s="149">
        <f t="shared" ca="1" si="0"/>
        <v>0</v>
      </c>
    </row>
    <row r="46" spans="1:27" s="53" customFormat="1">
      <c r="A46" s="150" t="s">
        <v>184</v>
      </c>
      <c r="B46" s="149">
        <f ca="1">1/(1+'Financial Data'!$C$8)^B14*B40</f>
        <v>2108.890000000596</v>
      </c>
      <c r="C46" s="149">
        <f ca="1">1/(1+'Financial Data'!$C$8)^C14*C40</f>
        <v>4075.1497584552585</v>
      </c>
      <c r="D46" s="149">
        <f ca="1">1/(1+'Financial Data'!$C$8)^D14*D40</f>
        <v>92541.822679644276</v>
      </c>
      <c r="E46" s="149">
        <f ca="1">1/(1+'Financial Data'!$C$8)^E14*E40</f>
        <v>175020.58221980295</v>
      </c>
      <c r="F46" s="149">
        <f ca="1">1/(1+'Financial Data'!$C$8)^F14*F40</f>
        <v>169102.0118065729</v>
      </c>
      <c r="G46" s="149">
        <f ca="1">1/(1+'Financial Data'!$C$8)^G14*G40</f>
        <v>163383.5862865439</v>
      </c>
      <c r="H46" s="149">
        <f ca="1">1/(1+'Financial Data'!$C$8)^H14*H40</f>
        <v>157858.53747492161</v>
      </c>
      <c r="I46" s="149">
        <f ca="1">1/(1+'Financial Data'!$C$8)^I14*I40</f>
        <v>152520.32606272621</v>
      </c>
      <c r="J46" s="149">
        <f ca="1">1/(1+'Financial Data'!$C$8)^J14*J40</f>
        <v>147362.6338770302</v>
      </c>
      <c r="K46" s="149">
        <f ca="1">1/(1+'Financial Data'!$C$8)^K14*K40</f>
        <v>142379.35640292772</v>
      </c>
      <c r="L46" s="149">
        <f ca="1">1/(1+'Financial Data'!$C$8)^L14*L40</f>
        <v>137564.59555838429</v>
      </c>
      <c r="M46" s="149">
        <f ca="1">1/(1+'Financial Data'!$C$8)^M14*M40</f>
        <v>132912.65271341478</v>
      </c>
      <c r="N46" s="149">
        <f ca="1">1/(1+'Financial Data'!$C$8)^N14*N40</f>
        <v>128418.02194532829</v>
      </c>
      <c r="O46" s="149">
        <f ca="1">1/(1+'Financial Data'!$C$8)^O14*O40</f>
        <v>124075.38352205635</v>
      </c>
      <c r="P46" s="149">
        <f ca="1">1/(1+'Financial Data'!$C$8)^P14*P40</f>
        <v>119879.59760585152</v>
      </c>
      <c r="Q46" s="149">
        <f ca="1">1/(1+'Financial Data'!$C$8)^Q14*Q40</f>
        <v>115825.69816990488</v>
      </c>
      <c r="R46" s="149">
        <f ca="1">1/(1+'Financial Data'!$C$8)^R14*R40</f>
        <v>111908.88712068106</v>
      </c>
      <c r="S46" s="149">
        <f ca="1">1/(1+'Financial Data'!$C$8)^S14*S40</f>
        <v>108124.52861901553</v>
      </c>
      <c r="T46" s="149">
        <f ca="1">1/(1+'Financial Data'!$C$8)^T14*T40</f>
        <v>104468.14359325172</v>
      </c>
      <c r="U46" s="149">
        <f ca="1">1/(1+'Financial Data'!$C$8)^U14*U40</f>
        <v>100935.40443792439</v>
      </c>
      <c r="V46" s="149">
        <f ca="1">1/(1+'Financial Data'!$C$8)^V14*V40</f>
        <v>97522.129891714372</v>
      </c>
      <c r="W46" s="149">
        <f ca="1">1/(1+'Financial Data'!$C$8)^W14*W40</f>
        <v>94224.280088612955</v>
      </c>
      <c r="X46" s="149">
        <f ca="1">1/(1+'Financial Data'!$C$8)^X14*X40</f>
        <v>91037.951776437636</v>
      </c>
      <c r="Y46" s="149">
        <f ca="1">1/(1+'Financial Data'!$C$8)^Y14*Y40</f>
        <v>87959.373697041185</v>
      </c>
      <c r="Z46" s="149">
        <f ca="1">1/(1+'Financial Data'!$C$8)^Z14*Z40</f>
        <v>84984.90212274513</v>
      </c>
      <c r="AA46" s="149">
        <f ca="1">1/(1+'Financial Data'!$C$8)^AA14*AA40</f>
        <v>82111.016543715115</v>
      </c>
    </row>
    <row r="47" spans="1:27" s="225" customFormat="1">
      <c r="A47" s="223" t="str">
        <f>'Asset Info'!$C$10</f>
        <v>Crossrail</v>
      </c>
      <c r="B47" s="224">
        <f ca="1">1/(1+'Financial Data'!$C$8)^B$14*B41</f>
        <v>1750</v>
      </c>
      <c r="C47" s="224">
        <f ca="1">1/(1+'Financial Data'!$C$8)^C$14*C41</f>
        <v>3381.6425120772951</v>
      </c>
      <c r="D47" s="224">
        <f ca="1">1/(1+'Financial Data'!$C$8)^D$14*D41</f>
        <v>4247.4736866671337</v>
      </c>
      <c r="E47" s="224">
        <f ca="1">1/(1+'Financial Data'!$C$8)^E$14*E41</f>
        <v>5050.8791517409254</v>
      </c>
      <c r="F47" s="224">
        <f ca="1">1/(1+'Financial Data'!$C$8)^F$14*F41</f>
        <v>4880.076475112005</v>
      </c>
      <c r="G47" s="224">
        <f ca="1">1/(1+'Financial Data'!$C$8)^G$14*G41</f>
        <v>4715.0497344077357</v>
      </c>
      <c r="H47" s="224">
        <f ca="1">1/(1+'Financial Data'!$C$8)^H$14*H41</f>
        <v>4555.6036081234161</v>
      </c>
      <c r="I47" s="224">
        <f ca="1">1/(1+'Financial Data'!$C$8)^I$14*I41</f>
        <v>4401.5493798293874</v>
      </c>
      <c r="J47" s="224">
        <f ca="1">1/(1+'Financial Data'!$C$8)^J$14*J41</f>
        <v>4252.7047148110032</v>
      </c>
      <c r="K47" s="224">
        <f ca="1">1/(1+'Financial Data'!$C$8)^K$14*K41</f>
        <v>4108.8934442618392</v>
      </c>
      <c r="L47" s="224">
        <f ca="1">1/(1+'Financial Data'!$C$8)^L$14*L41</f>
        <v>3969.9453567747241</v>
      </c>
      <c r="M47" s="224">
        <f ca="1">1/(1+'Financial Data'!$C$8)^M$14*M41</f>
        <v>3835.6959968837918</v>
      </c>
      <c r="N47" s="224">
        <f ca="1">1/(1+'Financial Data'!$C$8)^N$14*N41</f>
        <v>3705.9864704191223</v>
      </c>
      <c r="O47" s="224">
        <f ca="1">1/(1+'Financial Data'!$C$8)^O$14*O41</f>
        <v>3580.6632564435972</v>
      </c>
      <c r="P47" s="224">
        <f ca="1">1/(1+'Financial Data'!$C$8)^P$14*P41</f>
        <v>3459.5780255493687</v>
      </c>
      <c r="Q47" s="224">
        <f ca="1">1/(1+'Financial Data'!$C$8)^Q$14*Q41</f>
        <v>3342.5874642989079</v>
      </c>
      <c r="R47" s="224">
        <f ca="1">1/(1+'Financial Data'!$C$8)^R$14*R41</f>
        <v>3229.5531056028099</v>
      </c>
      <c r="S47" s="224">
        <f ca="1">1/(1+'Financial Data'!$C$8)^S$14*S41</f>
        <v>3120.3411648336332</v>
      </c>
      <c r="T47" s="224">
        <f ca="1">1/(1+'Financial Data'!$C$8)^T$14*T41</f>
        <v>3014.8223814817711</v>
      </c>
      <c r="U47" s="224">
        <f ca="1">1/(1+'Financial Data'!$C$8)^U$14*U41</f>
        <v>2912.8718661659632</v>
      </c>
      <c r="V47" s="224">
        <f ca="1">1/(1+'Financial Data'!$C$8)^V$14*V41</f>
        <v>2814.3689528173554</v>
      </c>
      <c r="W47" s="224">
        <f ca="1">1/(1+'Financial Data'!$C$8)^W$14*W41</f>
        <v>2719.1970558621797</v>
      </c>
      <c r="X47" s="224">
        <f ca="1">1/(1+'Financial Data'!$C$8)^X$14*X41</f>
        <v>2627.2435322339902</v>
      </c>
      <c r="Y47" s="224">
        <f ca="1">1/(1+'Financial Data'!$C$8)^Y$14*Y41</f>
        <v>2538.3995480521644</v>
      </c>
      <c r="Z47" s="224">
        <f ca="1">1/(1+'Financial Data'!$C$8)^Z$14*Z41</f>
        <v>2452.559949808855</v>
      </c>
      <c r="AA47" s="224">
        <f ca="1">1/(1+'Financial Data'!$C$8)^AA$14*AA41</f>
        <v>2369.6231399119374</v>
      </c>
    </row>
    <row r="48" spans="1:27" s="225" customFormat="1">
      <c r="A48" s="223" t="str">
        <f>'Asset Info'!$D$10</f>
        <v>NR Western</v>
      </c>
      <c r="B48" s="224">
        <f ca="1">1/(1+'Financial Data'!$C$8)^B$14*B42</f>
        <v>6608.890000000596</v>
      </c>
      <c r="C48" s="224">
        <f ca="1">1/(1+'Financial Data'!$C$8)^C$14*C42</f>
        <v>12770.801932368302</v>
      </c>
      <c r="D48" s="224">
        <f ca="1">1/(1+'Financial Data'!$C$8)^D$14*D42</f>
        <v>102021.62384186509</v>
      </c>
      <c r="E48" s="224">
        <f ca="1">1/(1+'Financial Data'!$C$8)^E$14*E42</f>
        <v>185221.55422090826</v>
      </c>
      <c r="F48" s="224">
        <f ca="1">1/(1+'Financial Data'!$C$8)^F$14*F42</f>
        <v>178958.02340184373</v>
      </c>
      <c r="G48" s="224">
        <f ca="1">1/(1+'Financial Data'!$C$8)^G$14*G42</f>
        <v>172906.3028037138</v>
      </c>
      <c r="H48" s="224">
        <f ca="1">1/(1+'Financial Data'!$C$8)^H$14*H42</f>
        <v>167059.22976204232</v>
      </c>
      <c r="I48" s="224">
        <f ca="1">1/(1+'Financial Data'!$C$8)^I$14*I42</f>
        <v>161409.88382806021</v>
      </c>
      <c r="J48" s="224">
        <f ca="1">1/(1+'Financial Data'!$C$8)^J$14*J42</f>
        <v>155951.57857783599</v>
      </c>
      <c r="K48" s="224">
        <f ca="1">1/(1+'Financial Data'!$C$8)^K$14*K42</f>
        <v>150677.85369839225</v>
      </c>
      <c r="L48" s="224">
        <f ca="1">1/(1+'Financial Data'!$C$8)^L$14*L42</f>
        <v>145582.46734144181</v>
      </c>
      <c r="M48" s="224">
        <f ca="1">1/(1+'Financial Data'!$C$8)^M$14*M42</f>
        <v>140659.38873569257</v>
      </c>
      <c r="N48" s="224">
        <f ca="1">1/(1+'Financial Data'!$C$8)^N$14*N42</f>
        <v>135902.79104897834</v>
      </c>
      <c r="O48" s="224">
        <f ca="1">1/(1+'Financial Data'!$C$8)^O$14*O42</f>
        <v>131307.04449176654</v>
      </c>
      <c r="P48" s="224">
        <f ca="1">1/(1+'Financial Data'!$C$8)^P$14*P42</f>
        <v>126866.70965388069</v>
      </c>
      <c r="Q48" s="224">
        <f ca="1">1/(1+'Financial Data'!$C$8)^Q$14*Q42</f>
        <v>122576.53106655143</v>
      </c>
      <c r="R48" s="224">
        <f ca="1">1/(1+'Financial Data'!$C$8)^R$14*R42</f>
        <v>118431.4309821753</v>
      </c>
      <c r="S48" s="224">
        <f ca="1">1/(1+'Financial Data'!$C$8)^S$14*S42</f>
        <v>114426.5033644206</v>
      </c>
      <c r="T48" s="224">
        <f ca="1">1/(1+'Financial Data'!$C$8)^T$14*T42</f>
        <v>110557.0080815658</v>
      </c>
      <c r="U48" s="224">
        <f ca="1">1/(1+'Financial Data'!$C$8)^U$14*U42</f>
        <v>106818.36529619886</v>
      </c>
      <c r="V48" s="224">
        <f ca="1">1/(1+'Financial Data'!$C$8)^V$14*V42</f>
        <v>103206.15004463657</v>
      </c>
      <c r="W48" s="224">
        <f ca="1">1/(1+'Financial Data'!$C$8)^W$14*W42</f>
        <v>99716.086999648891</v>
      </c>
      <c r="X48" s="224">
        <f ca="1">1/(1+'Financial Data'!$C$8)^X$14*X42</f>
        <v>96344.045410288774</v>
      </c>
      <c r="Y48" s="224">
        <f ca="1">1/(1+'Financial Data'!$C$8)^Y$14*Y42</f>
        <v>93086.034212839397</v>
      </c>
      <c r="Z48" s="224">
        <f ca="1">1/(1+'Financial Data'!$C$8)^Z$14*Z42</f>
        <v>89938.197307091235</v>
      </c>
      <c r="AA48" s="224">
        <f ca="1">1/(1+'Financial Data'!$C$8)^AA$14*AA42</f>
        <v>86896.808992358681</v>
      </c>
    </row>
    <row r="49" spans="1:27" s="225" customFormat="1">
      <c r="A49" s="223" t="str">
        <f>'Asset Info'!$E$10</f>
        <v>Balfour Beatty</v>
      </c>
      <c r="B49" s="224">
        <f ca="1">1/(1+'Financial Data'!$C$8)^B$14*B43</f>
        <v>0</v>
      </c>
      <c r="C49" s="224">
        <f ca="1">1/(1+'Financial Data'!$C$8)^C$14*C43</f>
        <v>0</v>
      </c>
      <c r="D49" s="224">
        <f ca="1">1/(1+'Financial Data'!$C$8)^D$14*D43</f>
        <v>0</v>
      </c>
      <c r="E49" s="224">
        <f ca="1">1/(1+'Financial Data'!$C$8)^E$14*E43</f>
        <v>0</v>
      </c>
      <c r="F49" s="224">
        <f ca="1">1/(1+'Financial Data'!$C$8)^F$14*F43</f>
        <v>0</v>
      </c>
      <c r="G49" s="224">
        <f ca="1">1/(1+'Financial Data'!$C$8)^G$14*G43</f>
        <v>0</v>
      </c>
      <c r="H49" s="224">
        <f ca="1">1/(1+'Financial Data'!$C$8)^H$14*H43</f>
        <v>0</v>
      </c>
      <c r="I49" s="224">
        <f ca="1">1/(1+'Financial Data'!$C$8)^I$14*I43</f>
        <v>0</v>
      </c>
      <c r="J49" s="224">
        <f ca="1">1/(1+'Financial Data'!$C$8)^J$14*J43</f>
        <v>0</v>
      </c>
      <c r="K49" s="224">
        <f ca="1">1/(1+'Financial Data'!$C$8)^K$14*K43</f>
        <v>0</v>
      </c>
      <c r="L49" s="224">
        <f ca="1">1/(1+'Financial Data'!$C$8)^L$14*L43</f>
        <v>0</v>
      </c>
      <c r="M49" s="224">
        <f ca="1">1/(1+'Financial Data'!$C$8)^M$14*M43</f>
        <v>0</v>
      </c>
      <c r="N49" s="224">
        <f ca="1">1/(1+'Financial Data'!$C$8)^N$14*N43</f>
        <v>0</v>
      </c>
      <c r="O49" s="224">
        <f ca="1">1/(1+'Financial Data'!$C$8)^O$14*O43</f>
        <v>0</v>
      </c>
      <c r="P49" s="224">
        <f ca="1">1/(1+'Financial Data'!$C$8)^P$14*P43</f>
        <v>0</v>
      </c>
      <c r="Q49" s="224">
        <f ca="1">1/(1+'Financial Data'!$C$8)^Q$14*Q43</f>
        <v>0</v>
      </c>
      <c r="R49" s="224">
        <f ca="1">1/(1+'Financial Data'!$C$8)^R$14*R43</f>
        <v>0</v>
      </c>
      <c r="S49" s="224">
        <f ca="1">1/(1+'Financial Data'!$C$8)^S$14*S43</f>
        <v>0</v>
      </c>
      <c r="T49" s="224">
        <f ca="1">1/(1+'Financial Data'!$C$8)^T$14*T43</f>
        <v>0</v>
      </c>
      <c r="U49" s="224">
        <f ca="1">1/(1+'Financial Data'!$C$8)^U$14*U43</f>
        <v>0</v>
      </c>
      <c r="V49" s="224">
        <f ca="1">1/(1+'Financial Data'!$C$8)^V$14*V43</f>
        <v>0</v>
      </c>
      <c r="W49" s="224">
        <f ca="1">1/(1+'Financial Data'!$C$8)^W$14*W43</f>
        <v>0</v>
      </c>
      <c r="X49" s="224">
        <f ca="1">1/(1+'Financial Data'!$C$8)^X$14*X43</f>
        <v>0</v>
      </c>
      <c r="Y49" s="224">
        <f ca="1">1/(1+'Financial Data'!$C$8)^Y$14*Y43</f>
        <v>0</v>
      </c>
      <c r="Z49" s="224">
        <f ca="1">1/(1+'Financial Data'!$C$8)^Z$14*Z43</f>
        <v>0</v>
      </c>
      <c r="AA49" s="224">
        <f ca="1">1/(1+'Financial Data'!$C$8)^AA$14*AA43</f>
        <v>0</v>
      </c>
    </row>
    <row r="50" spans="1:27" s="225" customFormat="1">
      <c r="A50" s="223" t="str">
        <f>'Asset Info'!$F$10</f>
        <v>RSSB</v>
      </c>
      <c r="B50" s="224">
        <f ca="1">1/(1+'Financial Data'!$C$8)^B$14*B44</f>
        <v>-6250</v>
      </c>
      <c r="C50" s="224">
        <f ca="1">1/(1+'Financial Data'!$C$8)^C$14*C44</f>
        <v>-12077.294685990339</v>
      </c>
      <c r="D50" s="224">
        <f ca="1">1/(1+'Financial Data'!$C$8)^D$14*D44</f>
        <v>-13727.274848887957</v>
      </c>
      <c r="E50" s="224">
        <f ca="1">1/(1+'Financial Data'!$C$8)^E$14*E44</f>
        <v>-15251.851152846259</v>
      </c>
      <c r="F50" s="224">
        <f ca="1">1/(1+'Financial Data'!$C$8)^F$14*F44</f>
        <v>-14736.088070382859</v>
      </c>
      <c r="G50" s="224">
        <f ca="1">1/(1+'Financial Data'!$C$8)^G$14*G44</f>
        <v>-14237.766251577645</v>
      </c>
      <c r="H50" s="224">
        <f ca="1">1/(1+'Financial Data'!$C$8)^H$14*H44</f>
        <v>-13756.2958952441</v>
      </c>
      <c r="I50" s="224">
        <f ca="1">1/(1+'Financial Data'!$C$8)^I$14*I44</f>
        <v>-13291.107145163382</v>
      </c>
      <c r="J50" s="224">
        <f ca="1">1/(1+'Financial Data'!$C$8)^J$14*J44</f>
        <v>-12841.649415616797</v>
      </c>
      <c r="K50" s="224">
        <f ca="1">1/(1+'Financial Data'!$C$8)^K$14*K44</f>
        <v>-12407.390739726376</v>
      </c>
      <c r="L50" s="224">
        <f ca="1">1/(1+'Financial Data'!$C$8)^L$14*L44</f>
        <v>-11987.817139832247</v>
      </c>
      <c r="M50" s="224">
        <f ca="1">1/(1+'Financial Data'!$C$8)^M$14*M44</f>
        <v>-11582.432019161592</v>
      </c>
      <c r="N50" s="224">
        <f ca="1">1/(1+'Financial Data'!$C$8)^N$14*N44</f>
        <v>-11190.755574069171</v>
      </c>
      <c r="O50" s="224">
        <f ca="1">1/(1+'Financial Data'!$C$8)^O$14*O44</f>
        <v>-10812.324226153791</v>
      </c>
      <c r="P50" s="224">
        <f ca="1">1/(1+'Financial Data'!$C$8)^P$14*P44</f>
        <v>-10446.69007357854</v>
      </c>
      <c r="Q50" s="224">
        <f ca="1">1/(1+'Financial Data'!$C$8)^Q$14*Q44</f>
        <v>-10093.420360945453</v>
      </c>
      <c r="R50" s="224">
        <f ca="1">1/(1+'Financial Data'!$C$8)^R$14*R44</f>
        <v>-9752.0969670970553</v>
      </c>
      <c r="S50" s="224">
        <f ca="1">1/(1+'Financial Data'!$C$8)^S$14*S44</f>
        <v>-9422.3159102387035</v>
      </c>
      <c r="T50" s="224">
        <f ca="1">1/(1+'Financial Data'!$C$8)^T$14*T44</f>
        <v>-9103.6868697958489</v>
      </c>
      <c r="U50" s="224">
        <f ca="1">1/(1+'Financial Data'!$C$8)^U$14*U44</f>
        <v>-8795.8327244404354</v>
      </c>
      <c r="V50" s="224">
        <f ca="1">1/(1+'Financial Data'!$C$8)^V$14*V44</f>
        <v>-8498.3891057395504</v>
      </c>
      <c r="W50" s="224">
        <f ca="1">1/(1+'Financial Data'!$C$8)^W$14*W44</f>
        <v>-8211.003966898119</v>
      </c>
      <c r="X50" s="224">
        <f ca="1">1/(1+'Financial Data'!$C$8)^X$14*X44</f>
        <v>-7933.3371660851381</v>
      </c>
      <c r="Y50" s="224">
        <f ca="1">1/(1+'Financial Data'!$C$8)^Y$14*Y44</f>
        <v>-7665.0600638503747</v>
      </c>
      <c r="Z50" s="224">
        <f ca="1">1/(1+'Financial Data'!$C$8)^Z$14*Z44</f>
        <v>-7405.8551341549537</v>
      </c>
      <c r="AA50" s="224">
        <f ca="1">1/(1+'Financial Data'!$C$8)^AA$14*AA44</f>
        <v>-7155.415588555511</v>
      </c>
    </row>
    <row r="51" spans="1:27" s="53" customFormat="1">
      <c r="A51" s="150" t="s">
        <v>185</v>
      </c>
      <c r="B51" s="149">
        <f ca="1">1/(1+'Financial Data'!$C$8)^B14*B45</f>
        <v>2108.890000000596</v>
      </c>
      <c r="C51" s="149">
        <f ca="1">1/(1+'Financial Data'!$C$8)^C14*C45</f>
        <v>2037.5748792276293</v>
      </c>
      <c r="D51" s="149">
        <f ca="1">1/(1+'Financial Data'!$C$8)^D14*D45</f>
        <v>88604.479917851742</v>
      </c>
      <c r="E51" s="149">
        <f ca="1">1/(1+'Financial Data'!$C$8)^E14*E45</f>
        <v>85608.193157344693</v>
      </c>
      <c r="F51" s="149">
        <f ca="1">1/(1+'Financial Data'!$C$8)^F14*F45</f>
        <v>0</v>
      </c>
      <c r="G51" s="149">
        <f ca="1">1/(1+'Financial Data'!$C$8)^G14*G45</f>
        <v>0</v>
      </c>
      <c r="H51" s="149">
        <f ca="1">1/(1+'Financial Data'!$C$8)^H14*H45</f>
        <v>0</v>
      </c>
      <c r="I51" s="149">
        <f ca="1">1/(1+'Financial Data'!$C$8)^I14*I45</f>
        <v>0</v>
      </c>
      <c r="J51" s="149">
        <f ca="1">1/(1+'Financial Data'!$C$8)^J14*J45</f>
        <v>0</v>
      </c>
      <c r="K51" s="149">
        <f ca="1">1/(1+'Financial Data'!$C$8)^K14*K45</f>
        <v>0</v>
      </c>
      <c r="L51" s="149">
        <f ca="1">1/(1+'Financial Data'!$C$8)^L14*L45</f>
        <v>0</v>
      </c>
      <c r="M51" s="149">
        <f ca="1">1/(1+'Financial Data'!$C$8)^M14*M45</f>
        <v>0</v>
      </c>
      <c r="N51" s="149">
        <f ca="1">1/(1+'Financial Data'!$C$8)^N14*N45</f>
        <v>0</v>
      </c>
      <c r="O51" s="149">
        <f ca="1">1/(1+'Financial Data'!$C$8)^O14*O45</f>
        <v>0</v>
      </c>
      <c r="P51" s="149">
        <f ca="1">1/(1+'Financial Data'!$C$8)^P14*P45</f>
        <v>0</v>
      </c>
      <c r="Q51" s="149">
        <f ca="1">1/(1+'Financial Data'!$C$8)^Q14*Q45</f>
        <v>0</v>
      </c>
      <c r="R51" s="149">
        <f ca="1">1/(1+'Financial Data'!$C$8)^R14*R45</f>
        <v>0</v>
      </c>
      <c r="S51" s="149">
        <f ca="1">1/(1+'Financial Data'!$C$8)^S14*S45</f>
        <v>0</v>
      </c>
      <c r="T51" s="149">
        <f ca="1">1/(1+'Financial Data'!$C$8)^T14*T45</f>
        <v>0</v>
      </c>
      <c r="U51" s="149">
        <f ca="1">1/(1+'Financial Data'!$C$8)^U14*U45</f>
        <v>0</v>
      </c>
      <c r="V51" s="149">
        <f ca="1">1/(1+'Financial Data'!$C$8)^V14*V45</f>
        <v>0</v>
      </c>
      <c r="W51" s="149">
        <f ca="1">1/(1+'Financial Data'!$C$8)^W14*W45</f>
        <v>0</v>
      </c>
      <c r="X51" s="149">
        <f ca="1">1/(1+'Financial Data'!$C$8)^X14*X45</f>
        <v>0</v>
      </c>
      <c r="Y51" s="149">
        <f ca="1">1/(1+'Financial Data'!$C$8)^Y14*Y45</f>
        <v>0</v>
      </c>
      <c r="Z51" s="149">
        <f ca="1">1/(1+'Financial Data'!$C$8)^Z14*Z45</f>
        <v>0</v>
      </c>
      <c r="AA51" s="149">
        <f ca="1">1/(1+'Financial Data'!$C$8)^AA14*AA45</f>
        <v>0</v>
      </c>
    </row>
    <row r="52" spans="1:27">
      <c r="A52" s="21"/>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row>
    <row r="53" spans="1:27">
      <c r="A53" s="22" t="s">
        <v>188</v>
      </c>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row>
    <row r="54" spans="1:27" s="53" customFormat="1">
      <c r="A54" s="148" t="s">
        <v>161</v>
      </c>
      <c r="B54" s="149">
        <f t="shared" ref="B54:AA58" ca="1" si="1">B22+B40</f>
        <v>-32891.109999999404</v>
      </c>
      <c r="C54" s="149">
        <f t="shared" ca="1" si="1"/>
        <v>-30782.219999998808</v>
      </c>
      <c r="D54" s="149">
        <f t="shared" ca="1" si="1"/>
        <v>74633.114000001922</v>
      </c>
      <c r="E54" s="149">
        <f t="shared" ca="1" si="1"/>
        <v>169548.44800000265</v>
      </c>
      <c r="F54" s="149">
        <f t="shared" ca="1" si="1"/>
        <v>194048.44800000265</v>
      </c>
      <c r="G54" s="149">
        <f t="shared" ca="1" si="1"/>
        <v>194048.44800000265</v>
      </c>
      <c r="H54" s="149">
        <f t="shared" ca="1" si="1"/>
        <v>194048.44800000265</v>
      </c>
      <c r="I54" s="149">
        <f t="shared" ca="1" si="1"/>
        <v>194048.44800000265</v>
      </c>
      <c r="J54" s="149">
        <f t="shared" ca="1" si="1"/>
        <v>194048.44800000265</v>
      </c>
      <c r="K54" s="149">
        <f t="shared" ca="1" si="1"/>
        <v>194048.44800000265</v>
      </c>
      <c r="L54" s="149">
        <f t="shared" ca="1" si="1"/>
        <v>194048.44800000265</v>
      </c>
      <c r="M54" s="149">
        <f t="shared" ca="1" si="1"/>
        <v>194048.44800000265</v>
      </c>
      <c r="N54" s="149">
        <f t="shared" ca="1" si="1"/>
        <v>194048.44800000265</v>
      </c>
      <c r="O54" s="149">
        <f t="shared" ca="1" si="1"/>
        <v>194048.44800000265</v>
      </c>
      <c r="P54" s="149">
        <f t="shared" ca="1" si="1"/>
        <v>194048.44800000265</v>
      </c>
      <c r="Q54" s="149">
        <f t="shared" ca="1" si="1"/>
        <v>194048.44800000265</v>
      </c>
      <c r="R54" s="149">
        <f t="shared" ca="1" si="1"/>
        <v>194048.44800000265</v>
      </c>
      <c r="S54" s="149">
        <f t="shared" ca="1" si="1"/>
        <v>194048.44800000265</v>
      </c>
      <c r="T54" s="149">
        <f t="shared" ca="1" si="1"/>
        <v>194048.44800000265</v>
      </c>
      <c r="U54" s="149">
        <f t="shared" ca="1" si="1"/>
        <v>194048.44800000265</v>
      </c>
      <c r="V54" s="149">
        <f t="shared" ca="1" si="1"/>
        <v>194048.44800000265</v>
      </c>
      <c r="W54" s="149">
        <f t="shared" ca="1" si="1"/>
        <v>194048.44800000265</v>
      </c>
      <c r="X54" s="149">
        <f t="shared" ca="1" si="1"/>
        <v>194048.44800000265</v>
      </c>
      <c r="Y54" s="149">
        <f t="shared" ca="1" si="1"/>
        <v>194048.44800000265</v>
      </c>
      <c r="Z54" s="149">
        <f t="shared" ca="1" si="1"/>
        <v>194048.44800000265</v>
      </c>
      <c r="AA54" s="149">
        <f t="shared" ca="1" si="1"/>
        <v>194048.44800000265</v>
      </c>
    </row>
    <row r="55" spans="1:27" s="225" customFormat="1">
      <c r="A55" s="223" t="str">
        <f>'Asset Info'!$C$10</f>
        <v>Crossrail</v>
      </c>
      <c r="B55" s="224">
        <f t="shared" ca="1" si="1"/>
        <v>1750</v>
      </c>
      <c r="C55" s="224">
        <f t="shared" ca="1" si="1"/>
        <v>3500</v>
      </c>
      <c r="D55" s="224">
        <f t="shared" ca="1" si="1"/>
        <v>4550</v>
      </c>
      <c r="E55" s="224">
        <f t="shared" ca="1" si="1"/>
        <v>5600</v>
      </c>
      <c r="F55" s="224">
        <f t="shared" ca="1" si="1"/>
        <v>5600</v>
      </c>
      <c r="G55" s="224">
        <f t="shared" ca="1" si="1"/>
        <v>5600</v>
      </c>
      <c r="H55" s="224">
        <f t="shared" ca="1" si="1"/>
        <v>5600</v>
      </c>
      <c r="I55" s="224">
        <f t="shared" ca="1" si="1"/>
        <v>5600</v>
      </c>
      <c r="J55" s="224">
        <f t="shared" ca="1" si="1"/>
        <v>5600</v>
      </c>
      <c r="K55" s="224">
        <f t="shared" ca="1" si="1"/>
        <v>5600</v>
      </c>
      <c r="L55" s="224">
        <f t="shared" ca="1" si="1"/>
        <v>5600</v>
      </c>
      <c r="M55" s="224">
        <f t="shared" ca="1" si="1"/>
        <v>5600</v>
      </c>
      <c r="N55" s="224">
        <f t="shared" ca="1" si="1"/>
        <v>5600</v>
      </c>
      <c r="O55" s="224">
        <f t="shared" ca="1" si="1"/>
        <v>5600</v>
      </c>
      <c r="P55" s="224">
        <f t="shared" ca="1" si="1"/>
        <v>5600</v>
      </c>
      <c r="Q55" s="224">
        <f t="shared" ca="1" si="1"/>
        <v>5600</v>
      </c>
      <c r="R55" s="224">
        <f t="shared" ca="1" si="1"/>
        <v>5600</v>
      </c>
      <c r="S55" s="224">
        <f t="shared" ca="1" si="1"/>
        <v>5600</v>
      </c>
      <c r="T55" s="224">
        <f t="shared" ca="1" si="1"/>
        <v>5600</v>
      </c>
      <c r="U55" s="224">
        <f t="shared" ca="1" si="1"/>
        <v>5600</v>
      </c>
      <c r="V55" s="224">
        <f t="shared" ca="1" si="1"/>
        <v>5600</v>
      </c>
      <c r="W55" s="224">
        <f t="shared" ca="1" si="1"/>
        <v>5600</v>
      </c>
      <c r="X55" s="224">
        <f t="shared" ca="1" si="1"/>
        <v>5600</v>
      </c>
      <c r="Y55" s="224">
        <f t="shared" ca="1" si="1"/>
        <v>5600</v>
      </c>
      <c r="Z55" s="224">
        <f t="shared" ca="1" si="1"/>
        <v>5600</v>
      </c>
      <c r="AA55" s="224">
        <f t="shared" ca="1" si="1"/>
        <v>5600</v>
      </c>
    </row>
    <row r="56" spans="1:27" s="225" customFormat="1">
      <c r="A56" s="223" t="str">
        <f>'Asset Info'!$D$10</f>
        <v>NR Western</v>
      </c>
      <c r="B56" s="224">
        <f t="shared" ca="1" si="1"/>
        <v>-17891.109999999404</v>
      </c>
      <c r="C56" s="224">
        <f t="shared" ca="1" si="1"/>
        <v>-11282.219999998808</v>
      </c>
      <c r="D56" s="224">
        <f t="shared" ca="1" si="1"/>
        <v>92138.114000001922</v>
      </c>
      <c r="E56" s="224">
        <f t="shared" ca="1" si="1"/>
        <v>188208.44800000265</v>
      </c>
      <c r="F56" s="224">
        <f t="shared" ca="1" si="1"/>
        <v>205358.44800000265</v>
      </c>
      <c r="G56" s="224">
        <f t="shared" ca="1" si="1"/>
        <v>205358.44800000265</v>
      </c>
      <c r="H56" s="224">
        <f t="shared" ca="1" si="1"/>
        <v>205358.44800000265</v>
      </c>
      <c r="I56" s="224">
        <f t="shared" ca="1" si="1"/>
        <v>205358.44800000265</v>
      </c>
      <c r="J56" s="224">
        <f t="shared" ca="1" si="1"/>
        <v>205358.44800000265</v>
      </c>
      <c r="K56" s="224">
        <f t="shared" ca="1" si="1"/>
        <v>205358.44800000265</v>
      </c>
      <c r="L56" s="224">
        <f t="shared" ca="1" si="1"/>
        <v>205358.44800000265</v>
      </c>
      <c r="M56" s="224">
        <f t="shared" ca="1" si="1"/>
        <v>205358.44800000265</v>
      </c>
      <c r="N56" s="224">
        <f t="shared" ca="1" si="1"/>
        <v>205358.44800000265</v>
      </c>
      <c r="O56" s="224">
        <f t="shared" ca="1" si="1"/>
        <v>205358.44800000265</v>
      </c>
      <c r="P56" s="224">
        <f t="shared" ca="1" si="1"/>
        <v>205358.44800000265</v>
      </c>
      <c r="Q56" s="224">
        <f t="shared" ca="1" si="1"/>
        <v>205358.44800000265</v>
      </c>
      <c r="R56" s="224">
        <f t="shared" ca="1" si="1"/>
        <v>205358.44800000265</v>
      </c>
      <c r="S56" s="224">
        <f t="shared" ca="1" si="1"/>
        <v>205358.44800000265</v>
      </c>
      <c r="T56" s="224">
        <f t="shared" ca="1" si="1"/>
        <v>205358.44800000265</v>
      </c>
      <c r="U56" s="224">
        <f t="shared" ca="1" si="1"/>
        <v>205358.44800000265</v>
      </c>
      <c r="V56" s="224">
        <f t="shared" ca="1" si="1"/>
        <v>205358.44800000265</v>
      </c>
      <c r="W56" s="224">
        <f t="shared" ca="1" si="1"/>
        <v>205358.44800000265</v>
      </c>
      <c r="X56" s="224">
        <f t="shared" ca="1" si="1"/>
        <v>205358.44800000265</v>
      </c>
      <c r="Y56" s="224">
        <f t="shared" ca="1" si="1"/>
        <v>205358.44800000265</v>
      </c>
      <c r="Z56" s="224">
        <f t="shared" ca="1" si="1"/>
        <v>205358.44800000265</v>
      </c>
      <c r="AA56" s="224">
        <f t="shared" ca="1" si="1"/>
        <v>205358.44800000265</v>
      </c>
    </row>
    <row r="57" spans="1:27" s="225" customFormat="1">
      <c r="A57" s="223" t="str">
        <f>'Asset Info'!$E$10</f>
        <v>Balfour Beatty</v>
      </c>
      <c r="B57" s="224">
        <f t="shared" ca="1" si="1"/>
        <v>0</v>
      </c>
      <c r="C57" s="224">
        <f t="shared" ca="1" si="1"/>
        <v>0</v>
      </c>
      <c r="D57" s="224">
        <f t="shared" ca="1" si="1"/>
        <v>0</v>
      </c>
      <c r="E57" s="224">
        <f t="shared" ca="1" si="1"/>
        <v>0</v>
      </c>
      <c r="F57" s="224">
        <f t="shared" ca="1" si="1"/>
        <v>0</v>
      </c>
      <c r="G57" s="224">
        <f t="shared" ca="1" si="1"/>
        <v>0</v>
      </c>
      <c r="H57" s="224">
        <f t="shared" ca="1" si="1"/>
        <v>0</v>
      </c>
      <c r="I57" s="224">
        <f t="shared" ca="1" si="1"/>
        <v>0</v>
      </c>
      <c r="J57" s="224">
        <f t="shared" ca="1" si="1"/>
        <v>0</v>
      </c>
      <c r="K57" s="224">
        <f t="shared" ca="1" si="1"/>
        <v>0</v>
      </c>
      <c r="L57" s="224">
        <f t="shared" ca="1" si="1"/>
        <v>0</v>
      </c>
      <c r="M57" s="224">
        <f t="shared" ca="1" si="1"/>
        <v>0</v>
      </c>
      <c r="N57" s="224">
        <f t="shared" ca="1" si="1"/>
        <v>0</v>
      </c>
      <c r="O57" s="224">
        <f t="shared" ca="1" si="1"/>
        <v>0</v>
      </c>
      <c r="P57" s="224">
        <f t="shared" ca="1" si="1"/>
        <v>0</v>
      </c>
      <c r="Q57" s="224">
        <f t="shared" ca="1" si="1"/>
        <v>0</v>
      </c>
      <c r="R57" s="224">
        <f t="shared" ca="1" si="1"/>
        <v>0</v>
      </c>
      <c r="S57" s="224">
        <f t="shared" ca="1" si="1"/>
        <v>0</v>
      </c>
      <c r="T57" s="224">
        <f t="shared" ca="1" si="1"/>
        <v>0</v>
      </c>
      <c r="U57" s="224">
        <f t="shared" ca="1" si="1"/>
        <v>0</v>
      </c>
      <c r="V57" s="224">
        <f t="shared" ca="1" si="1"/>
        <v>0</v>
      </c>
      <c r="W57" s="224">
        <f t="shared" ca="1" si="1"/>
        <v>0</v>
      </c>
      <c r="X57" s="224">
        <f t="shared" ca="1" si="1"/>
        <v>0</v>
      </c>
      <c r="Y57" s="224">
        <f t="shared" ca="1" si="1"/>
        <v>0</v>
      </c>
      <c r="Z57" s="224">
        <f t="shared" ca="1" si="1"/>
        <v>0</v>
      </c>
      <c r="AA57" s="224">
        <f t="shared" ca="1" si="1"/>
        <v>0</v>
      </c>
    </row>
    <row r="58" spans="1:27" s="225" customFormat="1">
      <c r="A58" s="223" t="str">
        <f>'Asset Info'!$F$10</f>
        <v>RSSB</v>
      </c>
      <c r="B58" s="224">
        <f t="shared" ca="1" si="1"/>
        <v>-16750</v>
      </c>
      <c r="C58" s="224">
        <f t="shared" ca="1" si="1"/>
        <v>-23000</v>
      </c>
      <c r="D58" s="224">
        <f t="shared" ca="1" si="1"/>
        <v>-22055</v>
      </c>
      <c r="E58" s="224">
        <f t="shared" ca="1" si="1"/>
        <v>-24260</v>
      </c>
      <c r="F58" s="224">
        <f t="shared" ca="1" si="1"/>
        <v>-16910</v>
      </c>
      <c r="G58" s="224">
        <f t="shared" ca="1" si="1"/>
        <v>-16910</v>
      </c>
      <c r="H58" s="224">
        <f t="shared" ca="1" si="1"/>
        <v>-16910</v>
      </c>
      <c r="I58" s="224">
        <f t="shared" ca="1" si="1"/>
        <v>-16910</v>
      </c>
      <c r="J58" s="224">
        <f t="shared" ca="1" si="1"/>
        <v>-16910</v>
      </c>
      <c r="K58" s="224">
        <f t="shared" ca="1" si="1"/>
        <v>-16910</v>
      </c>
      <c r="L58" s="224">
        <f t="shared" ca="1" si="1"/>
        <v>-16910</v>
      </c>
      <c r="M58" s="224">
        <f t="shared" ca="1" si="1"/>
        <v>-16910</v>
      </c>
      <c r="N58" s="224">
        <f t="shared" ca="1" si="1"/>
        <v>-16910</v>
      </c>
      <c r="O58" s="224">
        <f t="shared" ca="1" si="1"/>
        <v>-16910</v>
      </c>
      <c r="P58" s="224">
        <f t="shared" ca="1" si="1"/>
        <v>-16910</v>
      </c>
      <c r="Q58" s="224">
        <f t="shared" ca="1" si="1"/>
        <v>-16910</v>
      </c>
      <c r="R58" s="224">
        <f t="shared" ca="1" si="1"/>
        <v>-16910</v>
      </c>
      <c r="S58" s="224">
        <f t="shared" ca="1" si="1"/>
        <v>-16910</v>
      </c>
      <c r="T58" s="224">
        <f t="shared" ca="1" si="1"/>
        <v>-16910</v>
      </c>
      <c r="U58" s="224">
        <f t="shared" ca="1" si="1"/>
        <v>-16910</v>
      </c>
      <c r="V58" s="224">
        <f t="shared" ca="1" si="1"/>
        <v>-16910</v>
      </c>
      <c r="W58" s="224">
        <f t="shared" ca="1" si="1"/>
        <v>-16910</v>
      </c>
      <c r="X58" s="224">
        <f t="shared" ca="1" si="1"/>
        <v>-16910</v>
      </c>
      <c r="Y58" s="224">
        <f t="shared" ca="1" si="1"/>
        <v>-16910</v>
      </c>
      <c r="Z58" s="224">
        <f t="shared" ca="1" si="1"/>
        <v>-16910</v>
      </c>
      <c r="AA58" s="224">
        <f t="shared" ca="1" si="1"/>
        <v>-16910</v>
      </c>
    </row>
    <row r="59" spans="1:27" s="53" customFormat="1">
      <c r="A59" s="150" t="s">
        <v>186</v>
      </c>
      <c r="B59" s="149">
        <f ca="1">1/(1+'Financial Data'!$C$8)^B14*B54</f>
        <v>-32891.109999999404</v>
      </c>
      <c r="C59" s="149">
        <f ca="1">1/(1+'Financial Data'!$C$8)^C14*C54</f>
        <v>-29741.27536231769</v>
      </c>
      <c r="D59" s="149">
        <f ca="1">1/(1+'Financial Data'!$C$8)^D14*D54</f>
        <v>69670.810520667394</v>
      </c>
      <c r="E59" s="149">
        <f ca="1">1/(1+'Financial Data'!$C$8)^E14*E54</f>
        <v>152922.98593093638</v>
      </c>
      <c r="F59" s="149">
        <f ca="1">1/(1+'Financial Data'!$C$8)^F14*F54</f>
        <v>169102.0118065729</v>
      </c>
      <c r="G59" s="149">
        <f ca="1">1/(1+'Financial Data'!$C$8)^G14*G54</f>
        <v>163383.5862865439</v>
      </c>
      <c r="H59" s="149">
        <f ca="1">1/(1+'Financial Data'!$C$8)^H14*H54</f>
        <v>157858.53747492161</v>
      </c>
      <c r="I59" s="149">
        <f ca="1">1/(1+'Financial Data'!$C$8)^I14*I54</f>
        <v>152520.32606272621</v>
      </c>
      <c r="J59" s="149">
        <f ca="1">1/(1+'Financial Data'!$C$8)^J14*J54</f>
        <v>147362.6338770302</v>
      </c>
      <c r="K59" s="149">
        <f ca="1">1/(1+'Financial Data'!$C$8)^K14*K54</f>
        <v>142379.35640292772</v>
      </c>
      <c r="L59" s="149">
        <f ca="1">1/(1+'Financial Data'!$C$8)^L14*L54</f>
        <v>137564.59555838429</v>
      </c>
      <c r="M59" s="149">
        <f ca="1">1/(1+'Financial Data'!$C$8)^M14*M54</f>
        <v>132912.65271341478</v>
      </c>
      <c r="N59" s="149">
        <f ca="1">1/(1+'Financial Data'!$C$8)^N14*N54</f>
        <v>128418.02194532829</v>
      </c>
      <c r="O59" s="149">
        <f ca="1">1/(1+'Financial Data'!$C$8)^O14*O54</f>
        <v>124075.38352205635</v>
      </c>
      <c r="P59" s="149">
        <f ca="1">1/(1+'Financial Data'!$C$8)^P14*P54</f>
        <v>119879.59760585152</v>
      </c>
      <c r="Q59" s="149">
        <f ca="1">1/(1+'Financial Data'!$C$8)^Q14*Q54</f>
        <v>115825.69816990488</v>
      </c>
      <c r="R59" s="149">
        <f ca="1">1/(1+'Financial Data'!$C$8)^R14*R54</f>
        <v>111908.88712068106</v>
      </c>
      <c r="S59" s="149">
        <f ca="1">1/(1+'Financial Data'!$C$8)^S14*S54</f>
        <v>108124.52861901553</v>
      </c>
      <c r="T59" s="149">
        <f ca="1">1/(1+'Financial Data'!$C$8)^T14*T54</f>
        <v>104468.14359325172</v>
      </c>
      <c r="U59" s="149">
        <f ca="1">1/(1+'Financial Data'!$C$8)^U14*U54</f>
        <v>100935.40443792439</v>
      </c>
      <c r="V59" s="149">
        <f ca="1">1/(1+'Financial Data'!$C$8)^V14*V54</f>
        <v>97522.129891714372</v>
      </c>
      <c r="W59" s="149">
        <f ca="1">1/(1+'Financial Data'!$C$8)^W14*W54</f>
        <v>94224.280088612955</v>
      </c>
      <c r="X59" s="149">
        <f ca="1">1/(1+'Financial Data'!$C$8)^X14*X54</f>
        <v>91037.951776437636</v>
      </c>
      <c r="Y59" s="149">
        <f ca="1">1/(1+'Financial Data'!$C$8)^Y14*Y54</f>
        <v>87959.373697041185</v>
      </c>
      <c r="Z59" s="149">
        <f ca="1">1/(1+'Financial Data'!$C$8)^Z14*Z54</f>
        <v>84984.90212274513</v>
      </c>
      <c r="AA59" s="149">
        <f ca="1">1/(1+'Financial Data'!$C$8)^AA14*AA54</f>
        <v>82111.016543715115</v>
      </c>
    </row>
    <row r="60" spans="1:27" s="53" customFormat="1">
      <c r="A60" s="150" t="s">
        <v>221</v>
      </c>
      <c r="B60" s="149">
        <f ca="1">B59</f>
        <v>-32891.109999999404</v>
      </c>
      <c r="C60" s="149">
        <f t="shared" ref="C60:AA60" ca="1" si="2">B60+C59</f>
        <v>-62632.385362317094</v>
      </c>
      <c r="D60" s="149">
        <f t="shared" ca="1" si="2"/>
        <v>7038.4251583502992</v>
      </c>
      <c r="E60" s="149">
        <f t="shared" ca="1" si="2"/>
        <v>159961.41108928667</v>
      </c>
      <c r="F60" s="149">
        <f t="shared" ca="1" si="2"/>
        <v>329063.42289585958</v>
      </c>
      <c r="G60" s="149">
        <f t="shared" ca="1" si="2"/>
        <v>492447.00918240345</v>
      </c>
      <c r="H60" s="149">
        <f t="shared" ca="1" si="2"/>
        <v>650305.546657325</v>
      </c>
      <c r="I60" s="149">
        <f t="shared" ca="1" si="2"/>
        <v>802825.87272005121</v>
      </c>
      <c r="J60" s="149">
        <f t="shared" ca="1" si="2"/>
        <v>950188.50659708143</v>
      </c>
      <c r="K60" s="149">
        <f t="shared" ca="1" si="2"/>
        <v>1092567.8630000092</v>
      </c>
      <c r="L60" s="149">
        <f t="shared" ca="1" si="2"/>
        <v>1230132.4585583934</v>
      </c>
      <c r="M60" s="149">
        <f t="shared" ca="1" si="2"/>
        <v>1363045.1112718082</v>
      </c>
      <c r="N60" s="149">
        <f t="shared" ca="1" si="2"/>
        <v>1491463.1332171364</v>
      </c>
      <c r="O60" s="149">
        <f t="shared" ca="1" si="2"/>
        <v>1615538.5167391927</v>
      </c>
      <c r="P60" s="149">
        <f t="shared" ca="1" si="2"/>
        <v>1735418.1143450441</v>
      </c>
      <c r="Q60" s="149">
        <f t="shared" ca="1" si="2"/>
        <v>1851243.8125149491</v>
      </c>
      <c r="R60" s="149">
        <f t="shared" ca="1" si="2"/>
        <v>1963152.6996356302</v>
      </c>
      <c r="S60" s="149">
        <f t="shared" ca="1" si="2"/>
        <v>2071277.2282546458</v>
      </c>
      <c r="T60" s="149">
        <f t="shared" ca="1" si="2"/>
        <v>2175745.3718478978</v>
      </c>
      <c r="U60" s="149">
        <f t="shared" ca="1" si="2"/>
        <v>2276680.776285822</v>
      </c>
      <c r="V60" s="149">
        <f t="shared" ca="1" si="2"/>
        <v>2374202.9061775366</v>
      </c>
      <c r="W60" s="149">
        <f t="shared" ca="1" si="2"/>
        <v>2468427.1862661494</v>
      </c>
      <c r="X60" s="149">
        <f t="shared" ca="1" si="2"/>
        <v>2559465.1380425869</v>
      </c>
      <c r="Y60" s="149">
        <f t="shared" ca="1" si="2"/>
        <v>2647424.5117396279</v>
      </c>
      <c r="Z60" s="149">
        <f t="shared" ca="1" si="2"/>
        <v>2732409.4138623732</v>
      </c>
      <c r="AA60" s="149">
        <f t="shared" ca="1" si="2"/>
        <v>2814520.4304060885</v>
      </c>
    </row>
    <row r="61" spans="1:27" s="53" customFormat="1">
      <c r="A61" s="115"/>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row>
    <row r="62" spans="1:27" s="53" customFormat="1">
      <c r="A62" s="115"/>
      <c r="B62" s="149" t="s">
        <v>29</v>
      </c>
      <c r="C62" s="149" t="str">
        <f>'Asset Info'!C10</f>
        <v>Crossrail</v>
      </c>
      <c r="D62" s="149" t="str">
        <f>'Asset Info'!D10</f>
        <v>NR Western</v>
      </c>
      <c r="E62" s="149" t="str">
        <f>'Asset Info'!E10</f>
        <v>Balfour Beatty</v>
      </c>
      <c r="F62" s="149" t="str">
        <f>'Asset Info'!F10</f>
        <v>RSSB</v>
      </c>
      <c r="G62" s="149"/>
      <c r="H62" s="149"/>
      <c r="I62" s="149"/>
      <c r="J62" s="149"/>
      <c r="K62" s="149"/>
      <c r="L62" s="149"/>
      <c r="M62" s="149"/>
      <c r="N62" s="149"/>
      <c r="O62" s="149"/>
      <c r="P62" s="149"/>
      <c r="Q62" s="149"/>
      <c r="R62" s="149"/>
      <c r="S62" s="149"/>
      <c r="T62" s="149"/>
      <c r="U62" s="149"/>
      <c r="V62" s="149"/>
      <c r="W62" s="149"/>
      <c r="X62" s="149"/>
      <c r="Y62" s="149"/>
      <c r="Z62" s="149"/>
      <c r="AA62" s="149"/>
    </row>
    <row r="63" spans="1:27">
      <c r="A63" s="22" t="s">
        <v>223</v>
      </c>
      <c r="B63" s="152">
        <f ca="1">SUMPRODUCT(B27:AA27,B19:AA19)</f>
        <v>-113785.03356861636</v>
      </c>
      <c r="C63" s="152">
        <f ca="1">SUMPRODUCT($B$28:$AA$28,$B$19:$AA$19)</f>
        <v>0</v>
      </c>
      <c r="D63" s="152">
        <f ca="1">SUMPRODUCT($B$29:$AA$29,$B$19:$AA$19)</f>
        <v>-79649.523498031456</v>
      </c>
      <c r="E63" s="152">
        <f ca="1">SUMPRODUCT($B$30:$AA$30,$B$19:$AA$19)</f>
        <v>0</v>
      </c>
      <c r="F63" s="152">
        <f ca="1">SUMPRODUCT($B$31:$AA$31,$B$19:$AA$19)</f>
        <v>-34135.510070584911</v>
      </c>
      <c r="G63" s="149"/>
      <c r="H63" s="149"/>
      <c r="I63" s="149"/>
      <c r="J63" s="149"/>
      <c r="K63" s="149"/>
      <c r="L63" s="149"/>
      <c r="M63" s="149"/>
      <c r="N63" s="149"/>
      <c r="O63" s="149"/>
      <c r="P63" s="149"/>
      <c r="Q63" s="149"/>
      <c r="R63" s="149"/>
      <c r="S63" s="149"/>
      <c r="T63" s="149"/>
      <c r="U63" s="149"/>
      <c r="V63" s="149"/>
      <c r="W63" s="149"/>
      <c r="X63" s="149"/>
      <c r="Y63" s="149"/>
      <c r="Z63" s="149"/>
      <c r="AA63" s="149"/>
    </row>
    <row r="64" spans="1:27">
      <c r="A64" s="22" t="s">
        <v>224</v>
      </c>
      <c r="B64" s="152">
        <f ca="1">SUMPRODUCT(B46:AA46,B19:AA19)</f>
        <v>1343917.4921270099</v>
      </c>
      <c r="C64" s="152">
        <f ca="1">SUMPRODUCT($B$47:$AA$47,$B$19:$AA$19)</f>
        <v>45313.818063805469</v>
      </c>
      <c r="D64" s="152">
        <f ca="1">SUMPRODUCT($B$48:$AA$48,$B$19:$AA$19)</f>
        <v>1439168.2094084723</v>
      </c>
      <c r="E64" s="152">
        <f ca="1">SUMPRODUCT($B$49:$AA$49,$B$19:$AA$19)</f>
        <v>0</v>
      </c>
      <c r="F64" s="152">
        <f ca="1">SUMPRODUCT($B$50:$AA$50,$B$19:$AA$19)</f>
        <v>-140564.53534526794</v>
      </c>
      <c r="G64" s="149"/>
      <c r="H64" s="149"/>
      <c r="I64" s="149"/>
      <c r="J64" s="149"/>
      <c r="K64" s="149"/>
      <c r="L64" s="149"/>
      <c r="M64" s="149"/>
      <c r="N64" s="149"/>
      <c r="O64" s="149"/>
      <c r="P64" s="149"/>
      <c r="Q64" s="149"/>
      <c r="R64" s="149"/>
      <c r="S64" s="149"/>
      <c r="T64" s="149"/>
      <c r="U64" s="149"/>
      <c r="V64" s="149"/>
      <c r="W64" s="149"/>
      <c r="X64" s="149"/>
      <c r="Y64" s="149"/>
      <c r="Z64" s="149"/>
      <c r="AA64" s="149"/>
    </row>
    <row r="65" spans="1:27">
      <c r="A65" s="22" t="s">
        <v>187</v>
      </c>
      <c r="B65" s="152">
        <f ca="1">B64+B63</f>
        <v>1230132.4585583936</v>
      </c>
      <c r="C65" s="152">
        <f t="shared" ref="C65:F65" ca="1" si="3">C64+C63</f>
        <v>45313.818063805469</v>
      </c>
      <c r="D65" s="152">
        <f t="shared" ca="1" si="3"/>
        <v>1359518.6859104407</v>
      </c>
      <c r="E65" s="152">
        <f t="shared" ca="1" si="3"/>
        <v>0</v>
      </c>
      <c r="F65" s="152">
        <f t="shared" ca="1" si="3"/>
        <v>-174700.04541585286</v>
      </c>
      <c r="G65" s="149"/>
      <c r="H65" s="149"/>
      <c r="I65" s="149"/>
      <c r="J65" s="149"/>
      <c r="K65" s="149"/>
      <c r="L65" s="149"/>
      <c r="M65" s="149"/>
      <c r="N65" s="149"/>
      <c r="O65" s="149"/>
      <c r="P65" s="149"/>
      <c r="Q65" s="149"/>
      <c r="R65" s="149"/>
      <c r="S65" s="149"/>
      <c r="T65" s="149"/>
      <c r="U65" s="149"/>
      <c r="V65" s="149"/>
      <c r="W65" s="149"/>
      <c r="X65" s="149"/>
      <c r="Y65" s="149"/>
      <c r="Z65" s="149"/>
      <c r="AA65" s="149"/>
    </row>
    <row r="66" spans="1:27">
      <c r="A66" s="22" t="s">
        <v>222</v>
      </c>
      <c r="B66" s="153">
        <f ca="1">IF(B63&gt;=0,"n/a",B65/-B63)</f>
        <v>10.811021625410698</v>
      </c>
      <c r="C66" s="153" t="str">
        <f t="shared" ref="C66:F66" ca="1" si="4">IF(C63&gt;=0,"n/a",C65/-C63)</f>
        <v>n/a</v>
      </c>
      <c r="D66" s="153">
        <f t="shared" ca="1" si="4"/>
        <v>17.068761069788966</v>
      </c>
      <c r="E66" s="153" t="str">
        <f t="shared" ca="1" si="4"/>
        <v>n/a</v>
      </c>
      <c r="F66" s="153">
        <f t="shared" ca="1" si="4"/>
        <v>-5.1178390202639612</v>
      </c>
      <c r="G66" s="149"/>
      <c r="H66" s="149"/>
      <c r="I66" s="149"/>
      <c r="J66" s="149"/>
      <c r="K66" s="149"/>
      <c r="L66" s="149"/>
      <c r="M66" s="149"/>
      <c r="N66" s="149"/>
      <c r="O66" s="149"/>
      <c r="P66" s="149"/>
      <c r="Q66" s="149"/>
      <c r="R66" s="149"/>
      <c r="S66" s="149"/>
      <c r="T66" s="149"/>
      <c r="U66" s="149"/>
      <c r="V66" s="149"/>
      <c r="W66" s="149"/>
      <c r="X66" s="149"/>
      <c r="Y66" s="149"/>
      <c r="Z66" s="149"/>
      <c r="AA66" s="149"/>
    </row>
    <row r="67" spans="1:27">
      <c r="A67" s="22"/>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row>
    <row r="68" spans="1:27">
      <c r="A68" s="21"/>
      <c r="B68" s="154"/>
      <c r="C68" s="154"/>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3560"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3561"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3562"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3563"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HA2">
    <tabColor indexed="22"/>
  </sheetPr>
  <dimension ref="A1:AA68"/>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195</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t="s">
        <v>132</v>
      </c>
      <c r="B8" s="136" t="s">
        <v>138</v>
      </c>
      <c r="C8" s="136" t="s">
        <v>138</v>
      </c>
      <c r="D8" s="137">
        <f>'Financial Data'!C17</f>
        <v>2</v>
      </c>
      <c r="E8" s="136" t="s">
        <v>111</v>
      </c>
      <c r="F8" s="21"/>
      <c r="G8" s="21"/>
      <c r="H8" s="21"/>
      <c r="I8" s="21"/>
      <c r="J8" s="21"/>
      <c r="K8" s="21"/>
      <c r="L8" s="21"/>
      <c r="M8" s="21"/>
      <c r="N8" s="21"/>
      <c r="O8" s="21"/>
      <c r="P8" s="21"/>
      <c r="Q8" s="21"/>
      <c r="R8" s="21"/>
      <c r="S8" s="21"/>
      <c r="T8" s="21"/>
      <c r="U8" s="21"/>
      <c r="V8" s="21"/>
      <c r="W8" s="21"/>
      <c r="X8" s="21"/>
      <c r="Y8" s="21"/>
      <c r="Z8" s="21"/>
      <c r="AA8" s="21"/>
    </row>
    <row r="9" spans="1:27" hidden="1">
      <c r="A9" s="138" t="s">
        <v>134</v>
      </c>
      <c r="B9" s="138" t="s">
        <v>141</v>
      </c>
      <c r="C9" s="138" t="s">
        <v>139</v>
      </c>
      <c r="D9" s="139">
        <f>'Financial Data'!C18+D8</f>
        <v>4</v>
      </c>
      <c r="E9" s="138" t="s">
        <v>117</v>
      </c>
      <c r="F9" s="21"/>
      <c r="G9" s="21"/>
      <c r="H9" s="21"/>
      <c r="I9" s="21"/>
      <c r="J9" s="21"/>
      <c r="K9" s="21"/>
      <c r="L9" s="21"/>
      <c r="M9" s="21"/>
      <c r="N9" s="21"/>
      <c r="O9" s="21"/>
      <c r="P9" s="21"/>
      <c r="Q9" s="21"/>
      <c r="R9" s="21"/>
      <c r="S9" s="21"/>
      <c r="T9" s="21"/>
      <c r="U9" s="21"/>
      <c r="V9" s="21"/>
      <c r="W9" s="21"/>
      <c r="X9" s="21"/>
      <c r="Y9" s="21"/>
      <c r="Z9" s="21"/>
      <c r="AA9" s="21"/>
    </row>
    <row r="10" spans="1:27" hidden="1">
      <c r="A10" s="138" t="s">
        <v>135</v>
      </c>
      <c r="B10" s="138" t="s">
        <v>141</v>
      </c>
      <c r="C10" s="138" t="s">
        <v>139</v>
      </c>
      <c r="D10" s="139">
        <f>'Financial Data'!C19+D9</f>
        <v>6</v>
      </c>
      <c r="E10" s="138"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c r="B11" s="138"/>
      <c r="C11" s="138"/>
      <c r="D11" s="139"/>
      <c r="E11" s="138"/>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c r="B12" s="140"/>
      <c r="C12" s="140"/>
      <c r="D12" s="141"/>
      <c r="E12" s="140"/>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
        <v>73</v>
      </c>
      <c r="D16" s="139" t="s">
        <v>111</v>
      </c>
      <c r="E16" s="139" t="s">
        <v>111</v>
      </c>
      <c r="F16" s="139" t="s">
        <v>117</v>
      </c>
      <c r="G16" s="139" t="s">
        <v>117</v>
      </c>
      <c r="H16" s="139" t="s">
        <v>118</v>
      </c>
      <c r="I16" s="139" t="s">
        <v>118</v>
      </c>
      <c r="J16" s="139" t="s">
        <v>118</v>
      </c>
      <c r="K16" s="139" t="s">
        <v>118</v>
      </c>
      <c r="L16" s="139" t="s">
        <v>118</v>
      </c>
      <c r="M16" s="139" t="s">
        <v>118</v>
      </c>
      <c r="N16" s="139" t="s">
        <v>118</v>
      </c>
      <c r="O16" s="139" t="s">
        <v>118</v>
      </c>
      <c r="P16" s="139" t="s">
        <v>118</v>
      </c>
      <c r="Q16" s="139" t="s">
        <v>118</v>
      </c>
      <c r="R16" s="139" t="s">
        <v>118</v>
      </c>
      <c r="S16" s="139" t="s">
        <v>118</v>
      </c>
      <c r="T16" s="139" t="s">
        <v>118</v>
      </c>
      <c r="U16" s="139" t="s">
        <v>118</v>
      </c>
      <c r="V16" s="139" t="s">
        <v>118</v>
      </c>
      <c r="W16" s="139" t="s">
        <v>118</v>
      </c>
      <c r="X16" s="139" t="s">
        <v>118</v>
      </c>
      <c r="Y16" s="139" t="s">
        <v>118</v>
      </c>
      <c r="Z16" s="139" t="s">
        <v>118</v>
      </c>
      <c r="AA16" s="139" t="s">
        <v>118</v>
      </c>
    </row>
    <row r="17" spans="1:27" hidden="1">
      <c r="A17" s="75" t="s">
        <v>190</v>
      </c>
      <c r="B17" s="139" t="s">
        <v>111</v>
      </c>
      <c r="C17" s="139" t="s">
        <v>111</v>
      </c>
      <c r="D17" s="139" t="s">
        <v>117</v>
      </c>
      <c r="E17" s="139" t="s">
        <v>117</v>
      </c>
      <c r="F17" s="139" t="s">
        <v>118</v>
      </c>
      <c r="G17" s="139" t="s">
        <v>118</v>
      </c>
      <c r="H17" s="139" t="s">
        <v>112</v>
      </c>
      <c r="I17" s="139" t="s">
        <v>112</v>
      </c>
      <c r="J17" s="139" t="s">
        <v>112</v>
      </c>
      <c r="K17" s="139" t="s">
        <v>112</v>
      </c>
      <c r="L17" s="139" t="s">
        <v>112</v>
      </c>
      <c r="M17" s="139" t="s">
        <v>112</v>
      </c>
      <c r="N17" s="139" t="s">
        <v>112</v>
      </c>
      <c r="O17" s="139" t="s">
        <v>112</v>
      </c>
      <c r="P17" s="139" t="s">
        <v>112</v>
      </c>
      <c r="Q17" s="139" t="s">
        <v>112</v>
      </c>
      <c r="R17" s="139" t="s">
        <v>112</v>
      </c>
      <c r="S17" s="139" t="s">
        <v>112</v>
      </c>
      <c r="T17" s="139" t="s">
        <v>112</v>
      </c>
      <c r="U17" s="139" t="s">
        <v>112</v>
      </c>
      <c r="V17" s="139" t="s">
        <v>112</v>
      </c>
      <c r="W17" s="139" t="s">
        <v>112</v>
      </c>
      <c r="X17" s="139" t="s">
        <v>112</v>
      </c>
      <c r="Y17" s="139" t="s">
        <v>112</v>
      </c>
      <c r="Z17" s="139" t="s">
        <v>112</v>
      </c>
      <c r="AA17" s="139" t="s">
        <v>112</v>
      </c>
    </row>
    <row r="18" spans="1:27" hidden="1">
      <c r="A18" s="75" t="s">
        <v>191</v>
      </c>
      <c r="B18" s="144">
        <f ca="1">IF(TYPE(INDEX($D$8:$D$12,MATCH(B17,$E$8:$E$12,FALSE)))=16,0,
IF(INDEX($D$8:$D$12,MATCH(B17,$E$8:$E$12,FALSE))&lt;=B14,0,
IF(SUMIF('Financial Data'!$B$16:$B$21,"="&amp;'HA2-CF'!B16,'Financial Data'!$C$17:$C$21)=0,1,1/SUMIF('Financial Data'!$B$16:$B$21,"="&amp;'HA2-CF'!B16,'Financial Data'!$C$17:$C$21))))</f>
        <v>0.5</v>
      </c>
      <c r="C18" s="144">
        <f ca="1">IF(TYPE(INDEX($D$8:$D$12,MATCH(C17,$E$8:$E$12,FALSE)))=16,0,
IF(INDEX($D$8:$D$12,MATCH(C17,$E$8:$E$12,FALSE))&lt;=C14,0,
IF(SUMIF('Financial Data'!$B$16:$B$21,"="&amp;'HA2-CF'!C16,'Financial Data'!$C$17:$C$21)=0,1,1/SUMIF('Financial Data'!$B$16:$B$21,"="&amp;'HA2-CF'!C16,'Financial Data'!$C$17:$C$21))))</f>
        <v>0.5</v>
      </c>
      <c r="D18" s="144">
        <f ca="1">IF(TYPE(INDEX($D$8:$D$12,MATCH(D17,$E$8:$E$12,FALSE)))=16,0,
IF(INDEX($D$8:$D$12,MATCH(D17,$E$8:$E$12,FALSE))&lt;=D14,0,
IF(SUMIF('Financial Data'!$B$16:$B$21,"="&amp;'HA2-CF'!D16,'Financial Data'!$C$17:$C$21)=0,1,1/SUMIF('Financial Data'!$B$16:$B$21,"="&amp;'HA2-CF'!D16,'Financial Data'!$C$17:$C$21))))</f>
        <v>0.5</v>
      </c>
      <c r="E18" s="144">
        <f ca="1">IF(TYPE(INDEX($D$8:$D$12,MATCH(E17,$E$8:$E$12,FALSE)))=16,0,
IF(INDEX($D$8:$D$12,MATCH(E17,$E$8:$E$12,FALSE))&lt;=E14,0,
IF(SUMIF('Financial Data'!$B$16:$B$21,"="&amp;'HA2-CF'!E16,'Financial Data'!$C$17:$C$21)=0,1,1/SUMIF('Financial Data'!$B$16:$B$21,"="&amp;'HA2-CF'!E16,'Financial Data'!$C$17:$C$21))))</f>
        <v>0.5</v>
      </c>
      <c r="F18" s="144">
        <f ca="1">IF(TYPE(INDEX($D$8:$D$12,MATCH(F17,$E$8:$E$12,FALSE)))=16,0,
IF(INDEX($D$8:$D$12,MATCH(F17,$E$8:$E$12,FALSE))&lt;=F14,0,
IF(SUMIF('Financial Data'!$B$16:$B$21,"="&amp;'HA2-CF'!F16,'Financial Data'!$C$17:$C$21)=0,1,1/SUMIF('Financial Data'!$B$16:$B$21,"="&amp;'HA2-CF'!F16,'Financial Data'!$C$17:$C$21))))</f>
        <v>0.5</v>
      </c>
      <c r="G18" s="144">
        <f ca="1">IF(TYPE(INDEX($D$8:$D$12,MATCH(G17,$E$8:$E$12,FALSE)))=16,0,
IF(INDEX($D$8:$D$12,MATCH(G17,$E$8:$E$12,FALSE))&lt;=G14,0,
IF(SUMIF('Financial Data'!$B$16:$B$21,"="&amp;'HA2-CF'!G16,'Financial Data'!$C$17:$C$21)=0,1,1/SUMIF('Financial Data'!$B$16:$B$21,"="&amp;'HA2-CF'!G16,'Financial Data'!$C$17:$C$21))))</f>
        <v>0.5</v>
      </c>
      <c r="H18" s="144">
        <f>IF(TYPE(INDEX($D$8:$D$12,MATCH(H17,$E$8:$E$12,FALSE)))=16,0,
IF(INDEX($D$8:$D$12,MATCH(H17,$E$8:$E$12,FALSE))&lt;=H14,0,
IF(SUMIF('Financial Data'!$B$16:$B$21,"="&amp;'HA2-CF'!H16,'Financial Data'!$C$17:$C$21)=0,1,1/SUMIF('Financial Data'!$B$16:$B$21,"="&amp;'HA2-CF'!H16,'Financial Data'!$C$17:$C$21))))</f>
        <v>0</v>
      </c>
      <c r="I18" s="144">
        <f>IF(TYPE(INDEX($D$8:$D$12,MATCH(I17,$E$8:$E$12,FALSE)))=16,0,
IF(INDEX($D$8:$D$12,MATCH(I17,$E$8:$E$12,FALSE))&lt;=I14,0,
IF(SUMIF('Financial Data'!$B$16:$B$21,"="&amp;'HA2-CF'!I16,'Financial Data'!$C$17:$C$21)=0,1,1/SUMIF('Financial Data'!$B$16:$B$21,"="&amp;'HA2-CF'!I16,'Financial Data'!$C$17:$C$21))))</f>
        <v>0</v>
      </c>
      <c r="J18" s="144">
        <f>IF(TYPE(INDEX($D$8:$D$12,MATCH(J17,$E$8:$E$12,FALSE)))=16,0,
IF(INDEX($D$8:$D$12,MATCH(J17,$E$8:$E$12,FALSE))&lt;=J14,0,
IF(SUMIF('Financial Data'!$B$16:$B$21,"="&amp;'HA2-CF'!J16,'Financial Data'!$C$17:$C$21)=0,1,1/SUMIF('Financial Data'!$B$16:$B$21,"="&amp;'HA2-CF'!J16,'Financial Data'!$C$17:$C$21))))</f>
        <v>0</v>
      </c>
      <c r="K18" s="144">
        <f>IF(TYPE(INDEX($D$8:$D$12,MATCH(K17,$E$8:$E$12,FALSE)))=16,0,
IF(INDEX($D$8:$D$12,MATCH(K17,$E$8:$E$12,FALSE))&lt;=K14,0,
IF(SUMIF('Financial Data'!$B$16:$B$21,"="&amp;'HA2-CF'!K16,'Financial Data'!$C$17:$C$21)=0,1,1/SUMIF('Financial Data'!$B$16:$B$21,"="&amp;'HA2-CF'!K16,'Financial Data'!$C$17:$C$21))))</f>
        <v>0</v>
      </c>
      <c r="L18" s="144">
        <f>IF(TYPE(INDEX($D$8:$D$12,MATCH(L17,$E$8:$E$12,FALSE)))=16,0,
IF(INDEX($D$8:$D$12,MATCH(L17,$E$8:$E$12,FALSE))&lt;=L14,0,
IF(SUMIF('Financial Data'!$B$16:$B$21,"="&amp;'HA2-CF'!L16,'Financial Data'!$C$17:$C$21)=0,1,1/SUMIF('Financial Data'!$B$16:$B$21,"="&amp;'HA2-CF'!L16,'Financial Data'!$C$17:$C$21))))</f>
        <v>0</v>
      </c>
      <c r="M18" s="144">
        <f>IF(TYPE(INDEX($D$8:$D$12,MATCH(M17,$E$8:$E$12,FALSE)))=16,0,
IF(INDEX($D$8:$D$12,MATCH(M17,$E$8:$E$12,FALSE))&lt;=M14,0,
IF(SUMIF('Financial Data'!$B$16:$B$21,"="&amp;'HA2-CF'!M16,'Financial Data'!$C$17:$C$21)=0,1,1/SUMIF('Financial Data'!$B$16:$B$21,"="&amp;'HA2-CF'!M16,'Financial Data'!$C$17:$C$21))))</f>
        <v>0</v>
      </c>
      <c r="N18" s="144">
        <f>IF(TYPE(INDEX($D$8:$D$12,MATCH(N17,$E$8:$E$12,FALSE)))=16,0,
IF(INDEX($D$8:$D$12,MATCH(N17,$E$8:$E$12,FALSE))&lt;=N14,0,
IF(SUMIF('Financial Data'!$B$16:$B$21,"="&amp;'HA2-CF'!N16,'Financial Data'!$C$17:$C$21)=0,1,1/SUMIF('Financial Data'!$B$16:$B$21,"="&amp;'HA2-CF'!N16,'Financial Data'!$C$17:$C$21))))</f>
        <v>0</v>
      </c>
      <c r="O18" s="144">
        <f>IF(TYPE(INDEX($D$8:$D$12,MATCH(O17,$E$8:$E$12,FALSE)))=16,0,
IF(INDEX($D$8:$D$12,MATCH(O17,$E$8:$E$12,FALSE))&lt;=O14,0,
IF(SUMIF('Financial Data'!$B$16:$B$21,"="&amp;'HA2-CF'!O16,'Financial Data'!$C$17:$C$21)=0,1,1/SUMIF('Financial Data'!$B$16:$B$21,"="&amp;'HA2-CF'!O16,'Financial Data'!$C$17:$C$21))))</f>
        <v>0</v>
      </c>
      <c r="P18" s="144">
        <f>IF(TYPE(INDEX($D$8:$D$12,MATCH(P17,$E$8:$E$12,FALSE)))=16,0,
IF(INDEX($D$8:$D$12,MATCH(P17,$E$8:$E$12,FALSE))&lt;=P14,0,
IF(SUMIF('Financial Data'!$B$16:$B$21,"="&amp;'HA2-CF'!P16,'Financial Data'!$C$17:$C$21)=0,1,1/SUMIF('Financial Data'!$B$16:$B$21,"="&amp;'HA2-CF'!P16,'Financial Data'!$C$17:$C$21))))</f>
        <v>0</v>
      </c>
      <c r="Q18" s="144">
        <f>IF(TYPE(INDEX($D$8:$D$12,MATCH(Q17,$E$8:$E$12,FALSE)))=16,0,
IF(INDEX($D$8:$D$12,MATCH(Q17,$E$8:$E$12,FALSE))&lt;=Q14,0,
IF(SUMIF('Financial Data'!$B$16:$B$21,"="&amp;'HA2-CF'!Q16,'Financial Data'!$C$17:$C$21)=0,1,1/SUMIF('Financial Data'!$B$16:$B$21,"="&amp;'HA2-CF'!Q16,'Financial Data'!$C$17:$C$21))))</f>
        <v>0</v>
      </c>
      <c r="R18" s="144">
        <f>IF(TYPE(INDEX($D$8:$D$12,MATCH(R17,$E$8:$E$12,FALSE)))=16,0,
IF(INDEX($D$8:$D$12,MATCH(R17,$E$8:$E$12,FALSE))&lt;=R14,0,
IF(SUMIF('Financial Data'!$B$16:$B$21,"="&amp;'HA2-CF'!R16,'Financial Data'!$C$17:$C$21)=0,1,1/SUMIF('Financial Data'!$B$16:$B$21,"="&amp;'HA2-CF'!R16,'Financial Data'!$C$17:$C$21))))</f>
        <v>0</v>
      </c>
      <c r="S18" s="144">
        <f>IF(TYPE(INDEX($D$8:$D$12,MATCH(S17,$E$8:$E$12,FALSE)))=16,0,
IF(INDEX($D$8:$D$12,MATCH(S17,$E$8:$E$12,FALSE))&lt;=S14,0,
IF(SUMIF('Financial Data'!$B$16:$B$21,"="&amp;'HA2-CF'!S16,'Financial Data'!$C$17:$C$21)=0,1,1/SUMIF('Financial Data'!$B$16:$B$21,"="&amp;'HA2-CF'!S16,'Financial Data'!$C$17:$C$21))))</f>
        <v>0</v>
      </c>
      <c r="T18" s="144">
        <f>IF(TYPE(INDEX($D$8:$D$12,MATCH(T17,$E$8:$E$12,FALSE)))=16,0,
IF(INDEX($D$8:$D$12,MATCH(T17,$E$8:$E$12,FALSE))&lt;=T14,0,
IF(SUMIF('Financial Data'!$B$16:$B$21,"="&amp;'HA2-CF'!T16,'Financial Data'!$C$17:$C$21)=0,1,1/SUMIF('Financial Data'!$B$16:$B$21,"="&amp;'HA2-CF'!T16,'Financial Data'!$C$17:$C$21))))</f>
        <v>0</v>
      </c>
      <c r="U18" s="144">
        <f>IF(TYPE(INDEX($D$8:$D$12,MATCH(U17,$E$8:$E$12,FALSE)))=16,0,
IF(INDEX($D$8:$D$12,MATCH(U17,$E$8:$E$12,FALSE))&lt;=U14,0,
IF(SUMIF('Financial Data'!$B$16:$B$21,"="&amp;'HA2-CF'!U16,'Financial Data'!$C$17:$C$21)=0,1,1/SUMIF('Financial Data'!$B$16:$B$21,"="&amp;'HA2-CF'!U16,'Financial Data'!$C$17:$C$21))))</f>
        <v>0</v>
      </c>
      <c r="V18" s="144">
        <f>IF(TYPE(INDEX($D$8:$D$12,MATCH(V17,$E$8:$E$12,FALSE)))=16,0,
IF(INDEX($D$8:$D$12,MATCH(V17,$E$8:$E$12,FALSE))&lt;=V14,0,
IF(SUMIF('Financial Data'!$B$16:$B$21,"="&amp;'HA2-CF'!V16,'Financial Data'!$C$17:$C$21)=0,1,1/SUMIF('Financial Data'!$B$16:$B$21,"="&amp;'HA2-CF'!V16,'Financial Data'!$C$17:$C$21))))</f>
        <v>0</v>
      </c>
      <c r="W18" s="144">
        <f>IF(TYPE(INDEX($D$8:$D$12,MATCH(W17,$E$8:$E$12,FALSE)))=16,0,
IF(INDEX($D$8:$D$12,MATCH(W17,$E$8:$E$12,FALSE))&lt;=W14,0,
IF(SUMIF('Financial Data'!$B$16:$B$21,"="&amp;'HA2-CF'!W16,'Financial Data'!$C$17:$C$21)=0,1,1/SUMIF('Financial Data'!$B$16:$B$21,"="&amp;'HA2-CF'!W16,'Financial Data'!$C$17:$C$21))))</f>
        <v>0</v>
      </c>
      <c r="X18" s="144">
        <f>IF(TYPE(INDEX($D$8:$D$12,MATCH(X17,$E$8:$E$12,FALSE)))=16,0,
IF(INDEX($D$8:$D$12,MATCH(X17,$E$8:$E$12,FALSE))&lt;=X14,0,
IF(SUMIF('Financial Data'!$B$16:$B$21,"="&amp;'HA2-CF'!X16,'Financial Data'!$C$17:$C$21)=0,1,1/SUMIF('Financial Data'!$B$16:$B$21,"="&amp;'HA2-CF'!X16,'Financial Data'!$C$17:$C$21))))</f>
        <v>0</v>
      </c>
      <c r="Y18" s="144">
        <f>IF(TYPE(INDEX($D$8:$D$12,MATCH(Y17,$E$8:$E$12,FALSE)))=16,0,
IF(INDEX($D$8:$D$12,MATCH(Y17,$E$8:$E$12,FALSE))&lt;=Y14,0,
IF(SUMIF('Financial Data'!$B$16:$B$21,"="&amp;'HA2-CF'!Y16,'Financial Data'!$C$17:$C$21)=0,1,1/SUMIF('Financial Data'!$B$16:$B$21,"="&amp;'HA2-CF'!Y16,'Financial Data'!$C$17:$C$21))))</f>
        <v>0</v>
      </c>
      <c r="Z18" s="144">
        <f>IF(TYPE(INDEX($D$8:$D$12,MATCH(Z17,$E$8:$E$12,FALSE)))=16,0,
IF(INDEX($D$8:$D$12,MATCH(Z17,$E$8:$E$12,FALSE))&lt;=Z14,0,
IF(SUMIF('Financial Data'!$B$16:$B$21,"="&amp;'HA2-CF'!Z16,'Financial Data'!$C$17:$C$21)=0,1,1/SUMIF('Financial Data'!$B$16:$B$21,"="&amp;'HA2-CF'!Z16,'Financial Data'!$C$17:$C$21))))</f>
        <v>0</v>
      </c>
      <c r="AA18" s="144">
        <f>IF(TYPE(INDEX($D$8:$D$12,MATCH(AA17,$E$8:$E$12,FALSE)))=16,0,
IF(INDEX($D$8:$D$12,MATCH(AA17,$E$8:$E$12,FALSE))&lt;=AA14,0,
IF(SUMIF('Financial Data'!$B$16:$B$21,"="&amp;'HA2-CF'!AA16,'Financial Data'!$C$17:$C$21)=0,1,1/SUMIF('Financial Data'!$B$16:$B$21,"="&amp;'HA2-CF'!AA16,'Financial Data'!$C$17:$C$21))))</f>
        <v>0</v>
      </c>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f ca="1">-B18*SUMIF('Annual WLC by Maturity Level '!$E$9:$I$9,B17,'Annual WLC by Maturity Level '!$E$40:$I$40)</f>
        <v>-35000</v>
      </c>
      <c r="C22" s="149">
        <f ca="1">-C18*SUMIF('Annual WLC by Maturity Level '!$E$9:$I$9,C17,'Annual WLC by Maturity Level '!$E$40:$I$40)</f>
        <v>-35000</v>
      </c>
      <c r="D22" s="149">
        <f ca="1">-D18*SUMIF('Annual WLC by Maturity Level '!$E$9:$I$9,D17,'Annual WLC by Maturity Level '!$E$40:$I$40)</f>
        <v>-24500</v>
      </c>
      <c r="E22" s="149">
        <f ca="1">-E18*SUMIF('Annual WLC by Maturity Level '!$E$9:$I$9,E17,'Annual WLC by Maturity Level '!$E$40:$I$40)</f>
        <v>-24500</v>
      </c>
      <c r="F22" s="149">
        <f ca="1">-F18*SUMIF('Annual WLC by Maturity Level '!$E$9:$I$9,F17,'Annual WLC by Maturity Level '!$E$40:$I$40)</f>
        <v>-8000</v>
      </c>
      <c r="G22" s="149">
        <f ca="1">-G18*SUMIF('Annual WLC by Maturity Level '!$E$9:$I$9,G17,'Annual WLC by Maturity Level '!$E$40:$I$40)</f>
        <v>-8000</v>
      </c>
      <c r="H22" s="149">
        <f>-H18*SUMIF('Annual WLC by Maturity Level '!$E$9:$I$9,H17,'Annual WLC by Maturity Level '!$E$40:$I$40)</f>
        <v>0</v>
      </c>
      <c r="I22" s="149">
        <f>-I18*SUMIF('Annual WLC by Maturity Level '!$E$9:$I$9,I17,'Annual WLC by Maturity Level '!$E$40:$I$40)</f>
        <v>0</v>
      </c>
      <c r="J22" s="149">
        <f>-J18*SUMIF('Annual WLC by Maturity Level '!$E$9:$I$9,J17,'Annual WLC by Maturity Level '!$E$40:$I$40)</f>
        <v>0</v>
      </c>
      <c r="K22" s="149">
        <f>-K18*SUMIF('Annual WLC by Maturity Level '!$E$9:$I$9,K17,'Annual WLC by Maturity Level '!$E$40:$I$40)</f>
        <v>0</v>
      </c>
      <c r="L22" s="149">
        <f>-L18*SUMIF('Annual WLC by Maturity Level '!$E$9:$I$9,L17,'Annual WLC by Maturity Level '!$E$40:$I$40)</f>
        <v>0</v>
      </c>
      <c r="M22" s="149">
        <f>-M18*SUMIF('Annual WLC by Maturity Level '!$E$9:$I$9,M17,'Annual WLC by Maturity Level '!$E$40:$I$40)</f>
        <v>0</v>
      </c>
      <c r="N22" s="149">
        <f>-N18*SUMIF('Annual WLC by Maturity Level '!$E$9:$I$9,N17,'Annual WLC by Maturity Level '!$E$40:$I$40)</f>
        <v>0</v>
      </c>
      <c r="O22" s="149">
        <f>-O18*SUMIF('Annual WLC by Maturity Level '!$E$9:$I$9,O17,'Annual WLC by Maturity Level '!$E$40:$I$40)</f>
        <v>0</v>
      </c>
      <c r="P22" s="149">
        <f>-P18*SUMIF('Annual WLC by Maturity Level '!$E$9:$I$9,P17,'Annual WLC by Maturity Level '!$E$40:$I$40)</f>
        <v>0</v>
      </c>
      <c r="Q22" s="149">
        <f>-Q18*SUMIF('Annual WLC by Maturity Level '!$E$9:$I$9,Q17,'Annual WLC by Maturity Level '!$E$40:$I$40)</f>
        <v>0</v>
      </c>
      <c r="R22" s="149">
        <f>-R18*SUMIF('Annual WLC by Maturity Level '!$E$9:$I$9,R17,'Annual WLC by Maturity Level '!$E$40:$I$40)</f>
        <v>0</v>
      </c>
      <c r="S22" s="149">
        <f>-S18*SUMIF('Annual WLC by Maturity Level '!$E$9:$I$9,S17,'Annual WLC by Maturity Level '!$E$40:$I$40)</f>
        <v>0</v>
      </c>
      <c r="T22" s="149">
        <f>-T18*SUMIF('Annual WLC by Maturity Level '!$E$9:$I$9,T17,'Annual WLC by Maturity Level '!$E$40:$I$40)</f>
        <v>0</v>
      </c>
      <c r="U22" s="149">
        <f>-U18*SUMIF('Annual WLC by Maturity Level '!$E$9:$I$9,U17,'Annual WLC by Maturity Level '!$E$40:$I$40)</f>
        <v>0</v>
      </c>
      <c r="V22" s="149">
        <f>-V18*SUMIF('Annual WLC by Maturity Level '!$E$9:$I$9,V17,'Annual WLC by Maturity Level '!$E$40:$I$40)</f>
        <v>0</v>
      </c>
      <c r="W22" s="149">
        <f>-W18*SUMIF('Annual WLC by Maturity Level '!$E$9:$I$9,W17,'Annual WLC by Maturity Level '!$E$40:$I$40)</f>
        <v>0</v>
      </c>
      <c r="X22" s="149">
        <f>-X18*SUMIF('Annual WLC by Maturity Level '!$E$9:$I$9,X17,'Annual WLC by Maturity Level '!$E$40:$I$40)</f>
        <v>0</v>
      </c>
      <c r="Y22" s="149">
        <f>-Y18*SUMIF('Annual WLC by Maturity Level '!$E$9:$I$9,Y17,'Annual WLC by Maturity Level '!$E$40:$I$40)</f>
        <v>0</v>
      </c>
      <c r="Z22" s="149">
        <f>-Z18*SUMIF('Annual WLC by Maturity Level '!$E$9:$I$9,Z17,'Annual WLC by Maturity Level '!$E$40:$I$40)</f>
        <v>0</v>
      </c>
      <c r="AA22" s="149">
        <f>-AA18*SUMIF('Annual WLC by Maturity Level '!$E$9:$I$9,AA17,'Annual WLC by Maturity Level '!$E$40:$I$40)</f>
        <v>0</v>
      </c>
    </row>
    <row r="23" spans="1:27" s="225" customFormat="1">
      <c r="A23" s="223" t="str">
        <f>'Asset Info'!$C$10</f>
        <v>Crossrail</v>
      </c>
      <c r="B23" s="224">
        <f ca="1">-B$18*SUMIF('Annual WLC by Maturity Level '!$E$9:$I$9,B$17,'Annual WLC by Maturity Level '!$E41:$I41)</f>
        <v>0</v>
      </c>
      <c r="C23" s="224">
        <f ca="1">-C$18*SUMIF('Annual WLC by Maturity Level '!$E$9:$I$9,C$17,'Annual WLC by Maturity Level '!$E41:$I41)</f>
        <v>0</v>
      </c>
      <c r="D23" s="224">
        <f ca="1">-D$18*SUMIF('Annual WLC by Maturity Level '!$E$9:$I$9,D$17,'Annual WLC by Maturity Level '!$E41:$I41)</f>
        <v>0</v>
      </c>
      <c r="E23" s="224">
        <f ca="1">-E$18*SUMIF('Annual WLC by Maturity Level '!$E$9:$I$9,E$17,'Annual WLC by Maturity Level '!$E41:$I41)</f>
        <v>0</v>
      </c>
      <c r="F23" s="224">
        <f ca="1">-F$18*SUMIF('Annual WLC by Maturity Level '!$E$9:$I$9,F$17,'Annual WLC by Maturity Level '!$E41:$I41)</f>
        <v>0</v>
      </c>
      <c r="G23" s="224">
        <f ca="1">-G$18*SUMIF('Annual WLC by Maturity Level '!$E$9:$I$9,G$17,'Annual WLC by Maturity Level '!$E41:$I41)</f>
        <v>0</v>
      </c>
      <c r="H23" s="224">
        <f>-H$18*SUMIF('Annual WLC by Maturity Level '!$E$9:$I$9,H$17,'Annual WLC by Maturity Level '!$E41:$I41)</f>
        <v>0</v>
      </c>
      <c r="I23" s="224">
        <f>-I$18*SUMIF('Annual WLC by Maturity Level '!$E$9:$I$9,I$17,'Annual WLC by Maturity Level '!$E41:$I41)</f>
        <v>0</v>
      </c>
      <c r="J23" s="224">
        <f>-J$18*SUMIF('Annual WLC by Maturity Level '!$E$9:$I$9,J$17,'Annual WLC by Maturity Level '!$E41:$I41)</f>
        <v>0</v>
      </c>
      <c r="K23" s="224">
        <f>-K$18*SUMIF('Annual WLC by Maturity Level '!$E$9:$I$9,K$17,'Annual WLC by Maturity Level '!$E41:$I41)</f>
        <v>0</v>
      </c>
      <c r="L23" s="224">
        <f>-L$18*SUMIF('Annual WLC by Maturity Level '!$E$9:$I$9,L$17,'Annual WLC by Maturity Level '!$E41:$I41)</f>
        <v>0</v>
      </c>
      <c r="M23" s="224">
        <f>-M$18*SUMIF('Annual WLC by Maturity Level '!$E$9:$I$9,M$17,'Annual WLC by Maturity Level '!$E41:$I41)</f>
        <v>0</v>
      </c>
      <c r="N23" s="224">
        <f>-N$18*SUMIF('Annual WLC by Maturity Level '!$E$9:$I$9,N$17,'Annual WLC by Maturity Level '!$E41:$I41)</f>
        <v>0</v>
      </c>
      <c r="O23" s="224">
        <f>-O$18*SUMIF('Annual WLC by Maturity Level '!$E$9:$I$9,O$17,'Annual WLC by Maturity Level '!$E41:$I41)</f>
        <v>0</v>
      </c>
      <c r="P23" s="224">
        <f>-P$18*SUMIF('Annual WLC by Maturity Level '!$E$9:$I$9,P$17,'Annual WLC by Maturity Level '!$E41:$I41)</f>
        <v>0</v>
      </c>
      <c r="Q23" s="224">
        <f>-Q$18*SUMIF('Annual WLC by Maturity Level '!$E$9:$I$9,Q$17,'Annual WLC by Maturity Level '!$E41:$I41)</f>
        <v>0</v>
      </c>
      <c r="R23" s="224">
        <f>-R$18*SUMIF('Annual WLC by Maturity Level '!$E$9:$I$9,R$17,'Annual WLC by Maturity Level '!$E41:$I41)</f>
        <v>0</v>
      </c>
      <c r="S23" s="224">
        <f>-S$18*SUMIF('Annual WLC by Maturity Level '!$E$9:$I$9,S$17,'Annual WLC by Maturity Level '!$E41:$I41)</f>
        <v>0</v>
      </c>
      <c r="T23" s="224">
        <f>-T$18*SUMIF('Annual WLC by Maturity Level '!$E$9:$I$9,T$17,'Annual WLC by Maturity Level '!$E41:$I41)</f>
        <v>0</v>
      </c>
      <c r="U23" s="224">
        <f>-U$18*SUMIF('Annual WLC by Maturity Level '!$E$9:$I$9,U$17,'Annual WLC by Maturity Level '!$E41:$I41)</f>
        <v>0</v>
      </c>
      <c r="V23" s="224">
        <f>-V$18*SUMIF('Annual WLC by Maturity Level '!$E$9:$I$9,V$17,'Annual WLC by Maturity Level '!$E41:$I41)</f>
        <v>0</v>
      </c>
      <c r="W23" s="224">
        <f>-W$18*SUMIF('Annual WLC by Maturity Level '!$E$9:$I$9,W$17,'Annual WLC by Maturity Level '!$E41:$I41)</f>
        <v>0</v>
      </c>
      <c r="X23" s="224">
        <f>-X$18*SUMIF('Annual WLC by Maturity Level '!$E$9:$I$9,X$17,'Annual WLC by Maturity Level '!$E41:$I41)</f>
        <v>0</v>
      </c>
      <c r="Y23" s="224">
        <f>-Y$18*SUMIF('Annual WLC by Maturity Level '!$E$9:$I$9,Y$17,'Annual WLC by Maturity Level '!$E41:$I41)</f>
        <v>0</v>
      </c>
      <c r="Z23" s="224">
        <f>-Z$18*SUMIF('Annual WLC by Maturity Level '!$E$9:$I$9,Z$17,'Annual WLC by Maturity Level '!$E41:$I41)</f>
        <v>0</v>
      </c>
      <c r="AA23" s="224">
        <f>-AA$18*SUMIF('Annual WLC by Maturity Level '!$E$9:$I$9,AA$17,'Annual WLC by Maturity Level '!$E41:$I41)</f>
        <v>0</v>
      </c>
    </row>
    <row r="24" spans="1:27" s="225" customFormat="1">
      <c r="A24" s="223" t="str">
        <f>'Asset Info'!$D$10</f>
        <v>NR Western</v>
      </c>
      <c r="B24" s="224">
        <f ca="1">-B$18*SUMIF('Annual WLC by Maturity Level '!$E$9:$I$9,B$17,'Annual WLC by Maturity Level '!$E42:$I42)</f>
        <v>-24500</v>
      </c>
      <c r="C24" s="224">
        <f ca="1">-C$18*SUMIF('Annual WLC by Maturity Level '!$E$9:$I$9,C$17,'Annual WLC by Maturity Level '!$E42:$I42)</f>
        <v>-24500</v>
      </c>
      <c r="D24" s="224">
        <f ca="1">-D$18*SUMIF('Annual WLC by Maturity Level '!$E$9:$I$9,D$17,'Annual WLC by Maturity Level '!$E42:$I42)</f>
        <v>-17150</v>
      </c>
      <c r="E24" s="224">
        <f ca="1">-E$18*SUMIF('Annual WLC by Maturity Level '!$E$9:$I$9,E$17,'Annual WLC by Maturity Level '!$E42:$I42)</f>
        <v>-17150</v>
      </c>
      <c r="F24" s="224">
        <f ca="1">-F$18*SUMIF('Annual WLC by Maturity Level '!$E$9:$I$9,F$17,'Annual WLC by Maturity Level '!$E42:$I42)</f>
        <v>-5600</v>
      </c>
      <c r="G24" s="224">
        <f ca="1">-G$18*SUMIF('Annual WLC by Maturity Level '!$E$9:$I$9,G$17,'Annual WLC by Maturity Level '!$E42:$I42)</f>
        <v>-5600</v>
      </c>
      <c r="H24" s="224">
        <f>-H$18*SUMIF('Annual WLC by Maturity Level '!$E$9:$I$9,H$17,'Annual WLC by Maturity Level '!$E42:$I42)</f>
        <v>0</v>
      </c>
      <c r="I24" s="224">
        <f>-I$18*SUMIF('Annual WLC by Maturity Level '!$E$9:$I$9,I$17,'Annual WLC by Maturity Level '!$E42:$I42)</f>
        <v>0</v>
      </c>
      <c r="J24" s="224">
        <f>-J$18*SUMIF('Annual WLC by Maturity Level '!$E$9:$I$9,J$17,'Annual WLC by Maturity Level '!$E42:$I42)</f>
        <v>0</v>
      </c>
      <c r="K24" s="224">
        <f>-K$18*SUMIF('Annual WLC by Maturity Level '!$E$9:$I$9,K$17,'Annual WLC by Maturity Level '!$E42:$I42)</f>
        <v>0</v>
      </c>
      <c r="L24" s="224">
        <f>-L$18*SUMIF('Annual WLC by Maturity Level '!$E$9:$I$9,L$17,'Annual WLC by Maturity Level '!$E42:$I42)</f>
        <v>0</v>
      </c>
      <c r="M24" s="224">
        <f>-M$18*SUMIF('Annual WLC by Maturity Level '!$E$9:$I$9,M$17,'Annual WLC by Maturity Level '!$E42:$I42)</f>
        <v>0</v>
      </c>
      <c r="N24" s="224">
        <f>-N$18*SUMIF('Annual WLC by Maturity Level '!$E$9:$I$9,N$17,'Annual WLC by Maturity Level '!$E42:$I42)</f>
        <v>0</v>
      </c>
      <c r="O24" s="224">
        <f>-O$18*SUMIF('Annual WLC by Maturity Level '!$E$9:$I$9,O$17,'Annual WLC by Maturity Level '!$E42:$I42)</f>
        <v>0</v>
      </c>
      <c r="P24" s="224">
        <f>-P$18*SUMIF('Annual WLC by Maturity Level '!$E$9:$I$9,P$17,'Annual WLC by Maturity Level '!$E42:$I42)</f>
        <v>0</v>
      </c>
      <c r="Q24" s="224">
        <f>-Q$18*SUMIF('Annual WLC by Maturity Level '!$E$9:$I$9,Q$17,'Annual WLC by Maturity Level '!$E42:$I42)</f>
        <v>0</v>
      </c>
      <c r="R24" s="224">
        <f>-R$18*SUMIF('Annual WLC by Maturity Level '!$E$9:$I$9,R$17,'Annual WLC by Maturity Level '!$E42:$I42)</f>
        <v>0</v>
      </c>
      <c r="S24" s="224">
        <f>-S$18*SUMIF('Annual WLC by Maturity Level '!$E$9:$I$9,S$17,'Annual WLC by Maturity Level '!$E42:$I42)</f>
        <v>0</v>
      </c>
      <c r="T24" s="224">
        <f>-T$18*SUMIF('Annual WLC by Maturity Level '!$E$9:$I$9,T$17,'Annual WLC by Maturity Level '!$E42:$I42)</f>
        <v>0</v>
      </c>
      <c r="U24" s="224">
        <f>-U$18*SUMIF('Annual WLC by Maturity Level '!$E$9:$I$9,U$17,'Annual WLC by Maturity Level '!$E42:$I42)</f>
        <v>0</v>
      </c>
      <c r="V24" s="224">
        <f>-V$18*SUMIF('Annual WLC by Maturity Level '!$E$9:$I$9,V$17,'Annual WLC by Maturity Level '!$E42:$I42)</f>
        <v>0</v>
      </c>
      <c r="W24" s="224">
        <f>-W$18*SUMIF('Annual WLC by Maturity Level '!$E$9:$I$9,W$17,'Annual WLC by Maturity Level '!$E42:$I42)</f>
        <v>0</v>
      </c>
      <c r="X24" s="224">
        <f>-X$18*SUMIF('Annual WLC by Maturity Level '!$E$9:$I$9,X$17,'Annual WLC by Maturity Level '!$E42:$I42)</f>
        <v>0</v>
      </c>
      <c r="Y24" s="224">
        <f>-Y$18*SUMIF('Annual WLC by Maturity Level '!$E$9:$I$9,Y$17,'Annual WLC by Maturity Level '!$E42:$I42)</f>
        <v>0</v>
      </c>
      <c r="Z24" s="224">
        <f>-Z$18*SUMIF('Annual WLC by Maturity Level '!$E$9:$I$9,Z$17,'Annual WLC by Maturity Level '!$E42:$I42)</f>
        <v>0</v>
      </c>
      <c r="AA24" s="224">
        <f>-AA$18*SUMIF('Annual WLC by Maturity Level '!$E$9:$I$9,AA$17,'Annual WLC by Maturity Level '!$E42:$I42)</f>
        <v>0</v>
      </c>
    </row>
    <row r="25" spans="1:27" s="225" customFormat="1">
      <c r="A25" s="223" t="str">
        <f>'Asset Info'!$E$10</f>
        <v>Balfour Beatty</v>
      </c>
      <c r="B25" s="224">
        <f ca="1">-B$18*SUMIF('Annual WLC by Maturity Level '!$E$9:$I$9,B$17,'Annual WLC by Maturity Level '!$E43:$I43)</f>
        <v>0</v>
      </c>
      <c r="C25" s="224">
        <f ca="1">-C$18*SUMIF('Annual WLC by Maturity Level '!$E$9:$I$9,C$17,'Annual WLC by Maturity Level '!$E43:$I43)</f>
        <v>0</v>
      </c>
      <c r="D25" s="224">
        <f ca="1">-D$18*SUMIF('Annual WLC by Maturity Level '!$E$9:$I$9,D$17,'Annual WLC by Maturity Level '!$E43:$I43)</f>
        <v>0</v>
      </c>
      <c r="E25" s="224">
        <f ca="1">-E$18*SUMIF('Annual WLC by Maturity Level '!$E$9:$I$9,E$17,'Annual WLC by Maturity Level '!$E43:$I43)</f>
        <v>0</v>
      </c>
      <c r="F25" s="224">
        <f ca="1">-F$18*SUMIF('Annual WLC by Maturity Level '!$E$9:$I$9,F$17,'Annual WLC by Maturity Level '!$E43:$I43)</f>
        <v>0</v>
      </c>
      <c r="G25" s="224">
        <f ca="1">-G$18*SUMIF('Annual WLC by Maturity Level '!$E$9:$I$9,G$17,'Annual WLC by Maturity Level '!$E43:$I43)</f>
        <v>0</v>
      </c>
      <c r="H25" s="224">
        <f>-H$18*SUMIF('Annual WLC by Maturity Level '!$E$9:$I$9,H$17,'Annual WLC by Maturity Level '!$E43:$I43)</f>
        <v>0</v>
      </c>
      <c r="I25" s="224">
        <f>-I$18*SUMIF('Annual WLC by Maturity Level '!$E$9:$I$9,I$17,'Annual WLC by Maturity Level '!$E43:$I43)</f>
        <v>0</v>
      </c>
      <c r="J25" s="224">
        <f>-J$18*SUMIF('Annual WLC by Maturity Level '!$E$9:$I$9,J$17,'Annual WLC by Maturity Level '!$E43:$I43)</f>
        <v>0</v>
      </c>
      <c r="K25" s="224">
        <f>-K$18*SUMIF('Annual WLC by Maturity Level '!$E$9:$I$9,K$17,'Annual WLC by Maturity Level '!$E43:$I43)</f>
        <v>0</v>
      </c>
      <c r="L25" s="224">
        <f>-L$18*SUMIF('Annual WLC by Maturity Level '!$E$9:$I$9,L$17,'Annual WLC by Maturity Level '!$E43:$I43)</f>
        <v>0</v>
      </c>
      <c r="M25" s="224">
        <f>-M$18*SUMIF('Annual WLC by Maturity Level '!$E$9:$I$9,M$17,'Annual WLC by Maturity Level '!$E43:$I43)</f>
        <v>0</v>
      </c>
      <c r="N25" s="224">
        <f>-N$18*SUMIF('Annual WLC by Maturity Level '!$E$9:$I$9,N$17,'Annual WLC by Maturity Level '!$E43:$I43)</f>
        <v>0</v>
      </c>
      <c r="O25" s="224">
        <f>-O$18*SUMIF('Annual WLC by Maturity Level '!$E$9:$I$9,O$17,'Annual WLC by Maturity Level '!$E43:$I43)</f>
        <v>0</v>
      </c>
      <c r="P25" s="224">
        <f>-P$18*SUMIF('Annual WLC by Maturity Level '!$E$9:$I$9,P$17,'Annual WLC by Maturity Level '!$E43:$I43)</f>
        <v>0</v>
      </c>
      <c r="Q25" s="224">
        <f>-Q$18*SUMIF('Annual WLC by Maturity Level '!$E$9:$I$9,Q$17,'Annual WLC by Maturity Level '!$E43:$I43)</f>
        <v>0</v>
      </c>
      <c r="R25" s="224">
        <f>-R$18*SUMIF('Annual WLC by Maturity Level '!$E$9:$I$9,R$17,'Annual WLC by Maturity Level '!$E43:$I43)</f>
        <v>0</v>
      </c>
      <c r="S25" s="224">
        <f>-S$18*SUMIF('Annual WLC by Maturity Level '!$E$9:$I$9,S$17,'Annual WLC by Maturity Level '!$E43:$I43)</f>
        <v>0</v>
      </c>
      <c r="T25" s="224">
        <f>-T$18*SUMIF('Annual WLC by Maturity Level '!$E$9:$I$9,T$17,'Annual WLC by Maturity Level '!$E43:$I43)</f>
        <v>0</v>
      </c>
      <c r="U25" s="224">
        <f>-U$18*SUMIF('Annual WLC by Maturity Level '!$E$9:$I$9,U$17,'Annual WLC by Maturity Level '!$E43:$I43)</f>
        <v>0</v>
      </c>
      <c r="V25" s="224">
        <f>-V$18*SUMIF('Annual WLC by Maturity Level '!$E$9:$I$9,V$17,'Annual WLC by Maturity Level '!$E43:$I43)</f>
        <v>0</v>
      </c>
      <c r="W25" s="224">
        <f>-W$18*SUMIF('Annual WLC by Maturity Level '!$E$9:$I$9,W$17,'Annual WLC by Maturity Level '!$E43:$I43)</f>
        <v>0</v>
      </c>
      <c r="X25" s="224">
        <f>-X$18*SUMIF('Annual WLC by Maturity Level '!$E$9:$I$9,X$17,'Annual WLC by Maturity Level '!$E43:$I43)</f>
        <v>0</v>
      </c>
      <c r="Y25" s="224">
        <f>-Y$18*SUMIF('Annual WLC by Maturity Level '!$E$9:$I$9,Y$17,'Annual WLC by Maturity Level '!$E43:$I43)</f>
        <v>0</v>
      </c>
      <c r="Z25" s="224">
        <f>-Z$18*SUMIF('Annual WLC by Maturity Level '!$E$9:$I$9,Z$17,'Annual WLC by Maturity Level '!$E43:$I43)</f>
        <v>0</v>
      </c>
      <c r="AA25" s="224">
        <f>-AA$18*SUMIF('Annual WLC by Maturity Level '!$E$9:$I$9,AA$17,'Annual WLC by Maturity Level '!$E43:$I43)</f>
        <v>0</v>
      </c>
    </row>
    <row r="26" spans="1:27" s="225" customFormat="1">
      <c r="A26" s="223" t="str">
        <f>'Asset Info'!$F$10</f>
        <v>RSSB</v>
      </c>
      <c r="B26" s="224">
        <f ca="1">-B$18*SUMIF('Annual WLC by Maturity Level '!$E$9:$I$9,B$17,'Annual WLC by Maturity Level '!$E44:$I44)</f>
        <v>-10500</v>
      </c>
      <c r="C26" s="224">
        <f ca="1">-C$18*SUMIF('Annual WLC by Maturity Level '!$E$9:$I$9,C$17,'Annual WLC by Maturity Level '!$E44:$I44)</f>
        <v>-10500</v>
      </c>
      <c r="D26" s="224">
        <f ca="1">-D$18*SUMIF('Annual WLC by Maturity Level '!$E$9:$I$9,D$17,'Annual WLC by Maturity Level '!$E44:$I44)</f>
        <v>-7350</v>
      </c>
      <c r="E26" s="224">
        <f ca="1">-E$18*SUMIF('Annual WLC by Maturity Level '!$E$9:$I$9,E$17,'Annual WLC by Maturity Level '!$E44:$I44)</f>
        <v>-7350</v>
      </c>
      <c r="F26" s="224">
        <f ca="1">-F$18*SUMIF('Annual WLC by Maturity Level '!$E$9:$I$9,F$17,'Annual WLC by Maturity Level '!$E44:$I44)</f>
        <v>-2400</v>
      </c>
      <c r="G26" s="224">
        <f ca="1">-G$18*SUMIF('Annual WLC by Maturity Level '!$E$9:$I$9,G$17,'Annual WLC by Maturity Level '!$E44:$I44)</f>
        <v>-2400</v>
      </c>
      <c r="H26" s="224">
        <f>-H$18*SUMIF('Annual WLC by Maturity Level '!$E$9:$I$9,H$17,'Annual WLC by Maturity Level '!$E44:$I44)</f>
        <v>0</v>
      </c>
      <c r="I26" s="224">
        <f>-I$18*SUMIF('Annual WLC by Maturity Level '!$E$9:$I$9,I$17,'Annual WLC by Maturity Level '!$E44:$I44)</f>
        <v>0</v>
      </c>
      <c r="J26" s="224">
        <f>-J$18*SUMIF('Annual WLC by Maturity Level '!$E$9:$I$9,J$17,'Annual WLC by Maturity Level '!$E44:$I44)</f>
        <v>0</v>
      </c>
      <c r="K26" s="224">
        <f>-K$18*SUMIF('Annual WLC by Maturity Level '!$E$9:$I$9,K$17,'Annual WLC by Maturity Level '!$E44:$I44)</f>
        <v>0</v>
      </c>
      <c r="L26" s="224">
        <f>-L$18*SUMIF('Annual WLC by Maturity Level '!$E$9:$I$9,L$17,'Annual WLC by Maturity Level '!$E44:$I44)</f>
        <v>0</v>
      </c>
      <c r="M26" s="224">
        <f>-M$18*SUMIF('Annual WLC by Maturity Level '!$E$9:$I$9,M$17,'Annual WLC by Maturity Level '!$E44:$I44)</f>
        <v>0</v>
      </c>
      <c r="N26" s="224">
        <f>-N$18*SUMIF('Annual WLC by Maturity Level '!$E$9:$I$9,N$17,'Annual WLC by Maturity Level '!$E44:$I44)</f>
        <v>0</v>
      </c>
      <c r="O26" s="224">
        <f>-O$18*SUMIF('Annual WLC by Maturity Level '!$E$9:$I$9,O$17,'Annual WLC by Maturity Level '!$E44:$I44)</f>
        <v>0</v>
      </c>
      <c r="P26" s="224">
        <f>-P$18*SUMIF('Annual WLC by Maturity Level '!$E$9:$I$9,P$17,'Annual WLC by Maturity Level '!$E44:$I44)</f>
        <v>0</v>
      </c>
      <c r="Q26" s="224">
        <f>-Q$18*SUMIF('Annual WLC by Maturity Level '!$E$9:$I$9,Q$17,'Annual WLC by Maturity Level '!$E44:$I44)</f>
        <v>0</v>
      </c>
      <c r="R26" s="224">
        <f>-R$18*SUMIF('Annual WLC by Maturity Level '!$E$9:$I$9,R$17,'Annual WLC by Maturity Level '!$E44:$I44)</f>
        <v>0</v>
      </c>
      <c r="S26" s="224">
        <f>-S$18*SUMIF('Annual WLC by Maturity Level '!$E$9:$I$9,S$17,'Annual WLC by Maturity Level '!$E44:$I44)</f>
        <v>0</v>
      </c>
      <c r="T26" s="224">
        <f>-T$18*SUMIF('Annual WLC by Maturity Level '!$E$9:$I$9,T$17,'Annual WLC by Maturity Level '!$E44:$I44)</f>
        <v>0</v>
      </c>
      <c r="U26" s="224">
        <f>-U$18*SUMIF('Annual WLC by Maturity Level '!$E$9:$I$9,U$17,'Annual WLC by Maturity Level '!$E44:$I44)</f>
        <v>0</v>
      </c>
      <c r="V26" s="224">
        <f>-V$18*SUMIF('Annual WLC by Maturity Level '!$E$9:$I$9,V$17,'Annual WLC by Maturity Level '!$E44:$I44)</f>
        <v>0</v>
      </c>
      <c r="W26" s="224">
        <f>-W$18*SUMIF('Annual WLC by Maturity Level '!$E$9:$I$9,W$17,'Annual WLC by Maturity Level '!$E44:$I44)</f>
        <v>0</v>
      </c>
      <c r="X26" s="224">
        <f>-X$18*SUMIF('Annual WLC by Maturity Level '!$E$9:$I$9,X$17,'Annual WLC by Maturity Level '!$E44:$I44)</f>
        <v>0</v>
      </c>
      <c r="Y26" s="224">
        <f>-Y$18*SUMIF('Annual WLC by Maturity Level '!$E$9:$I$9,Y$17,'Annual WLC by Maturity Level '!$E44:$I44)</f>
        <v>0</v>
      </c>
      <c r="Z26" s="224">
        <f>-Z$18*SUMIF('Annual WLC by Maturity Level '!$E$9:$I$9,Z$17,'Annual WLC by Maturity Level '!$E44:$I44)</f>
        <v>0</v>
      </c>
      <c r="AA26" s="224">
        <f>-AA$18*SUMIF('Annual WLC by Maturity Level '!$E$9:$I$9,AA$17,'Annual WLC by Maturity Level '!$E44:$I44)</f>
        <v>0</v>
      </c>
    </row>
    <row r="27" spans="1:27" s="53" customFormat="1">
      <c r="A27" s="150" t="s">
        <v>178</v>
      </c>
      <c r="B27" s="149">
        <f ca="1">1/(1+'Financial Data'!$C$8)^B14*B22</f>
        <v>-35000</v>
      </c>
      <c r="C27" s="149">
        <f ca="1">1/(1+'Financial Data'!$C$8)^C14*C22</f>
        <v>-33816.425120772947</v>
      </c>
      <c r="D27" s="149">
        <f ca="1">1/(1+'Financial Data'!$C$8)^D14*D22</f>
        <v>-22871.012158976875</v>
      </c>
      <c r="E27" s="149">
        <f ca="1">1/(1+'Financial Data'!$C$8)^E14*E22</f>
        <v>-22097.596288866549</v>
      </c>
      <c r="F27" s="149">
        <f ca="1">1/(1+'Financial Data'!$C$8)^F14*F22</f>
        <v>-6971.5378215885794</v>
      </c>
      <c r="G27" s="149">
        <f ca="1">1/(1+'Financial Data'!$C$8)^G14*G22</f>
        <v>-6735.7853348681938</v>
      </c>
      <c r="H27" s="149">
        <f>1/(1+'Financial Data'!$C$8)^H14*H22</f>
        <v>0</v>
      </c>
      <c r="I27" s="149">
        <f>1/(1+'Financial Data'!$C$8)^I14*I22</f>
        <v>0</v>
      </c>
      <c r="J27" s="149">
        <f>1/(1+'Financial Data'!$C$8)^J14*J22</f>
        <v>0</v>
      </c>
      <c r="K27" s="149">
        <f>1/(1+'Financial Data'!$C$8)^K14*K22</f>
        <v>0</v>
      </c>
      <c r="L27" s="149">
        <f>1/(1+'Financial Data'!$C$8)^L14*L22</f>
        <v>0</v>
      </c>
      <c r="M27" s="149">
        <f>1/(1+'Financial Data'!$C$8)^M14*M22</f>
        <v>0</v>
      </c>
      <c r="N27" s="149">
        <f>1/(1+'Financial Data'!$C$8)^N14*N22</f>
        <v>0</v>
      </c>
      <c r="O27" s="149">
        <f>1/(1+'Financial Data'!$C$8)^O14*O22</f>
        <v>0</v>
      </c>
      <c r="P27" s="149">
        <f>1/(1+'Financial Data'!$C$8)^P14*P22</f>
        <v>0</v>
      </c>
      <c r="Q27" s="149">
        <f>1/(1+'Financial Data'!$C$8)^Q14*Q22</f>
        <v>0</v>
      </c>
      <c r="R27" s="149">
        <f>1/(1+'Financial Data'!$C$8)^R14*R22</f>
        <v>0</v>
      </c>
      <c r="S27" s="149">
        <f>1/(1+'Financial Data'!$C$8)^S14*S22</f>
        <v>0</v>
      </c>
      <c r="T27" s="149">
        <f>1/(1+'Financial Data'!$C$8)^T14*T22</f>
        <v>0</v>
      </c>
      <c r="U27" s="149">
        <f>1/(1+'Financial Data'!$C$8)^U14*U22</f>
        <v>0</v>
      </c>
      <c r="V27" s="149">
        <f>1/(1+'Financial Data'!$C$8)^V14*V22</f>
        <v>0</v>
      </c>
      <c r="W27" s="149">
        <f>1/(1+'Financial Data'!$C$8)^W14*W22</f>
        <v>0</v>
      </c>
      <c r="X27" s="149">
        <f>1/(1+'Financial Data'!$C$8)^X14*X22</f>
        <v>0</v>
      </c>
      <c r="Y27" s="149">
        <f>1/(1+'Financial Data'!$C$8)^Y14*Y22</f>
        <v>0</v>
      </c>
      <c r="Z27" s="149">
        <f>1/(1+'Financial Data'!$C$8)^Z14*Z22</f>
        <v>0</v>
      </c>
      <c r="AA27" s="149">
        <f>1/(1+'Financial Data'!$C$8)^AA14*AA22</f>
        <v>0</v>
      </c>
    </row>
    <row r="28" spans="1:27" s="225" customFormat="1">
      <c r="A28" s="223" t="str">
        <f>'Asset Info'!$C$10</f>
        <v>Crossrail</v>
      </c>
      <c r="B28" s="224">
        <f ca="1">-B$18*SUMIF('Annual WLC by Maturity Level '!$E$9:$I$9,B$17,'Annual WLC by Maturity Level '!$E41:$I41)</f>
        <v>0</v>
      </c>
      <c r="C28" s="224">
        <f ca="1">1/(1+'Financial Data'!$C$8)^C$14*C23</f>
        <v>0</v>
      </c>
      <c r="D28" s="224">
        <f ca="1">1/(1+'Financial Data'!$C$8)^D$14*D23</f>
        <v>0</v>
      </c>
      <c r="E28" s="224">
        <f ca="1">1/(1+'Financial Data'!$C$8)^E$14*E23</f>
        <v>0</v>
      </c>
      <c r="F28" s="224">
        <f ca="1">1/(1+'Financial Data'!$C$8)^F$14*F23</f>
        <v>0</v>
      </c>
      <c r="G28" s="224">
        <f ca="1">1/(1+'Financial Data'!$C$8)^G$14*G23</f>
        <v>0</v>
      </c>
      <c r="H28" s="224">
        <f>1/(1+'Financial Data'!$C$8)^H$14*H23</f>
        <v>0</v>
      </c>
      <c r="I28" s="224">
        <f>1/(1+'Financial Data'!$C$8)^I$14*I23</f>
        <v>0</v>
      </c>
      <c r="J28" s="224">
        <f>1/(1+'Financial Data'!$C$8)^J$14*J23</f>
        <v>0</v>
      </c>
      <c r="K28" s="224">
        <f>1/(1+'Financial Data'!$C$8)^K$14*K23</f>
        <v>0</v>
      </c>
      <c r="L28" s="224">
        <f>1/(1+'Financial Data'!$C$8)^L$14*L23</f>
        <v>0</v>
      </c>
      <c r="M28" s="224">
        <f>1/(1+'Financial Data'!$C$8)^M$14*M23</f>
        <v>0</v>
      </c>
      <c r="N28" s="224">
        <f>1/(1+'Financial Data'!$C$8)^N$14*N23</f>
        <v>0</v>
      </c>
      <c r="O28" s="224">
        <f>1/(1+'Financial Data'!$C$8)^O$14*O23</f>
        <v>0</v>
      </c>
      <c r="P28" s="224">
        <f>1/(1+'Financial Data'!$C$8)^P$14*P23</f>
        <v>0</v>
      </c>
      <c r="Q28" s="224">
        <f>1/(1+'Financial Data'!$C$8)^Q$14*Q23</f>
        <v>0</v>
      </c>
      <c r="R28" s="224">
        <f>1/(1+'Financial Data'!$C$8)^R$14*R23</f>
        <v>0</v>
      </c>
      <c r="S28" s="224">
        <f>1/(1+'Financial Data'!$C$8)^S$14*S23</f>
        <v>0</v>
      </c>
      <c r="T28" s="224">
        <f>1/(1+'Financial Data'!$C$8)^T$14*T23</f>
        <v>0</v>
      </c>
      <c r="U28" s="224">
        <f>1/(1+'Financial Data'!$C$8)^U$14*U23</f>
        <v>0</v>
      </c>
      <c r="V28" s="224">
        <f>1/(1+'Financial Data'!$C$8)^V$14*V23</f>
        <v>0</v>
      </c>
      <c r="W28" s="224">
        <f>1/(1+'Financial Data'!$C$8)^W$14*W23</f>
        <v>0</v>
      </c>
      <c r="X28" s="224">
        <f>1/(1+'Financial Data'!$C$8)^X$14*X23</f>
        <v>0</v>
      </c>
      <c r="Y28" s="224">
        <f>1/(1+'Financial Data'!$C$8)^Y$14*Y23</f>
        <v>0</v>
      </c>
      <c r="Z28" s="224">
        <f>1/(1+'Financial Data'!$C$8)^Z$14*Z23</f>
        <v>0</v>
      </c>
      <c r="AA28" s="224">
        <f>1/(1+'Financial Data'!$C$8)^AA$14*AA23</f>
        <v>0</v>
      </c>
    </row>
    <row r="29" spans="1:27" s="225" customFormat="1">
      <c r="A29" s="223" t="str">
        <f>'Asset Info'!$D$10</f>
        <v>NR Western</v>
      </c>
      <c r="B29" s="224">
        <f ca="1">-B$18*SUMIF('Annual WLC by Maturity Level '!$E$9:$I$9,B$17,'Annual WLC by Maturity Level '!$E42:$I42)</f>
        <v>-24500</v>
      </c>
      <c r="C29" s="224">
        <f ca="1">1/(1+'Financial Data'!$C$8)^C$14*C24</f>
        <v>-23671.497584541066</v>
      </c>
      <c r="D29" s="224">
        <f ca="1">1/(1+'Financial Data'!$C$8)^D$14*D24</f>
        <v>-16009.708511283812</v>
      </c>
      <c r="E29" s="224">
        <f ca="1">1/(1+'Financial Data'!$C$8)^E$14*E24</f>
        <v>-15468.317402206583</v>
      </c>
      <c r="F29" s="224">
        <f ca="1">1/(1+'Financial Data'!$C$8)^F$14*F24</f>
        <v>-4880.076475112005</v>
      </c>
      <c r="G29" s="224">
        <f ca="1">1/(1+'Financial Data'!$C$8)^G$14*G24</f>
        <v>-4715.0497344077357</v>
      </c>
      <c r="H29" s="224">
        <f>1/(1+'Financial Data'!$C$8)^H$14*H24</f>
        <v>0</v>
      </c>
      <c r="I29" s="224">
        <f>1/(1+'Financial Data'!$C$8)^I$14*I24</f>
        <v>0</v>
      </c>
      <c r="J29" s="224">
        <f>1/(1+'Financial Data'!$C$8)^J$14*J24</f>
        <v>0</v>
      </c>
      <c r="K29" s="224">
        <f>1/(1+'Financial Data'!$C$8)^K$14*K24</f>
        <v>0</v>
      </c>
      <c r="L29" s="224">
        <f>1/(1+'Financial Data'!$C$8)^L$14*L24</f>
        <v>0</v>
      </c>
      <c r="M29" s="224">
        <f>1/(1+'Financial Data'!$C$8)^M$14*M24</f>
        <v>0</v>
      </c>
      <c r="N29" s="224">
        <f>1/(1+'Financial Data'!$C$8)^N$14*N24</f>
        <v>0</v>
      </c>
      <c r="O29" s="224">
        <f>1/(1+'Financial Data'!$C$8)^O$14*O24</f>
        <v>0</v>
      </c>
      <c r="P29" s="224">
        <f>1/(1+'Financial Data'!$C$8)^P$14*P24</f>
        <v>0</v>
      </c>
      <c r="Q29" s="224">
        <f>1/(1+'Financial Data'!$C$8)^Q$14*Q24</f>
        <v>0</v>
      </c>
      <c r="R29" s="224">
        <f>1/(1+'Financial Data'!$C$8)^R$14*R24</f>
        <v>0</v>
      </c>
      <c r="S29" s="224">
        <f>1/(1+'Financial Data'!$C$8)^S$14*S24</f>
        <v>0</v>
      </c>
      <c r="T29" s="224">
        <f>1/(1+'Financial Data'!$C$8)^T$14*T24</f>
        <v>0</v>
      </c>
      <c r="U29" s="224">
        <f>1/(1+'Financial Data'!$C$8)^U$14*U24</f>
        <v>0</v>
      </c>
      <c r="V29" s="224">
        <f>1/(1+'Financial Data'!$C$8)^V$14*V24</f>
        <v>0</v>
      </c>
      <c r="W29" s="224">
        <f>1/(1+'Financial Data'!$C$8)^W$14*W24</f>
        <v>0</v>
      </c>
      <c r="X29" s="224">
        <f>1/(1+'Financial Data'!$C$8)^X$14*X24</f>
        <v>0</v>
      </c>
      <c r="Y29" s="224">
        <f>1/(1+'Financial Data'!$C$8)^Y$14*Y24</f>
        <v>0</v>
      </c>
      <c r="Z29" s="224">
        <f>1/(1+'Financial Data'!$C$8)^Z$14*Z24</f>
        <v>0</v>
      </c>
      <c r="AA29" s="224">
        <f>1/(1+'Financial Data'!$C$8)^AA$14*AA24</f>
        <v>0</v>
      </c>
    </row>
    <row r="30" spans="1:27" s="225" customFormat="1">
      <c r="A30" s="223" t="str">
        <f>'Asset Info'!$E$10</f>
        <v>Balfour Beatty</v>
      </c>
      <c r="B30" s="224">
        <f ca="1">-B$18*SUMIF('Annual WLC by Maturity Level '!$E$9:$I$9,B$17,'Annual WLC by Maturity Level '!$E43:$I43)</f>
        <v>0</v>
      </c>
      <c r="C30" s="224">
        <f ca="1">1/(1+'Financial Data'!$C$8)^C$14*C25</f>
        <v>0</v>
      </c>
      <c r="D30" s="224">
        <f ca="1">1/(1+'Financial Data'!$C$8)^D$14*D25</f>
        <v>0</v>
      </c>
      <c r="E30" s="224">
        <f ca="1">1/(1+'Financial Data'!$C$8)^E$14*E25</f>
        <v>0</v>
      </c>
      <c r="F30" s="224">
        <f ca="1">1/(1+'Financial Data'!$C$8)^F$14*F25</f>
        <v>0</v>
      </c>
      <c r="G30" s="224">
        <f ca="1">1/(1+'Financial Data'!$C$8)^G$14*G25</f>
        <v>0</v>
      </c>
      <c r="H30" s="224">
        <f>1/(1+'Financial Data'!$C$8)^H$14*H25</f>
        <v>0</v>
      </c>
      <c r="I30" s="224">
        <f>1/(1+'Financial Data'!$C$8)^I$14*I25</f>
        <v>0</v>
      </c>
      <c r="J30" s="224">
        <f>1/(1+'Financial Data'!$C$8)^J$14*J25</f>
        <v>0</v>
      </c>
      <c r="K30" s="224">
        <f>1/(1+'Financial Data'!$C$8)^K$14*K25</f>
        <v>0</v>
      </c>
      <c r="L30" s="224">
        <f>1/(1+'Financial Data'!$C$8)^L$14*L25</f>
        <v>0</v>
      </c>
      <c r="M30" s="224">
        <f>1/(1+'Financial Data'!$C$8)^M$14*M25</f>
        <v>0</v>
      </c>
      <c r="N30" s="224">
        <f>1/(1+'Financial Data'!$C$8)^N$14*N25</f>
        <v>0</v>
      </c>
      <c r="O30" s="224">
        <f>1/(1+'Financial Data'!$C$8)^O$14*O25</f>
        <v>0</v>
      </c>
      <c r="P30" s="224">
        <f>1/(1+'Financial Data'!$C$8)^P$14*P25</f>
        <v>0</v>
      </c>
      <c r="Q30" s="224">
        <f>1/(1+'Financial Data'!$C$8)^Q$14*Q25</f>
        <v>0</v>
      </c>
      <c r="R30" s="224">
        <f>1/(1+'Financial Data'!$C$8)^R$14*R25</f>
        <v>0</v>
      </c>
      <c r="S30" s="224">
        <f>1/(1+'Financial Data'!$C$8)^S$14*S25</f>
        <v>0</v>
      </c>
      <c r="T30" s="224">
        <f>1/(1+'Financial Data'!$C$8)^T$14*T25</f>
        <v>0</v>
      </c>
      <c r="U30" s="224">
        <f>1/(1+'Financial Data'!$C$8)^U$14*U25</f>
        <v>0</v>
      </c>
      <c r="V30" s="224">
        <f>1/(1+'Financial Data'!$C$8)^V$14*V25</f>
        <v>0</v>
      </c>
      <c r="W30" s="224">
        <f>1/(1+'Financial Data'!$C$8)^W$14*W25</f>
        <v>0</v>
      </c>
      <c r="X30" s="224">
        <f>1/(1+'Financial Data'!$C$8)^X$14*X25</f>
        <v>0</v>
      </c>
      <c r="Y30" s="224">
        <f>1/(1+'Financial Data'!$C$8)^Y$14*Y25</f>
        <v>0</v>
      </c>
      <c r="Z30" s="224">
        <f>1/(1+'Financial Data'!$C$8)^Z$14*Z25</f>
        <v>0</v>
      </c>
      <c r="AA30" s="224">
        <f>1/(1+'Financial Data'!$C$8)^AA$14*AA25</f>
        <v>0</v>
      </c>
    </row>
    <row r="31" spans="1:27" s="225" customFormat="1">
      <c r="A31" s="223" t="str">
        <f>'Asset Info'!$F$10</f>
        <v>RSSB</v>
      </c>
      <c r="B31" s="224">
        <f ca="1">-B$18*SUMIF('Annual WLC by Maturity Level '!$E$9:$I$9,B$17,'Annual WLC by Maturity Level '!$E44:$I44)</f>
        <v>-10500</v>
      </c>
      <c r="C31" s="224">
        <f ca="1">1/(1+'Financial Data'!$C$8)^C$14*C26</f>
        <v>-10144.927536231884</v>
      </c>
      <c r="D31" s="224">
        <f ca="1">1/(1+'Financial Data'!$C$8)^D$14*D26</f>
        <v>-6861.303647693062</v>
      </c>
      <c r="E31" s="224">
        <f ca="1">1/(1+'Financial Data'!$C$8)^E$14*E26</f>
        <v>-6629.278886659964</v>
      </c>
      <c r="F31" s="224">
        <f ca="1">1/(1+'Financial Data'!$C$8)^F$14*F26</f>
        <v>-2091.4613464765739</v>
      </c>
      <c r="G31" s="224">
        <f ca="1">1/(1+'Financial Data'!$C$8)^G$14*G26</f>
        <v>-2020.735600460458</v>
      </c>
      <c r="H31" s="224">
        <f>1/(1+'Financial Data'!$C$8)^H$14*H26</f>
        <v>0</v>
      </c>
      <c r="I31" s="224">
        <f>1/(1+'Financial Data'!$C$8)^I$14*I26</f>
        <v>0</v>
      </c>
      <c r="J31" s="224">
        <f>1/(1+'Financial Data'!$C$8)^J$14*J26</f>
        <v>0</v>
      </c>
      <c r="K31" s="224">
        <f>1/(1+'Financial Data'!$C$8)^K$14*K26</f>
        <v>0</v>
      </c>
      <c r="L31" s="224">
        <f>1/(1+'Financial Data'!$C$8)^L$14*L26</f>
        <v>0</v>
      </c>
      <c r="M31" s="224">
        <f>1/(1+'Financial Data'!$C$8)^M$14*M26</f>
        <v>0</v>
      </c>
      <c r="N31" s="224">
        <f>1/(1+'Financial Data'!$C$8)^N$14*N26</f>
        <v>0</v>
      </c>
      <c r="O31" s="224">
        <f>1/(1+'Financial Data'!$C$8)^O$14*O26</f>
        <v>0</v>
      </c>
      <c r="P31" s="224">
        <f>1/(1+'Financial Data'!$C$8)^P$14*P26</f>
        <v>0</v>
      </c>
      <c r="Q31" s="224">
        <f>1/(1+'Financial Data'!$C$8)^Q$14*Q26</f>
        <v>0</v>
      </c>
      <c r="R31" s="224">
        <f>1/(1+'Financial Data'!$C$8)^R$14*R26</f>
        <v>0</v>
      </c>
      <c r="S31" s="224">
        <f>1/(1+'Financial Data'!$C$8)^S$14*S26</f>
        <v>0</v>
      </c>
      <c r="T31" s="224">
        <f>1/(1+'Financial Data'!$C$8)^T$14*T26</f>
        <v>0</v>
      </c>
      <c r="U31" s="224">
        <f>1/(1+'Financial Data'!$C$8)^U$14*U26</f>
        <v>0</v>
      </c>
      <c r="V31" s="224">
        <f>1/(1+'Financial Data'!$C$8)^V$14*V26</f>
        <v>0</v>
      </c>
      <c r="W31" s="224">
        <f>1/(1+'Financial Data'!$C$8)^W$14*W26</f>
        <v>0</v>
      </c>
      <c r="X31" s="224">
        <f>1/(1+'Financial Data'!$C$8)^X$14*X26</f>
        <v>0</v>
      </c>
      <c r="Y31" s="224">
        <f>1/(1+'Financial Data'!$C$8)^Y$14*Y26</f>
        <v>0</v>
      </c>
      <c r="Z31" s="224">
        <f>1/(1+'Financial Data'!$C$8)^Z$14*Z26</f>
        <v>0</v>
      </c>
      <c r="AA31" s="224">
        <f>1/(1+'Financial Data'!$C$8)^AA$14*AA26</f>
        <v>0</v>
      </c>
    </row>
    <row r="32" spans="1:27">
      <c r="A32" s="22"/>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s="53" customFormat="1">
      <c r="A33" s="151" t="s">
        <v>143</v>
      </c>
      <c r="B33" s="149">
        <f ca="1">-'Annual WLC by Maturity Level '!$C$34
+B18*INDEX('Annual WLC by Maturity Level '!$E$84:$I$84,MATCH(B17,'Annual WLC by Maturity Level '!$E$9:$I$9,FALSE))</f>
        <v>-9947253.459999999</v>
      </c>
      <c r="C33" s="149">
        <f ca="1">B33
+C18*INDEX('Annual WLC by Maturity Level '!$E$84:$I$84,MATCH(C17,'Annual WLC by Maturity Level '!$E$9:$I$9,FALSE))</f>
        <v>-9945144.5699999984</v>
      </c>
      <c r="D33" s="149">
        <f ca="1">C33
+D18*INDEX('Annual WLC by Maturity Level '!$E$84:$I$84,MATCH(D17,'Annual WLC by Maturity Level '!$E$9:$I$9,FALSE))</f>
        <v>-9850229.2359999977</v>
      </c>
      <c r="E33" s="149">
        <f ca="1">D33
+E18*INDEX('Annual WLC by Maturity Level '!$E$84:$I$84,MATCH(E17,'Annual WLC by Maturity Level '!$E$9:$I$9,FALSE))</f>
        <v>-9755313.901999997</v>
      </c>
      <c r="F33" s="149">
        <f ca="1">E33
+F18*INDEX('Annual WLC by Maturity Level '!$E$84:$I$84,MATCH(F17,'Annual WLC by Maturity Level '!$E$9:$I$9,FALSE))</f>
        <v>-9702198.5679999962</v>
      </c>
      <c r="G33" s="149">
        <f ca="1">F33
+G18*INDEX('Annual WLC by Maturity Level '!$E$84:$I$84,MATCH(G17,'Annual WLC by Maturity Level '!$E$9:$I$9,FALSE))</f>
        <v>-9649083.2339999955</v>
      </c>
      <c r="H33" s="149">
        <f ca="1">G33
+H18*INDEX('Annual WLC by Maturity Level '!$E$84:$I$84,MATCH(H17,'Annual WLC by Maturity Level '!$E$9:$I$9,FALSE))</f>
        <v>-9649083.2339999955</v>
      </c>
      <c r="I33" s="149">
        <f ca="1">H33
+I18*INDEX('Annual WLC by Maturity Level '!$E$84:$I$84,MATCH(I17,'Annual WLC by Maturity Level '!$E$9:$I$9,FALSE))</f>
        <v>-9649083.2339999955</v>
      </c>
      <c r="J33" s="149">
        <f ca="1">I33
+J18*INDEX('Annual WLC by Maturity Level '!$E$84:$I$84,MATCH(J17,'Annual WLC by Maturity Level '!$E$9:$I$9,FALSE))</f>
        <v>-9649083.2339999955</v>
      </c>
      <c r="K33" s="149">
        <f ca="1">J33
+K18*INDEX('Annual WLC by Maturity Level '!$E$84:$I$84,MATCH(K17,'Annual WLC by Maturity Level '!$E$9:$I$9,FALSE))</f>
        <v>-9649083.2339999955</v>
      </c>
      <c r="L33" s="149">
        <f ca="1">K33
+L18*INDEX('Annual WLC by Maturity Level '!$E$84:$I$84,MATCH(L17,'Annual WLC by Maturity Level '!$E$9:$I$9,FALSE))</f>
        <v>-9649083.2339999955</v>
      </c>
      <c r="M33" s="149">
        <f ca="1">L33
+M18*INDEX('Annual WLC by Maturity Level '!$E$84:$I$84,MATCH(M17,'Annual WLC by Maturity Level '!$E$9:$I$9,FALSE))</f>
        <v>-9649083.2339999955</v>
      </c>
      <c r="N33" s="149">
        <f ca="1">M33
+N18*INDEX('Annual WLC by Maturity Level '!$E$84:$I$84,MATCH(N17,'Annual WLC by Maturity Level '!$E$9:$I$9,FALSE))</f>
        <v>-9649083.2339999955</v>
      </c>
      <c r="O33" s="149">
        <f ca="1">N33
+O18*INDEX('Annual WLC by Maturity Level '!$E$84:$I$84,MATCH(O17,'Annual WLC by Maturity Level '!$E$9:$I$9,FALSE))</f>
        <v>-9649083.2339999955</v>
      </c>
      <c r="P33" s="149">
        <f ca="1">O33
+P18*INDEX('Annual WLC by Maturity Level '!$E$84:$I$84,MATCH(P17,'Annual WLC by Maturity Level '!$E$9:$I$9,FALSE))</f>
        <v>-9649083.2339999955</v>
      </c>
      <c r="Q33" s="149">
        <f ca="1">P33
+Q18*INDEX('Annual WLC by Maturity Level '!$E$84:$I$84,MATCH(Q17,'Annual WLC by Maturity Level '!$E$9:$I$9,FALSE))</f>
        <v>-9649083.2339999955</v>
      </c>
      <c r="R33" s="149">
        <f ca="1">Q33
+R18*INDEX('Annual WLC by Maturity Level '!$E$84:$I$84,MATCH(R17,'Annual WLC by Maturity Level '!$E$9:$I$9,FALSE))</f>
        <v>-9649083.2339999955</v>
      </c>
      <c r="S33" s="149">
        <f ca="1">R33
+S18*INDEX('Annual WLC by Maturity Level '!$E$84:$I$84,MATCH(S17,'Annual WLC by Maturity Level '!$E$9:$I$9,FALSE))</f>
        <v>-9649083.2339999955</v>
      </c>
      <c r="T33" s="149">
        <f ca="1">S33
+T18*INDEX('Annual WLC by Maturity Level '!$E$84:$I$84,MATCH(T17,'Annual WLC by Maturity Level '!$E$9:$I$9,FALSE))</f>
        <v>-9649083.2339999955</v>
      </c>
      <c r="U33" s="149">
        <f ca="1">T33
+U18*INDEX('Annual WLC by Maturity Level '!$E$84:$I$84,MATCH(U17,'Annual WLC by Maturity Level '!$E$9:$I$9,FALSE))</f>
        <v>-9649083.2339999955</v>
      </c>
      <c r="V33" s="149">
        <f ca="1">U33
+V18*INDEX('Annual WLC by Maturity Level '!$E$84:$I$84,MATCH(V17,'Annual WLC by Maturity Level '!$E$9:$I$9,FALSE))</f>
        <v>-9649083.2339999955</v>
      </c>
      <c r="W33" s="149">
        <f ca="1">V33
+W18*INDEX('Annual WLC by Maturity Level '!$E$84:$I$84,MATCH(W17,'Annual WLC by Maturity Level '!$E$9:$I$9,FALSE))</f>
        <v>-9649083.2339999955</v>
      </c>
      <c r="X33" s="149">
        <f ca="1">W33
+X18*INDEX('Annual WLC by Maturity Level '!$E$84:$I$84,MATCH(X17,'Annual WLC by Maturity Level '!$E$9:$I$9,FALSE))</f>
        <v>-9649083.2339999955</v>
      </c>
      <c r="Y33" s="149">
        <f ca="1">X33
+Y18*INDEX('Annual WLC by Maturity Level '!$E$84:$I$84,MATCH(Y17,'Annual WLC by Maturity Level '!$E$9:$I$9,FALSE))</f>
        <v>-9649083.2339999955</v>
      </c>
      <c r="Z33" s="149">
        <f ca="1">Y33
+Z18*INDEX('Annual WLC by Maturity Level '!$E$84:$I$84,MATCH(Z17,'Annual WLC by Maturity Level '!$E$9:$I$9,FALSE))</f>
        <v>-9649083.2339999955</v>
      </c>
      <c r="AA33" s="149">
        <f ca="1">Z33
+AA18*INDEX('Annual WLC by Maturity Level '!$E$84:$I$84,MATCH(AA17,'Annual WLC by Maturity Level '!$E$9:$I$9,FALSE))</f>
        <v>-9649083.2339999955</v>
      </c>
    </row>
    <row r="34" spans="1:27" s="225" customFormat="1">
      <c r="A34" s="223" t="str">
        <f>'Asset Info'!$C$10</f>
        <v>Crossrail</v>
      </c>
      <c r="B34" s="224">
        <f ca="1">-'Annual WLC by Maturity Level '!$C35
+B$18*INDEX('Annual WLC by Maturity Level '!$E85:$I85,MATCH(B$17,'Annual WLC by Maturity Level '!$E$9:$I$9,FALSE))</f>
        <v>-68256.75</v>
      </c>
      <c r="C34" s="224">
        <f ca="1">B34
+C$18*INDEX('Annual WLC by Maturity Level '!$E85:$I85,MATCH(C$17,'Annual WLC by Maturity Level '!$E$9:$I$9,FALSE))</f>
        <v>-66506.75</v>
      </c>
      <c r="D34" s="224">
        <f ca="1">C34
+D$18*INDEX('Annual WLC by Maturity Level '!$E85:$I85,MATCH(D$17,'Annual WLC by Maturity Level '!$E$9:$I$9,FALSE))</f>
        <v>-65456.75</v>
      </c>
      <c r="E34" s="224">
        <f ca="1">D34
+E$18*INDEX('Annual WLC by Maturity Level '!$E85:$I85,MATCH(E$17,'Annual WLC by Maturity Level '!$E$9:$I$9,FALSE))</f>
        <v>-64406.75</v>
      </c>
      <c r="F34" s="224">
        <f ca="1">E34
+F$18*INDEX('Annual WLC by Maturity Level '!$E85:$I85,MATCH(F$17,'Annual WLC by Maturity Level '!$E$9:$I$9,FALSE))</f>
        <v>-63356.75</v>
      </c>
      <c r="G34" s="224">
        <f ca="1">F34
+G$18*INDEX('Annual WLC by Maturity Level '!$E85:$I85,MATCH(G$17,'Annual WLC by Maturity Level '!$E$9:$I$9,FALSE))</f>
        <v>-62306.75</v>
      </c>
      <c r="H34" s="224">
        <f ca="1">G34
+H$18*INDEX('Annual WLC by Maturity Level '!$E85:$I85,MATCH(H$17,'Annual WLC by Maturity Level '!$E$9:$I$9,FALSE))</f>
        <v>-62306.75</v>
      </c>
      <c r="I34" s="224">
        <f ca="1">H34
+I$18*INDEX('Annual WLC by Maturity Level '!$E85:$I85,MATCH(I$17,'Annual WLC by Maturity Level '!$E$9:$I$9,FALSE))</f>
        <v>-62306.75</v>
      </c>
      <c r="J34" s="224">
        <f ca="1">I34
+J$18*INDEX('Annual WLC by Maturity Level '!$E85:$I85,MATCH(J$17,'Annual WLC by Maturity Level '!$E$9:$I$9,FALSE))</f>
        <v>-62306.75</v>
      </c>
      <c r="K34" s="224">
        <f ca="1">J34
+K$18*INDEX('Annual WLC by Maturity Level '!$E85:$I85,MATCH(K$17,'Annual WLC by Maturity Level '!$E$9:$I$9,FALSE))</f>
        <v>-62306.75</v>
      </c>
      <c r="L34" s="224">
        <f ca="1">K34
+L$18*INDEX('Annual WLC by Maturity Level '!$E85:$I85,MATCH(L$17,'Annual WLC by Maturity Level '!$E$9:$I$9,FALSE))</f>
        <v>-62306.75</v>
      </c>
      <c r="M34" s="224">
        <f ca="1">L34
+M$18*INDEX('Annual WLC by Maturity Level '!$E85:$I85,MATCH(M$17,'Annual WLC by Maturity Level '!$E$9:$I$9,FALSE))</f>
        <v>-62306.75</v>
      </c>
      <c r="N34" s="224">
        <f ca="1">M34
+N$18*INDEX('Annual WLC by Maturity Level '!$E85:$I85,MATCH(N$17,'Annual WLC by Maturity Level '!$E$9:$I$9,FALSE))</f>
        <v>-62306.75</v>
      </c>
      <c r="O34" s="224">
        <f ca="1">N34
+O$18*INDEX('Annual WLC by Maturity Level '!$E85:$I85,MATCH(O$17,'Annual WLC by Maturity Level '!$E$9:$I$9,FALSE))</f>
        <v>-62306.75</v>
      </c>
      <c r="P34" s="224">
        <f ca="1">O34
+P$18*INDEX('Annual WLC by Maturity Level '!$E85:$I85,MATCH(P$17,'Annual WLC by Maturity Level '!$E$9:$I$9,FALSE))</f>
        <v>-62306.75</v>
      </c>
      <c r="Q34" s="224">
        <f ca="1">P34
+Q$18*INDEX('Annual WLC by Maturity Level '!$E85:$I85,MATCH(Q$17,'Annual WLC by Maturity Level '!$E$9:$I$9,FALSE))</f>
        <v>-62306.75</v>
      </c>
      <c r="R34" s="224">
        <f ca="1">Q34
+R$18*INDEX('Annual WLC by Maturity Level '!$E85:$I85,MATCH(R$17,'Annual WLC by Maturity Level '!$E$9:$I$9,FALSE))</f>
        <v>-62306.75</v>
      </c>
      <c r="S34" s="224">
        <f ca="1">R34
+S$18*INDEX('Annual WLC by Maturity Level '!$E85:$I85,MATCH(S$17,'Annual WLC by Maturity Level '!$E$9:$I$9,FALSE))</f>
        <v>-62306.75</v>
      </c>
      <c r="T34" s="224">
        <f ca="1">S34
+T$18*INDEX('Annual WLC by Maturity Level '!$E85:$I85,MATCH(T$17,'Annual WLC by Maturity Level '!$E$9:$I$9,FALSE))</f>
        <v>-62306.75</v>
      </c>
      <c r="U34" s="224">
        <f ca="1">T34
+U$18*INDEX('Annual WLC by Maturity Level '!$E85:$I85,MATCH(U$17,'Annual WLC by Maturity Level '!$E$9:$I$9,FALSE))</f>
        <v>-62306.75</v>
      </c>
      <c r="V34" s="224">
        <f ca="1">U34
+V$18*INDEX('Annual WLC by Maturity Level '!$E85:$I85,MATCH(V$17,'Annual WLC by Maturity Level '!$E$9:$I$9,FALSE))</f>
        <v>-62306.75</v>
      </c>
      <c r="W34" s="224">
        <f ca="1">V34
+W$18*INDEX('Annual WLC by Maturity Level '!$E85:$I85,MATCH(W$17,'Annual WLC by Maturity Level '!$E$9:$I$9,FALSE))</f>
        <v>-62306.75</v>
      </c>
      <c r="X34" s="224">
        <f ca="1">W34
+X$18*INDEX('Annual WLC by Maturity Level '!$E85:$I85,MATCH(X$17,'Annual WLC by Maturity Level '!$E$9:$I$9,FALSE))</f>
        <v>-62306.75</v>
      </c>
      <c r="Y34" s="224">
        <f ca="1">X34
+Y$18*INDEX('Annual WLC by Maturity Level '!$E85:$I85,MATCH(Y$17,'Annual WLC by Maturity Level '!$E$9:$I$9,FALSE))</f>
        <v>-62306.75</v>
      </c>
      <c r="Z34" s="224">
        <f ca="1">Y34
+Z$18*INDEX('Annual WLC by Maturity Level '!$E85:$I85,MATCH(Z$17,'Annual WLC by Maturity Level '!$E$9:$I$9,FALSE))</f>
        <v>-62306.75</v>
      </c>
      <c r="AA34" s="224">
        <f ca="1">Z34
+AA$18*INDEX('Annual WLC by Maturity Level '!$E85:$I85,MATCH(AA$17,'Annual WLC by Maturity Level '!$E$9:$I$9,FALSE))</f>
        <v>-62306.75</v>
      </c>
    </row>
    <row r="35" spans="1:27" s="225" customFormat="1">
      <c r="A35" s="223" t="str">
        <f>'Asset Info'!$D$10</f>
        <v>NR Western</v>
      </c>
      <c r="B35" s="224">
        <f ca="1">-'Annual WLC by Maturity Level '!$C36
+B$18*INDEX('Annual WLC by Maturity Level '!$E86:$I86,MATCH(B$17,'Annual WLC by Maturity Level '!$E$9:$I$9,FALSE))</f>
        <v>-9872746.709999999</v>
      </c>
      <c r="C35" s="224">
        <f ca="1">B35
+C$18*INDEX('Annual WLC by Maturity Level '!$E86:$I86,MATCH(C$17,'Annual WLC by Maturity Level '!$E$9:$I$9,FALSE))</f>
        <v>-9866137.8199999984</v>
      </c>
      <c r="D35" s="224">
        <f ca="1">C35
+D$18*INDEX('Annual WLC by Maturity Level '!$E86:$I86,MATCH(D$17,'Annual WLC by Maturity Level '!$E$9:$I$9,FALSE))</f>
        <v>-9770067.4859999977</v>
      </c>
      <c r="E35" s="224">
        <f ca="1">D35
+E$18*INDEX('Annual WLC by Maturity Level '!$E86:$I86,MATCH(E$17,'Annual WLC by Maturity Level '!$E$9:$I$9,FALSE))</f>
        <v>-9673997.151999997</v>
      </c>
      <c r="F35" s="224">
        <f ca="1">E35
+F$18*INDEX('Annual WLC by Maturity Level '!$E86:$I86,MATCH(F$17,'Annual WLC by Maturity Level '!$E$9:$I$9,FALSE))</f>
        <v>-9621211.8179999962</v>
      </c>
      <c r="G35" s="224">
        <f ca="1">F35
+G$18*INDEX('Annual WLC by Maturity Level '!$E86:$I86,MATCH(G$17,'Annual WLC by Maturity Level '!$E$9:$I$9,FALSE))</f>
        <v>-9568426.4839999955</v>
      </c>
      <c r="H35" s="224">
        <f ca="1">G35
+H$18*INDEX('Annual WLC by Maturity Level '!$E86:$I86,MATCH(H$17,'Annual WLC by Maturity Level '!$E$9:$I$9,FALSE))</f>
        <v>-9568426.4839999955</v>
      </c>
      <c r="I35" s="224">
        <f ca="1">H35
+I$18*INDEX('Annual WLC by Maturity Level '!$E86:$I86,MATCH(I$17,'Annual WLC by Maturity Level '!$E$9:$I$9,FALSE))</f>
        <v>-9568426.4839999955</v>
      </c>
      <c r="J35" s="224">
        <f ca="1">I35
+J$18*INDEX('Annual WLC by Maturity Level '!$E86:$I86,MATCH(J$17,'Annual WLC by Maturity Level '!$E$9:$I$9,FALSE))</f>
        <v>-9568426.4839999955</v>
      </c>
      <c r="K35" s="224">
        <f ca="1">J35
+K$18*INDEX('Annual WLC by Maturity Level '!$E86:$I86,MATCH(K$17,'Annual WLC by Maturity Level '!$E$9:$I$9,FALSE))</f>
        <v>-9568426.4839999955</v>
      </c>
      <c r="L35" s="224">
        <f ca="1">K35
+L$18*INDEX('Annual WLC by Maturity Level '!$E86:$I86,MATCH(L$17,'Annual WLC by Maturity Level '!$E$9:$I$9,FALSE))</f>
        <v>-9568426.4839999955</v>
      </c>
      <c r="M35" s="224">
        <f ca="1">L35
+M$18*INDEX('Annual WLC by Maturity Level '!$E86:$I86,MATCH(M$17,'Annual WLC by Maturity Level '!$E$9:$I$9,FALSE))</f>
        <v>-9568426.4839999955</v>
      </c>
      <c r="N35" s="224">
        <f ca="1">M35
+N$18*INDEX('Annual WLC by Maturity Level '!$E86:$I86,MATCH(N$17,'Annual WLC by Maturity Level '!$E$9:$I$9,FALSE))</f>
        <v>-9568426.4839999955</v>
      </c>
      <c r="O35" s="224">
        <f ca="1">N35
+O$18*INDEX('Annual WLC by Maturity Level '!$E86:$I86,MATCH(O$17,'Annual WLC by Maturity Level '!$E$9:$I$9,FALSE))</f>
        <v>-9568426.4839999955</v>
      </c>
      <c r="P35" s="224">
        <f ca="1">O35
+P$18*INDEX('Annual WLC by Maturity Level '!$E86:$I86,MATCH(P$17,'Annual WLC by Maturity Level '!$E$9:$I$9,FALSE))</f>
        <v>-9568426.4839999955</v>
      </c>
      <c r="Q35" s="224">
        <f ca="1">P35
+Q$18*INDEX('Annual WLC by Maturity Level '!$E86:$I86,MATCH(Q$17,'Annual WLC by Maturity Level '!$E$9:$I$9,FALSE))</f>
        <v>-9568426.4839999955</v>
      </c>
      <c r="R35" s="224">
        <f ca="1">Q35
+R$18*INDEX('Annual WLC by Maturity Level '!$E86:$I86,MATCH(R$17,'Annual WLC by Maturity Level '!$E$9:$I$9,FALSE))</f>
        <v>-9568426.4839999955</v>
      </c>
      <c r="S35" s="224">
        <f ca="1">R35
+S$18*INDEX('Annual WLC by Maturity Level '!$E86:$I86,MATCH(S$17,'Annual WLC by Maturity Level '!$E$9:$I$9,FALSE))</f>
        <v>-9568426.4839999955</v>
      </c>
      <c r="T35" s="224">
        <f ca="1">S35
+T$18*INDEX('Annual WLC by Maturity Level '!$E86:$I86,MATCH(T$17,'Annual WLC by Maturity Level '!$E$9:$I$9,FALSE))</f>
        <v>-9568426.4839999955</v>
      </c>
      <c r="U35" s="224">
        <f ca="1">T35
+U$18*INDEX('Annual WLC by Maturity Level '!$E86:$I86,MATCH(U$17,'Annual WLC by Maturity Level '!$E$9:$I$9,FALSE))</f>
        <v>-9568426.4839999955</v>
      </c>
      <c r="V35" s="224">
        <f ca="1">U35
+V$18*INDEX('Annual WLC by Maturity Level '!$E86:$I86,MATCH(V$17,'Annual WLC by Maturity Level '!$E$9:$I$9,FALSE))</f>
        <v>-9568426.4839999955</v>
      </c>
      <c r="W35" s="224">
        <f ca="1">V35
+W$18*INDEX('Annual WLC by Maturity Level '!$E86:$I86,MATCH(W$17,'Annual WLC by Maturity Level '!$E$9:$I$9,FALSE))</f>
        <v>-9568426.4839999955</v>
      </c>
      <c r="X35" s="224">
        <f ca="1">W35
+X$18*INDEX('Annual WLC by Maturity Level '!$E86:$I86,MATCH(X$17,'Annual WLC by Maturity Level '!$E$9:$I$9,FALSE))</f>
        <v>-9568426.4839999955</v>
      </c>
      <c r="Y35" s="224">
        <f ca="1">X35
+Y$18*INDEX('Annual WLC by Maturity Level '!$E86:$I86,MATCH(Y$17,'Annual WLC by Maturity Level '!$E$9:$I$9,FALSE))</f>
        <v>-9568426.4839999955</v>
      </c>
      <c r="Z35" s="224">
        <f ca="1">Y35
+Z$18*INDEX('Annual WLC by Maturity Level '!$E86:$I86,MATCH(Z$17,'Annual WLC by Maturity Level '!$E$9:$I$9,FALSE))</f>
        <v>-9568426.4839999955</v>
      </c>
      <c r="AA35" s="224">
        <f ca="1">Z35
+AA$18*INDEX('Annual WLC by Maturity Level '!$E86:$I86,MATCH(AA$17,'Annual WLC by Maturity Level '!$E$9:$I$9,FALSE))</f>
        <v>-9568426.4839999955</v>
      </c>
    </row>
    <row r="36" spans="1:27" s="225" customFormat="1">
      <c r="A36" s="223" t="str">
        <f>'Asset Info'!$E$10</f>
        <v>Balfour Beatty</v>
      </c>
      <c r="B36" s="224">
        <f ca="1">-'Annual WLC by Maturity Level '!$C37
+B$18*INDEX('Annual WLC by Maturity Level '!$E87:$I87,MATCH(B$17,'Annual WLC by Maturity Level '!$E$9:$I$9,FALSE))</f>
        <v>0</v>
      </c>
      <c r="C36" s="224">
        <f ca="1">B36
+C$18*INDEX('Annual WLC by Maturity Level '!$E87:$I87,MATCH(C$17,'Annual WLC by Maturity Level '!$E$9:$I$9,FALSE))</f>
        <v>0</v>
      </c>
      <c r="D36" s="224">
        <f ca="1">C36
+D$18*INDEX('Annual WLC by Maturity Level '!$E87:$I87,MATCH(D$17,'Annual WLC by Maturity Level '!$E$9:$I$9,FALSE))</f>
        <v>0</v>
      </c>
      <c r="E36" s="224">
        <f ca="1">D36
+E$18*INDEX('Annual WLC by Maturity Level '!$E87:$I87,MATCH(E$17,'Annual WLC by Maturity Level '!$E$9:$I$9,FALSE))</f>
        <v>0</v>
      </c>
      <c r="F36" s="224">
        <f ca="1">E36
+F$18*INDEX('Annual WLC by Maturity Level '!$E87:$I87,MATCH(F$17,'Annual WLC by Maturity Level '!$E$9:$I$9,FALSE))</f>
        <v>0</v>
      </c>
      <c r="G36" s="224">
        <f ca="1">F36
+G$18*INDEX('Annual WLC by Maturity Level '!$E87:$I87,MATCH(G$17,'Annual WLC by Maturity Level '!$E$9:$I$9,FALSE))</f>
        <v>0</v>
      </c>
      <c r="H36" s="224">
        <f ca="1">G36
+H$18*INDEX('Annual WLC by Maturity Level '!$E87:$I87,MATCH(H$17,'Annual WLC by Maturity Level '!$E$9:$I$9,FALSE))</f>
        <v>0</v>
      </c>
      <c r="I36" s="224">
        <f ca="1">H36
+I$18*INDEX('Annual WLC by Maturity Level '!$E87:$I87,MATCH(I$17,'Annual WLC by Maturity Level '!$E$9:$I$9,FALSE))</f>
        <v>0</v>
      </c>
      <c r="J36" s="224">
        <f ca="1">I36
+J$18*INDEX('Annual WLC by Maturity Level '!$E87:$I87,MATCH(J$17,'Annual WLC by Maturity Level '!$E$9:$I$9,FALSE))</f>
        <v>0</v>
      </c>
      <c r="K36" s="224">
        <f ca="1">J36
+K$18*INDEX('Annual WLC by Maturity Level '!$E87:$I87,MATCH(K$17,'Annual WLC by Maturity Level '!$E$9:$I$9,FALSE))</f>
        <v>0</v>
      </c>
      <c r="L36" s="224">
        <f ca="1">K36
+L$18*INDEX('Annual WLC by Maturity Level '!$E87:$I87,MATCH(L$17,'Annual WLC by Maturity Level '!$E$9:$I$9,FALSE))</f>
        <v>0</v>
      </c>
      <c r="M36" s="224">
        <f ca="1">L36
+M$18*INDEX('Annual WLC by Maturity Level '!$E87:$I87,MATCH(M$17,'Annual WLC by Maturity Level '!$E$9:$I$9,FALSE))</f>
        <v>0</v>
      </c>
      <c r="N36" s="224">
        <f ca="1">M36
+N$18*INDEX('Annual WLC by Maturity Level '!$E87:$I87,MATCH(N$17,'Annual WLC by Maturity Level '!$E$9:$I$9,FALSE))</f>
        <v>0</v>
      </c>
      <c r="O36" s="224">
        <f ca="1">N36
+O$18*INDEX('Annual WLC by Maturity Level '!$E87:$I87,MATCH(O$17,'Annual WLC by Maturity Level '!$E$9:$I$9,FALSE))</f>
        <v>0</v>
      </c>
      <c r="P36" s="224">
        <f ca="1">O36
+P$18*INDEX('Annual WLC by Maturity Level '!$E87:$I87,MATCH(P$17,'Annual WLC by Maturity Level '!$E$9:$I$9,FALSE))</f>
        <v>0</v>
      </c>
      <c r="Q36" s="224">
        <f ca="1">P36
+Q$18*INDEX('Annual WLC by Maturity Level '!$E87:$I87,MATCH(Q$17,'Annual WLC by Maturity Level '!$E$9:$I$9,FALSE))</f>
        <v>0</v>
      </c>
      <c r="R36" s="224">
        <f ca="1">Q36
+R$18*INDEX('Annual WLC by Maturity Level '!$E87:$I87,MATCH(R$17,'Annual WLC by Maturity Level '!$E$9:$I$9,FALSE))</f>
        <v>0</v>
      </c>
      <c r="S36" s="224">
        <f ca="1">R36
+S$18*INDEX('Annual WLC by Maturity Level '!$E87:$I87,MATCH(S$17,'Annual WLC by Maturity Level '!$E$9:$I$9,FALSE))</f>
        <v>0</v>
      </c>
      <c r="T36" s="224">
        <f ca="1">S36
+T$18*INDEX('Annual WLC by Maturity Level '!$E87:$I87,MATCH(T$17,'Annual WLC by Maturity Level '!$E$9:$I$9,FALSE))</f>
        <v>0</v>
      </c>
      <c r="U36" s="224">
        <f ca="1">T36
+U$18*INDEX('Annual WLC by Maturity Level '!$E87:$I87,MATCH(U$17,'Annual WLC by Maturity Level '!$E$9:$I$9,FALSE))</f>
        <v>0</v>
      </c>
      <c r="V36" s="224">
        <f ca="1">U36
+V$18*INDEX('Annual WLC by Maturity Level '!$E87:$I87,MATCH(V$17,'Annual WLC by Maturity Level '!$E$9:$I$9,FALSE))</f>
        <v>0</v>
      </c>
      <c r="W36" s="224">
        <f ca="1">V36
+W$18*INDEX('Annual WLC by Maturity Level '!$E87:$I87,MATCH(W$17,'Annual WLC by Maturity Level '!$E$9:$I$9,FALSE))</f>
        <v>0</v>
      </c>
      <c r="X36" s="224">
        <f ca="1">W36
+X$18*INDEX('Annual WLC by Maturity Level '!$E87:$I87,MATCH(X$17,'Annual WLC by Maturity Level '!$E$9:$I$9,FALSE))</f>
        <v>0</v>
      </c>
      <c r="Y36" s="224">
        <f ca="1">X36
+Y$18*INDEX('Annual WLC by Maturity Level '!$E87:$I87,MATCH(Y$17,'Annual WLC by Maturity Level '!$E$9:$I$9,FALSE))</f>
        <v>0</v>
      </c>
      <c r="Z36" s="224">
        <f ca="1">Y36
+Z$18*INDEX('Annual WLC by Maturity Level '!$E87:$I87,MATCH(Z$17,'Annual WLC by Maturity Level '!$E$9:$I$9,FALSE))</f>
        <v>0</v>
      </c>
      <c r="AA36" s="224">
        <f ca="1">Z36
+AA$18*INDEX('Annual WLC by Maturity Level '!$E87:$I87,MATCH(AA$17,'Annual WLC by Maturity Level '!$E$9:$I$9,FALSE))</f>
        <v>0</v>
      </c>
    </row>
    <row r="37" spans="1:27" s="225" customFormat="1">
      <c r="A37" s="223" t="str">
        <f>'Asset Info'!$F$10</f>
        <v>RSSB</v>
      </c>
      <c r="B37" s="224">
        <f ca="1">-'Annual WLC by Maturity Level '!$C38
+B$18*INDEX('Annual WLC by Maturity Level '!$E88:$I88,MATCH(B$17,'Annual WLC by Maturity Level '!$E$9:$I$9,FALSE))</f>
        <v>-6250</v>
      </c>
      <c r="C37" s="224">
        <f ca="1">B37
+C$18*INDEX('Annual WLC by Maturity Level '!$E88:$I88,MATCH(C$17,'Annual WLC by Maturity Level '!$E$9:$I$9,FALSE))</f>
        <v>-12500</v>
      </c>
      <c r="D37" s="224">
        <f ca="1">C37
+D$18*INDEX('Annual WLC by Maturity Level '!$E88:$I88,MATCH(D$17,'Annual WLC by Maturity Level '!$E$9:$I$9,FALSE))</f>
        <v>-14705</v>
      </c>
      <c r="E37" s="224">
        <f ca="1">D37
+E$18*INDEX('Annual WLC by Maturity Level '!$E88:$I88,MATCH(E$17,'Annual WLC by Maturity Level '!$E$9:$I$9,FALSE))</f>
        <v>-16910</v>
      </c>
      <c r="F37" s="224">
        <f ca="1">E37
+F$18*INDEX('Annual WLC by Maturity Level '!$E88:$I88,MATCH(F$17,'Annual WLC by Maturity Level '!$E$9:$I$9,FALSE))</f>
        <v>-17630</v>
      </c>
      <c r="G37" s="224">
        <f ca="1">F37
+G$18*INDEX('Annual WLC by Maturity Level '!$E88:$I88,MATCH(G$17,'Annual WLC by Maturity Level '!$E$9:$I$9,FALSE))</f>
        <v>-18350</v>
      </c>
      <c r="H37" s="224">
        <f ca="1">G37
+H$18*INDEX('Annual WLC by Maturity Level '!$E88:$I88,MATCH(H$17,'Annual WLC by Maturity Level '!$E$9:$I$9,FALSE))</f>
        <v>-18350</v>
      </c>
      <c r="I37" s="224">
        <f ca="1">H37
+I$18*INDEX('Annual WLC by Maturity Level '!$E88:$I88,MATCH(I$17,'Annual WLC by Maturity Level '!$E$9:$I$9,FALSE))</f>
        <v>-18350</v>
      </c>
      <c r="J37" s="224">
        <f ca="1">I37
+J$18*INDEX('Annual WLC by Maturity Level '!$E88:$I88,MATCH(J$17,'Annual WLC by Maturity Level '!$E$9:$I$9,FALSE))</f>
        <v>-18350</v>
      </c>
      <c r="K37" s="224">
        <f ca="1">J37
+K$18*INDEX('Annual WLC by Maturity Level '!$E88:$I88,MATCH(K$17,'Annual WLC by Maturity Level '!$E$9:$I$9,FALSE))</f>
        <v>-18350</v>
      </c>
      <c r="L37" s="224">
        <f ca="1">K37
+L$18*INDEX('Annual WLC by Maturity Level '!$E88:$I88,MATCH(L$17,'Annual WLC by Maturity Level '!$E$9:$I$9,FALSE))</f>
        <v>-18350</v>
      </c>
      <c r="M37" s="224">
        <f ca="1">L37
+M$18*INDEX('Annual WLC by Maturity Level '!$E88:$I88,MATCH(M$17,'Annual WLC by Maturity Level '!$E$9:$I$9,FALSE))</f>
        <v>-18350</v>
      </c>
      <c r="N37" s="224">
        <f ca="1">M37
+N$18*INDEX('Annual WLC by Maturity Level '!$E88:$I88,MATCH(N$17,'Annual WLC by Maturity Level '!$E$9:$I$9,FALSE))</f>
        <v>-18350</v>
      </c>
      <c r="O37" s="224">
        <f ca="1">N37
+O$18*INDEX('Annual WLC by Maturity Level '!$E88:$I88,MATCH(O$17,'Annual WLC by Maturity Level '!$E$9:$I$9,FALSE))</f>
        <v>-18350</v>
      </c>
      <c r="P37" s="224">
        <f ca="1">O37
+P$18*INDEX('Annual WLC by Maturity Level '!$E88:$I88,MATCH(P$17,'Annual WLC by Maturity Level '!$E$9:$I$9,FALSE))</f>
        <v>-18350</v>
      </c>
      <c r="Q37" s="224">
        <f ca="1">P37
+Q$18*INDEX('Annual WLC by Maturity Level '!$E88:$I88,MATCH(Q$17,'Annual WLC by Maturity Level '!$E$9:$I$9,FALSE))</f>
        <v>-18350</v>
      </c>
      <c r="R37" s="224">
        <f ca="1">Q37
+R$18*INDEX('Annual WLC by Maturity Level '!$E88:$I88,MATCH(R$17,'Annual WLC by Maturity Level '!$E$9:$I$9,FALSE))</f>
        <v>-18350</v>
      </c>
      <c r="S37" s="224">
        <f ca="1">R37
+S$18*INDEX('Annual WLC by Maturity Level '!$E88:$I88,MATCH(S$17,'Annual WLC by Maturity Level '!$E$9:$I$9,FALSE))</f>
        <v>-18350</v>
      </c>
      <c r="T37" s="224">
        <f ca="1">S37
+T$18*INDEX('Annual WLC by Maturity Level '!$E88:$I88,MATCH(T$17,'Annual WLC by Maturity Level '!$E$9:$I$9,FALSE))</f>
        <v>-18350</v>
      </c>
      <c r="U37" s="224">
        <f ca="1">T37
+U$18*INDEX('Annual WLC by Maturity Level '!$E88:$I88,MATCH(U$17,'Annual WLC by Maturity Level '!$E$9:$I$9,FALSE))</f>
        <v>-18350</v>
      </c>
      <c r="V37" s="224">
        <f ca="1">U37
+V$18*INDEX('Annual WLC by Maturity Level '!$E88:$I88,MATCH(V$17,'Annual WLC by Maturity Level '!$E$9:$I$9,FALSE))</f>
        <v>-18350</v>
      </c>
      <c r="W37" s="224">
        <f ca="1">V37
+W$18*INDEX('Annual WLC by Maturity Level '!$E88:$I88,MATCH(W$17,'Annual WLC by Maturity Level '!$E$9:$I$9,FALSE))</f>
        <v>-18350</v>
      </c>
      <c r="X37" s="224">
        <f ca="1">W37
+X$18*INDEX('Annual WLC by Maturity Level '!$E88:$I88,MATCH(X$17,'Annual WLC by Maturity Level '!$E$9:$I$9,FALSE))</f>
        <v>-18350</v>
      </c>
      <c r="Y37" s="224">
        <f ca="1">X37
+Y$18*INDEX('Annual WLC by Maturity Level '!$E88:$I88,MATCH(Y$17,'Annual WLC by Maturity Level '!$E$9:$I$9,FALSE))</f>
        <v>-18350</v>
      </c>
      <c r="Z37" s="224">
        <f ca="1">Y37
+Z$18*INDEX('Annual WLC by Maturity Level '!$E88:$I88,MATCH(Z$17,'Annual WLC by Maturity Level '!$E$9:$I$9,FALSE))</f>
        <v>-18350</v>
      </c>
      <c r="AA37" s="224">
        <f ca="1">Z37
+AA$18*INDEX('Annual WLC by Maturity Level '!$E88:$I88,MATCH(AA$17,'Annual WLC by Maturity Level '!$E$9:$I$9,FALSE))</f>
        <v>-18350</v>
      </c>
    </row>
    <row r="38" spans="1:27" s="53" customFormat="1">
      <c r="A38" s="148"/>
      <c r="B38" s="149"/>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126</v>
      </c>
      <c r="B39" s="149"/>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s="53" customFormat="1">
      <c r="A40" s="148" t="s">
        <v>182</v>
      </c>
      <c r="B40" s="149">
        <f ca="1">B33+'Annual WLC by Maturity Level '!$C$34</f>
        <v>2108.890000000596</v>
      </c>
      <c r="C40" s="149">
        <f ca="1">C33+'Annual WLC by Maturity Level '!$C$34</f>
        <v>4217.7800000011921</v>
      </c>
      <c r="D40" s="149">
        <f ca="1">D33+'Annual WLC by Maturity Level '!$C$34</f>
        <v>99133.114000001922</v>
      </c>
      <c r="E40" s="149">
        <f ca="1">E33+'Annual WLC by Maturity Level '!$C$34</f>
        <v>194048.44800000265</v>
      </c>
      <c r="F40" s="149">
        <f ca="1">F33+'Annual WLC by Maturity Level '!$C$34</f>
        <v>247163.78200000338</v>
      </c>
      <c r="G40" s="149">
        <f ca="1">G33+'Annual WLC by Maturity Level '!$C$34</f>
        <v>300279.11600000411</v>
      </c>
      <c r="H40" s="149">
        <f ca="1">H33+'Annual WLC by Maturity Level '!$C$34</f>
        <v>300279.11600000411</v>
      </c>
      <c r="I40" s="149">
        <f ca="1">I33+'Annual WLC by Maturity Level '!$C$34</f>
        <v>300279.11600000411</v>
      </c>
      <c r="J40" s="149">
        <f ca="1">J33+'Annual WLC by Maturity Level '!$C$34</f>
        <v>300279.11600000411</v>
      </c>
      <c r="K40" s="149">
        <f ca="1">K33+'Annual WLC by Maturity Level '!$C$34</f>
        <v>300279.11600000411</v>
      </c>
      <c r="L40" s="149">
        <f ca="1">L33+'Annual WLC by Maturity Level '!$C$34</f>
        <v>300279.11600000411</v>
      </c>
      <c r="M40" s="149">
        <f ca="1">M33+'Annual WLC by Maturity Level '!$C$34</f>
        <v>300279.11600000411</v>
      </c>
      <c r="N40" s="149">
        <f ca="1">N33+'Annual WLC by Maturity Level '!$C$34</f>
        <v>300279.11600000411</v>
      </c>
      <c r="O40" s="149">
        <f ca="1">O33+'Annual WLC by Maturity Level '!$C$34</f>
        <v>300279.11600000411</v>
      </c>
      <c r="P40" s="149">
        <f ca="1">P33+'Annual WLC by Maturity Level '!$C$34</f>
        <v>300279.11600000411</v>
      </c>
      <c r="Q40" s="149">
        <f ca="1">Q33+'Annual WLC by Maturity Level '!$C$34</f>
        <v>300279.11600000411</v>
      </c>
      <c r="R40" s="149">
        <f ca="1">R33+'Annual WLC by Maturity Level '!$C$34</f>
        <v>300279.11600000411</v>
      </c>
      <c r="S40" s="149">
        <f ca="1">S33+'Annual WLC by Maturity Level '!$C$34</f>
        <v>300279.11600000411</v>
      </c>
      <c r="T40" s="149">
        <f ca="1">T33+'Annual WLC by Maturity Level '!$C$34</f>
        <v>300279.11600000411</v>
      </c>
      <c r="U40" s="149">
        <f ca="1">U33+'Annual WLC by Maturity Level '!$C$34</f>
        <v>300279.11600000411</v>
      </c>
      <c r="V40" s="149">
        <f ca="1">V33+'Annual WLC by Maturity Level '!$C$34</f>
        <v>300279.11600000411</v>
      </c>
      <c r="W40" s="149">
        <f ca="1">W33+'Annual WLC by Maturity Level '!$C$34</f>
        <v>300279.11600000411</v>
      </c>
      <c r="X40" s="149">
        <f ca="1">X33+'Annual WLC by Maturity Level '!$C$34</f>
        <v>300279.11600000411</v>
      </c>
      <c r="Y40" s="149">
        <f ca="1">Y33+'Annual WLC by Maturity Level '!$C$34</f>
        <v>300279.11600000411</v>
      </c>
      <c r="Z40" s="149">
        <f ca="1">Z33+'Annual WLC by Maturity Level '!$C$34</f>
        <v>300279.11600000411</v>
      </c>
      <c r="AA40" s="149">
        <f ca="1">AA33+'Annual WLC by Maturity Level '!$C$34</f>
        <v>300279.11600000411</v>
      </c>
    </row>
    <row r="41" spans="1:27" s="225" customFormat="1">
      <c r="A41" s="223" t="str">
        <f>'Asset Info'!$C$10</f>
        <v>Crossrail</v>
      </c>
      <c r="B41" s="224">
        <f ca="1">B34+'Annual WLC by Maturity Level '!$C35</f>
        <v>1750</v>
      </c>
      <c r="C41" s="224">
        <f ca="1">C34+'Annual WLC by Maturity Level '!$C35</f>
        <v>3500</v>
      </c>
      <c r="D41" s="224">
        <f ca="1">D34+'Annual WLC by Maturity Level '!$C35</f>
        <v>4550</v>
      </c>
      <c r="E41" s="224">
        <f ca="1">E34+'Annual WLC by Maturity Level '!$C35</f>
        <v>5600</v>
      </c>
      <c r="F41" s="224">
        <f ca="1">F34+'Annual WLC by Maturity Level '!$C35</f>
        <v>6650</v>
      </c>
      <c r="G41" s="224">
        <f ca="1">G34+'Annual WLC by Maturity Level '!$C35</f>
        <v>7700</v>
      </c>
      <c r="H41" s="224">
        <f ca="1">H34+'Annual WLC by Maturity Level '!$C35</f>
        <v>7700</v>
      </c>
      <c r="I41" s="224">
        <f ca="1">I34+'Annual WLC by Maturity Level '!$C35</f>
        <v>7700</v>
      </c>
      <c r="J41" s="224">
        <f ca="1">J34+'Annual WLC by Maturity Level '!$C35</f>
        <v>7700</v>
      </c>
      <c r="K41" s="224">
        <f ca="1">K34+'Annual WLC by Maturity Level '!$C35</f>
        <v>7700</v>
      </c>
      <c r="L41" s="224">
        <f ca="1">L34+'Annual WLC by Maturity Level '!$C35</f>
        <v>7700</v>
      </c>
      <c r="M41" s="224">
        <f ca="1">M34+'Annual WLC by Maturity Level '!$C35</f>
        <v>7700</v>
      </c>
      <c r="N41" s="224">
        <f ca="1">N34+'Annual WLC by Maturity Level '!$C35</f>
        <v>7700</v>
      </c>
      <c r="O41" s="224">
        <f ca="1">O34+'Annual WLC by Maturity Level '!$C35</f>
        <v>7700</v>
      </c>
      <c r="P41" s="224">
        <f ca="1">P34+'Annual WLC by Maturity Level '!$C35</f>
        <v>7700</v>
      </c>
      <c r="Q41" s="224">
        <f ca="1">Q34+'Annual WLC by Maturity Level '!$C35</f>
        <v>7700</v>
      </c>
      <c r="R41" s="224">
        <f ca="1">R34+'Annual WLC by Maturity Level '!$C35</f>
        <v>7700</v>
      </c>
      <c r="S41" s="224">
        <f ca="1">S34+'Annual WLC by Maturity Level '!$C35</f>
        <v>7700</v>
      </c>
      <c r="T41" s="224">
        <f ca="1">T34+'Annual WLC by Maturity Level '!$C35</f>
        <v>7700</v>
      </c>
      <c r="U41" s="224">
        <f ca="1">U34+'Annual WLC by Maturity Level '!$C35</f>
        <v>7700</v>
      </c>
      <c r="V41" s="224">
        <f ca="1">V34+'Annual WLC by Maturity Level '!$C35</f>
        <v>7700</v>
      </c>
      <c r="W41" s="224">
        <f ca="1">W34+'Annual WLC by Maturity Level '!$C35</f>
        <v>7700</v>
      </c>
      <c r="X41" s="224">
        <f ca="1">X34+'Annual WLC by Maturity Level '!$C35</f>
        <v>7700</v>
      </c>
      <c r="Y41" s="224">
        <f ca="1">Y34+'Annual WLC by Maturity Level '!$C35</f>
        <v>7700</v>
      </c>
      <c r="Z41" s="224">
        <f ca="1">Z34+'Annual WLC by Maturity Level '!$C35</f>
        <v>7700</v>
      </c>
      <c r="AA41" s="224">
        <f ca="1">AA34+'Annual WLC by Maturity Level '!$C35</f>
        <v>7700</v>
      </c>
    </row>
    <row r="42" spans="1:27" s="225" customFormat="1">
      <c r="A42" s="223" t="str">
        <f>'Asset Info'!$D$10</f>
        <v>NR Western</v>
      </c>
      <c r="B42" s="224">
        <f ca="1">B35+'Annual WLC by Maturity Level '!$C36</f>
        <v>6608.890000000596</v>
      </c>
      <c r="C42" s="224">
        <f ca="1">C35+'Annual WLC by Maturity Level '!$C36</f>
        <v>13217.780000001192</v>
      </c>
      <c r="D42" s="224">
        <f ca="1">D35+'Annual WLC by Maturity Level '!$C36</f>
        <v>109288.11400000192</v>
      </c>
      <c r="E42" s="224">
        <f ca="1">E35+'Annual WLC by Maturity Level '!$C36</f>
        <v>205358.44800000265</v>
      </c>
      <c r="F42" s="224">
        <f ca="1">F35+'Annual WLC by Maturity Level '!$C36</f>
        <v>258143.78200000338</v>
      </c>
      <c r="G42" s="224">
        <f ca="1">G35+'Annual WLC by Maturity Level '!$C36</f>
        <v>310929.11600000411</v>
      </c>
      <c r="H42" s="224">
        <f ca="1">H35+'Annual WLC by Maturity Level '!$C36</f>
        <v>310929.11600000411</v>
      </c>
      <c r="I42" s="224">
        <f ca="1">I35+'Annual WLC by Maturity Level '!$C36</f>
        <v>310929.11600000411</v>
      </c>
      <c r="J42" s="224">
        <f ca="1">J35+'Annual WLC by Maturity Level '!$C36</f>
        <v>310929.11600000411</v>
      </c>
      <c r="K42" s="224">
        <f ca="1">K35+'Annual WLC by Maturity Level '!$C36</f>
        <v>310929.11600000411</v>
      </c>
      <c r="L42" s="224">
        <f ca="1">L35+'Annual WLC by Maturity Level '!$C36</f>
        <v>310929.11600000411</v>
      </c>
      <c r="M42" s="224">
        <f ca="1">M35+'Annual WLC by Maturity Level '!$C36</f>
        <v>310929.11600000411</v>
      </c>
      <c r="N42" s="224">
        <f ca="1">N35+'Annual WLC by Maturity Level '!$C36</f>
        <v>310929.11600000411</v>
      </c>
      <c r="O42" s="224">
        <f ca="1">O35+'Annual WLC by Maturity Level '!$C36</f>
        <v>310929.11600000411</v>
      </c>
      <c r="P42" s="224">
        <f ca="1">P35+'Annual WLC by Maturity Level '!$C36</f>
        <v>310929.11600000411</v>
      </c>
      <c r="Q42" s="224">
        <f ca="1">Q35+'Annual WLC by Maturity Level '!$C36</f>
        <v>310929.11600000411</v>
      </c>
      <c r="R42" s="224">
        <f ca="1">R35+'Annual WLC by Maturity Level '!$C36</f>
        <v>310929.11600000411</v>
      </c>
      <c r="S42" s="224">
        <f ca="1">S35+'Annual WLC by Maturity Level '!$C36</f>
        <v>310929.11600000411</v>
      </c>
      <c r="T42" s="224">
        <f ca="1">T35+'Annual WLC by Maturity Level '!$C36</f>
        <v>310929.11600000411</v>
      </c>
      <c r="U42" s="224">
        <f ca="1">U35+'Annual WLC by Maturity Level '!$C36</f>
        <v>310929.11600000411</v>
      </c>
      <c r="V42" s="224">
        <f ca="1">V35+'Annual WLC by Maturity Level '!$C36</f>
        <v>310929.11600000411</v>
      </c>
      <c r="W42" s="224">
        <f ca="1">W35+'Annual WLC by Maturity Level '!$C36</f>
        <v>310929.11600000411</v>
      </c>
      <c r="X42" s="224">
        <f ca="1">X35+'Annual WLC by Maturity Level '!$C36</f>
        <v>310929.11600000411</v>
      </c>
      <c r="Y42" s="224">
        <f ca="1">Y35+'Annual WLC by Maturity Level '!$C36</f>
        <v>310929.11600000411</v>
      </c>
      <c r="Z42" s="224">
        <f ca="1">Z35+'Annual WLC by Maturity Level '!$C36</f>
        <v>310929.11600000411</v>
      </c>
      <c r="AA42" s="224">
        <f ca="1">AA35+'Annual WLC by Maturity Level '!$C36</f>
        <v>310929.11600000411</v>
      </c>
    </row>
    <row r="43" spans="1:27" s="225" customFormat="1">
      <c r="A43" s="223" t="str">
        <f>'Asset Info'!$E$10</f>
        <v>Balfour Beatty</v>
      </c>
      <c r="B43" s="224">
        <f ca="1">B36+'Annual WLC by Maturity Level '!$C37</f>
        <v>0</v>
      </c>
      <c r="C43" s="224">
        <f ca="1">C36+'Annual WLC by Maturity Level '!$C37</f>
        <v>0</v>
      </c>
      <c r="D43" s="224">
        <f ca="1">D36+'Annual WLC by Maturity Level '!$C37</f>
        <v>0</v>
      </c>
      <c r="E43" s="224">
        <f ca="1">E36+'Annual WLC by Maturity Level '!$C37</f>
        <v>0</v>
      </c>
      <c r="F43" s="224">
        <f ca="1">F36+'Annual WLC by Maturity Level '!$C37</f>
        <v>0</v>
      </c>
      <c r="G43" s="224">
        <f ca="1">G36+'Annual WLC by Maturity Level '!$C37</f>
        <v>0</v>
      </c>
      <c r="H43" s="224">
        <f ca="1">H36+'Annual WLC by Maturity Level '!$C37</f>
        <v>0</v>
      </c>
      <c r="I43" s="224">
        <f ca="1">I36+'Annual WLC by Maturity Level '!$C37</f>
        <v>0</v>
      </c>
      <c r="J43" s="224">
        <f ca="1">J36+'Annual WLC by Maturity Level '!$C37</f>
        <v>0</v>
      </c>
      <c r="K43" s="224">
        <f ca="1">K36+'Annual WLC by Maturity Level '!$C37</f>
        <v>0</v>
      </c>
      <c r="L43" s="224">
        <f ca="1">L36+'Annual WLC by Maturity Level '!$C37</f>
        <v>0</v>
      </c>
      <c r="M43" s="224">
        <f ca="1">M36+'Annual WLC by Maturity Level '!$C37</f>
        <v>0</v>
      </c>
      <c r="N43" s="224">
        <f ca="1">N36+'Annual WLC by Maturity Level '!$C37</f>
        <v>0</v>
      </c>
      <c r="O43" s="224">
        <f ca="1">O36+'Annual WLC by Maturity Level '!$C37</f>
        <v>0</v>
      </c>
      <c r="P43" s="224">
        <f ca="1">P36+'Annual WLC by Maturity Level '!$C37</f>
        <v>0</v>
      </c>
      <c r="Q43" s="224">
        <f ca="1">Q36+'Annual WLC by Maturity Level '!$C37</f>
        <v>0</v>
      </c>
      <c r="R43" s="224">
        <f ca="1">R36+'Annual WLC by Maturity Level '!$C37</f>
        <v>0</v>
      </c>
      <c r="S43" s="224">
        <f ca="1">S36+'Annual WLC by Maturity Level '!$C37</f>
        <v>0</v>
      </c>
      <c r="T43" s="224">
        <f ca="1">T36+'Annual WLC by Maturity Level '!$C37</f>
        <v>0</v>
      </c>
      <c r="U43" s="224">
        <f ca="1">U36+'Annual WLC by Maturity Level '!$C37</f>
        <v>0</v>
      </c>
      <c r="V43" s="224">
        <f ca="1">V36+'Annual WLC by Maturity Level '!$C37</f>
        <v>0</v>
      </c>
      <c r="W43" s="224">
        <f ca="1">W36+'Annual WLC by Maturity Level '!$C37</f>
        <v>0</v>
      </c>
      <c r="X43" s="224">
        <f ca="1">X36+'Annual WLC by Maturity Level '!$C37</f>
        <v>0</v>
      </c>
      <c r="Y43" s="224">
        <f ca="1">Y36+'Annual WLC by Maturity Level '!$C37</f>
        <v>0</v>
      </c>
      <c r="Z43" s="224">
        <f ca="1">Z36+'Annual WLC by Maturity Level '!$C37</f>
        <v>0</v>
      </c>
      <c r="AA43" s="224">
        <f ca="1">AA36+'Annual WLC by Maturity Level '!$C37</f>
        <v>0</v>
      </c>
    </row>
    <row r="44" spans="1:27" s="225" customFormat="1">
      <c r="A44" s="223" t="str">
        <f>'Asset Info'!$F$10</f>
        <v>RSSB</v>
      </c>
      <c r="B44" s="224">
        <f ca="1">B37+'Annual WLC by Maturity Level '!$C38</f>
        <v>-6250</v>
      </c>
      <c r="C44" s="224">
        <f ca="1">C37+'Annual WLC by Maturity Level '!$C38</f>
        <v>-12500</v>
      </c>
      <c r="D44" s="224">
        <f ca="1">D37+'Annual WLC by Maturity Level '!$C38</f>
        <v>-14705</v>
      </c>
      <c r="E44" s="224">
        <f ca="1">E37+'Annual WLC by Maturity Level '!$C38</f>
        <v>-16910</v>
      </c>
      <c r="F44" s="224">
        <f ca="1">F37+'Annual WLC by Maturity Level '!$C38</f>
        <v>-17630</v>
      </c>
      <c r="G44" s="224">
        <f ca="1">G37+'Annual WLC by Maturity Level '!$C38</f>
        <v>-18350</v>
      </c>
      <c r="H44" s="224">
        <f ca="1">H37+'Annual WLC by Maturity Level '!$C38</f>
        <v>-18350</v>
      </c>
      <c r="I44" s="224">
        <f ca="1">I37+'Annual WLC by Maturity Level '!$C38</f>
        <v>-18350</v>
      </c>
      <c r="J44" s="224">
        <f ca="1">J37+'Annual WLC by Maturity Level '!$C38</f>
        <v>-18350</v>
      </c>
      <c r="K44" s="224">
        <f ca="1">K37+'Annual WLC by Maturity Level '!$C38</f>
        <v>-18350</v>
      </c>
      <c r="L44" s="224">
        <f ca="1">L37+'Annual WLC by Maturity Level '!$C38</f>
        <v>-18350</v>
      </c>
      <c r="M44" s="224">
        <f ca="1">M37+'Annual WLC by Maturity Level '!$C38</f>
        <v>-18350</v>
      </c>
      <c r="N44" s="224">
        <f ca="1">N37+'Annual WLC by Maturity Level '!$C38</f>
        <v>-18350</v>
      </c>
      <c r="O44" s="224">
        <f ca="1">O37+'Annual WLC by Maturity Level '!$C38</f>
        <v>-18350</v>
      </c>
      <c r="P44" s="224">
        <f ca="1">P37+'Annual WLC by Maturity Level '!$C38</f>
        <v>-18350</v>
      </c>
      <c r="Q44" s="224">
        <f ca="1">Q37+'Annual WLC by Maturity Level '!$C38</f>
        <v>-18350</v>
      </c>
      <c r="R44" s="224">
        <f ca="1">R37+'Annual WLC by Maturity Level '!$C38</f>
        <v>-18350</v>
      </c>
      <c r="S44" s="224">
        <f ca="1">S37+'Annual WLC by Maturity Level '!$C38</f>
        <v>-18350</v>
      </c>
      <c r="T44" s="224">
        <f ca="1">T37+'Annual WLC by Maturity Level '!$C38</f>
        <v>-18350</v>
      </c>
      <c r="U44" s="224">
        <f ca="1">U37+'Annual WLC by Maturity Level '!$C38</f>
        <v>-18350</v>
      </c>
      <c r="V44" s="224">
        <f ca="1">V37+'Annual WLC by Maturity Level '!$C38</f>
        <v>-18350</v>
      </c>
      <c r="W44" s="224">
        <f ca="1">W37+'Annual WLC by Maturity Level '!$C38</f>
        <v>-18350</v>
      </c>
      <c r="X44" s="224">
        <f ca="1">X37+'Annual WLC by Maturity Level '!$C38</f>
        <v>-18350</v>
      </c>
      <c r="Y44" s="224">
        <f ca="1">Y37+'Annual WLC by Maturity Level '!$C38</f>
        <v>-18350</v>
      </c>
      <c r="Z44" s="224">
        <f ca="1">Z37+'Annual WLC by Maturity Level '!$C38</f>
        <v>-18350</v>
      </c>
      <c r="AA44" s="224">
        <f ca="1">AA37+'Annual WLC by Maturity Level '!$C38</f>
        <v>-18350</v>
      </c>
    </row>
    <row r="45" spans="1:27" s="53" customFormat="1">
      <c r="A45" s="148" t="s">
        <v>183</v>
      </c>
      <c r="B45" s="149">
        <f ca="1">B40</f>
        <v>2108.890000000596</v>
      </c>
      <c r="C45" s="149">
        <f t="shared" ref="C45:AA45" ca="1" si="0">C40-B40</f>
        <v>2108.890000000596</v>
      </c>
      <c r="D45" s="149">
        <f t="shared" ca="1" si="0"/>
        <v>94915.33400000073</v>
      </c>
      <c r="E45" s="149">
        <f t="shared" ca="1" si="0"/>
        <v>94915.33400000073</v>
      </c>
      <c r="F45" s="149">
        <f t="shared" ca="1" si="0"/>
        <v>53115.33400000073</v>
      </c>
      <c r="G45" s="149">
        <f t="shared" ca="1" si="0"/>
        <v>53115.33400000073</v>
      </c>
      <c r="H45" s="149">
        <f t="shared" ca="1" si="0"/>
        <v>0</v>
      </c>
      <c r="I45" s="149">
        <f t="shared" ca="1" si="0"/>
        <v>0</v>
      </c>
      <c r="J45" s="149">
        <f t="shared" ca="1" si="0"/>
        <v>0</v>
      </c>
      <c r="K45" s="149">
        <f t="shared" ca="1" si="0"/>
        <v>0</v>
      </c>
      <c r="L45" s="149">
        <f t="shared" ca="1" si="0"/>
        <v>0</v>
      </c>
      <c r="M45" s="149">
        <f t="shared" ca="1" si="0"/>
        <v>0</v>
      </c>
      <c r="N45" s="149">
        <f t="shared" ca="1" si="0"/>
        <v>0</v>
      </c>
      <c r="O45" s="149">
        <f t="shared" ca="1" si="0"/>
        <v>0</v>
      </c>
      <c r="P45" s="149">
        <f t="shared" ca="1" si="0"/>
        <v>0</v>
      </c>
      <c r="Q45" s="149">
        <f t="shared" ca="1" si="0"/>
        <v>0</v>
      </c>
      <c r="R45" s="149">
        <f t="shared" ca="1" si="0"/>
        <v>0</v>
      </c>
      <c r="S45" s="149">
        <f t="shared" ca="1" si="0"/>
        <v>0</v>
      </c>
      <c r="T45" s="149">
        <f t="shared" ca="1" si="0"/>
        <v>0</v>
      </c>
      <c r="U45" s="149">
        <f t="shared" ca="1" si="0"/>
        <v>0</v>
      </c>
      <c r="V45" s="149">
        <f t="shared" ca="1" si="0"/>
        <v>0</v>
      </c>
      <c r="W45" s="149">
        <f t="shared" ca="1" si="0"/>
        <v>0</v>
      </c>
      <c r="X45" s="149">
        <f t="shared" ca="1" si="0"/>
        <v>0</v>
      </c>
      <c r="Y45" s="149">
        <f t="shared" ca="1" si="0"/>
        <v>0</v>
      </c>
      <c r="Z45" s="149">
        <f t="shared" ca="1" si="0"/>
        <v>0</v>
      </c>
      <c r="AA45" s="149">
        <f t="shared" ca="1" si="0"/>
        <v>0</v>
      </c>
    </row>
    <row r="46" spans="1:27" s="53" customFormat="1">
      <c r="A46" s="150" t="s">
        <v>184</v>
      </c>
      <c r="B46" s="149">
        <f ca="1">1/(1+'Financial Data'!$C$8)^B14*B40</f>
        <v>2108.890000000596</v>
      </c>
      <c r="C46" s="149">
        <f ca="1">1/(1+'Financial Data'!$C$8)^C14*C40</f>
        <v>4075.1497584552585</v>
      </c>
      <c r="D46" s="149">
        <f ca="1">1/(1+'Financial Data'!$C$8)^D14*D40</f>
        <v>92541.822679644276</v>
      </c>
      <c r="E46" s="149">
        <f ca="1">1/(1+'Financial Data'!$C$8)^E14*E40</f>
        <v>175020.58221980295</v>
      </c>
      <c r="F46" s="149">
        <f ca="1">1/(1+'Financial Data'!$C$8)^F14*F40</f>
        <v>215388.95679248724</v>
      </c>
      <c r="G46" s="149">
        <f ca="1">1/(1+'Financial Data'!$C$8)^G14*G40</f>
        <v>252826.95824000161</v>
      </c>
      <c r="H46" s="149">
        <f ca="1">1/(1+'Financial Data'!$C$8)^H14*H40</f>
        <v>244277.2543381658</v>
      </c>
      <c r="I46" s="149">
        <f ca="1">1/(1+'Financial Data'!$C$8)^I14*I40</f>
        <v>236016.6708581312</v>
      </c>
      <c r="J46" s="149">
        <f ca="1">1/(1+'Financial Data'!$C$8)^J14*J40</f>
        <v>228035.43078080314</v>
      </c>
      <c r="K46" s="149">
        <f ca="1">1/(1+'Financial Data'!$C$8)^K14*K40</f>
        <v>220324.08771092093</v>
      </c>
      <c r="L46" s="149">
        <f ca="1">1/(1+'Financial Data'!$C$8)^L14*L40</f>
        <v>212873.51469654197</v>
      </c>
      <c r="M46" s="149">
        <f ca="1">1/(1+'Financial Data'!$C$8)^M14*M40</f>
        <v>205674.89342661062</v>
      </c>
      <c r="N46" s="149">
        <f ca="1">1/(1+'Financial Data'!$C$8)^N14*N40</f>
        <v>198719.70379382669</v>
      </c>
      <c r="O46" s="149">
        <f ca="1">1/(1+'Financial Data'!$C$8)^O14*O40</f>
        <v>191999.71381046061</v>
      </c>
      <c r="P46" s="149">
        <f ca="1">1/(1+'Financial Data'!$C$8)^P14*P40</f>
        <v>185506.9698651793</v>
      </c>
      <c r="Q46" s="149">
        <f ca="1">1/(1+'Financial Data'!$C$8)^Q14*Q40</f>
        <v>179233.78730935202</v>
      </c>
      <c r="R46" s="149">
        <f ca="1">1/(1+'Financial Data'!$C$8)^R14*R40</f>
        <v>173172.74136169281</v>
      </c>
      <c r="S46" s="149">
        <f ca="1">1/(1+'Financial Data'!$C$8)^S14*S40</f>
        <v>167316.65832047616</v>
      </c>
      <c r="T46" s="149">
        <f ca="1">1/(1+'Financial Data'!$C$8)^T14*T40</f>
        <v>161658.60707292383</v>
      </c>
      <c r="U46" s="149">
        <f ca="1">1/(1+'Financial Data'!$C$8)^U14*U40</f>
        <v>156191.89089171388</v>
      </c>
      <c r="V46" s="149">
        <f ca="1">1/(1+'Financial Data'!$C$8)^V14*V40</f>
        <v>150910.03950890229</v>
      </c>
      <c r="W46" s="149">
        <f ca="1">1/(1+'Financial Data'!$C$8)^W14*W40</f>
        <v>145806.80145787663</v>
      </c>
      <c r="X46" s="149">
        <f ca="1">1/(1+'Financial Data'!$C$8)^X14*X40</f>
        <v>140876.13667427693</v>
      </c>
      <c r="Y46" s="149">
        <f ca="1">1/(1+'Financial Data'!$C$8)^Y14*Y40</f>
        <v>136112.20934712747</v>
      </c>
      <c r="Z46" s="149">
        <f ca="1">1/(1+'Financial Data'!$C$8)^Z14*Z40</f>
        <v>131509.3810117174</v>
      </c>
      <c r="AA46" s="149">
        <f ca="1">1/(1+'Financial Data'!$C$8)^AA14*AA40</f>
        <v>127062.20387605547</v>
      </c>
    </row>
    <row r="47" spans="1:27" s="225" customFormat="1">
      <c r="A47" s="223" t="str">
        <f>'Asset Info'!$C$10</f>
        <v>Crossrail</v>
      </c>
      <c r="B47" s="224">
        <f ca="1">1/(1+'Financial Data'!$C$8)^B$14*B41</f>
        <v>1750</v>
      </c>
      <c r="C47" s="224">
        <f ca="1">1/(1+'Financial Data'!$C$8)^C$14*C41</f>
        <v>3381.6425120772951</v>
      </c>
      <c r="D47" s="224">
        <f ca="1">1/(1+'Financial Data'!$C$8)^D$14*D41</f>
        <v>4247.4736866671337</v>
      </c>
      <c r="E47" s="224">
        <f ca="1">1/(1+'Financial Data'!$C$8)^E$14*E41</f>
        <v>5050.8791517409254</v>
      </c>
      <c r="F47" s="224">
        <f ca="1">1/(1+'Financial Data'!$C$8)^F$14*F41</f>
        <v>5795.090814195506</v>
      </c>
      <c r="G47" s="224">
        <f ca="1">1/(1+'Financial Data'!$C$8)^G$14*G41</f>
        <v>6483.1933848106364</v>
      </c>
      <c r="H47" s="224">
        <f ca="1">1/(1+'Financial Data'!$C$8)^H$14*H41</f>
        <v>6263.9549611696966</v>
      </c>
      <c r="I47" s="224">
        <f ca="1">1/(1+'Financial Data'!$C$8)^I$14*I41</f>
        <v>6052.1303972654077</v>
      </c>
      <c r="J47" s="224">
        <f ca="1">1/(1+'Financial Data'!$C$8)^J$14*J41</f>
        <v>5847.468982865129</v>
      </c>
      <c r="K47" s="224">
        <f ca="1">1/(1+'Financial Data'!$C$8)^K$14*K41</f>
        <v>5649.7284858600287</v>
      </c>
      <c r="L47" s="224">
        <f ca="1">1/(1+'Financial Data'!$C$8)^L$14*L41</f>
        <v>5458.6748655652455</v>
      </c>
      <c r="M47" s="224">
        <f ca="1">1/(1+'Financial Data'!$C$8)^M$14*M41</f>
        <v>5274.0819957152135</v>
      </c>
      <c r="N47" s="224">
        <f ca="1">1/(1+'Financial Data'!$C$8)^N$14*N41</f>
        <v>5095.7313968262933</v>
      </c>
      <c r="O47" s="224">
        <f ca="1">1/(1+'Financial Data'!$C$8)^O$14*O41</f>
        <v>4923.411977609946</v>
      </c>
      <c r="P47" s="224">
        <f ca="1">1/(1+'Financial Data'!$C$8)^P$14*P41</f>
        <v>4756.9197851303825</v>
      </c>
      <c r="Q47" s="224">
        <f ca="1">1/(1+'Financial Data'!$C$8)^Q$14*Q41</f>
        <v>4596.0577634109986</v>
      </c>
      <c r="R47" s="224">
        <f ca="1">1/(1+'Financial Data'!$C$8)^R$14*R41</f>
        <v>4440.6355202038631</v>
      </c>
      <c r="S47" s="224">
        <f ca="1">1/(1+'Financial Data'!$C$8)^S$14*S41</f>
        <v>4290.4691016462457</v>
      </c>
      <c r="T47" s="224">
        <f ca="1">1/(1+'Financial Data'!$C$8)^T$14*T41</f>
        <v>4145.3807745374352</v>
      </c>
      <c r="U47" s="224">
        <f ca="1">1/(1+'Financial Data'!$C$8)^U$14*U41</f>
        <v>4005.198815978199</v>
      </c>
      <c r="V47" s="224">
        <f ca="1">1/(1+'Financial Data'!$C$8)^V$14*V41</f>
        <v>3869.7573101238636</v>
      </c>
      <c r="W47" s="224">
        <f ca="1">1/(1+'Financial Data'!$C$8)^W$14*W41</f>
        <v>3738.8959518104975</v>
      </c>
      <c r="X47" s="224">
        <f ca="1">1/(1+'Financial Data'!$C$8)^X$14*X41</f>
        <v>3612.4598568217366</v>
      </c>
      <c r="Y47" s="224">
        <f ca="1">1/(1+'Financial Data'!$C$8)^Y$14*Y41</f>
        <v>3490.2993785717258</v>
      </c>
      <c r="Z47" s="224">
        <f ca="1">1/(1+'Financial Data'!$C$8)^Z$14*Z41</f>
        <v>3372.2699309871759</v>
      </c>
      <c r="AA47" s="224">
        <f ca="1">1/(1+'Financial Data'!$C$8)^AA$14*AA41</f>
        <v>3258.231817378914</v>
      </c>
    </row>
    <row r="48" spans="1:27" s="225" customFormat="1">
      <c r="A48" s="223" t="str">
        <f>'Asset Info'!$D$10</f>
        <v>NR Western</v>
      </c>
      <c r="B48" s="224">
        <f ca="1">1/(1+'Financial Data'!$C$8)^B$14*B42</f>
        <v>6608.890000000596</v>
      </c>
      <c r="C48" s="224">
        <f ca="1">1/(1+'Financial Data'!$C$8)^C$14*C42</f>
        <v>12770.801932368302</v>
      </c>
      <c r="D48" s="224">
        <f ca="1">1/(1+'Financial Data'!$C$8)^D$14*D42</f>
        <v>102021.62384186509</v>
      </c>
      <c r="E48" s="224">
        <f ca="1">1/(1+'Financial Data'!$C$8)^E$14*E42</f>
        <v>185221.55422090826</v>
      </c>
      <c r="F48" s="224">
        <f ca="1">1/(1+'Financial Data'!$C$8)^F$14*F42</f>
        <v>224957.39245261758</v>
      </c>
      <c r="G48" s="224">
        <f ca="1">1/(1+'Financial Data'!$C$8)^G$14*G42</f>
        <v>261793.97246704489</v>
      </c>
      <c r="H48" s="224">
        <f ca="1">1/(1+'Financial Data'!$C$8)^H$14*H42</f>
        <v>252941.03620004337</v>
      </c>
      <c r="I48" s="224">
        <f ca="1">1/(1+'Financial Data'!$C$8)^I$14*I42</f>
        <v>244387.47458941388</v>
      </c>
      <c r="J48" s="224">
        <f ca="1">1/(1+'Financial Data'!$C$8)^J$14*J42</f>
        <v>236123.16385450622</v>
      </c>
      <c r="K48" s="224">
        <f ca="1">1/(1+'Financial Data'!$C$8)^K$14*K42</f>
        <v>228138.32256474032</v>
      </c>
      <c r="L48" s="224">
        <f ca="1">1/(1+'Financial Data'!$C$8)^L$14*L42</f>
        <v>220423.50006255106</v>
      </c>
      <c r="M48" s="224">
        <f ca="1">1/(1+'Financial Data'!$C$8)^M$14*M42</f>
        <v>212969.56527782712</v>
      </c>
      <c r="N48" s="224">
        <f ca="1">1/(1+'Financial Data'!$C$8)^N$14*N42</f>
        <v>205767.69592060591</v>
      </c>
      <c r="O48" s="224">
        <f ca="1">1/(1+'Financial Data'!$C$8)^O$14*O42</f>
        <v>198809.36803923282</v>
      </c>
      <c r="P48" s="224">
        <f ca="1">1/(1+'Financial Data'!$C$8)^P$14*P42</f>
        <v>192086.34593162587</v>
      </c>
      <c r="Q48" s="224">
        <f ca="1">1/(1+'Financial Data'!$C$8)^Q$14*Q42</f>
        <v>185590.67239770619</v>
      </c>
      <c r="R48" s="224">
        <f ca="1">1/(1+'Financial Data'!$C$8)^R$14*R42</f>
        <v>179314.65932145528</v>
      </c>
      <c r="S48" s="224">
        <f ca="1">1/(1+'Financial Data'!$C$8)^S$14*S42</f>
        <v>173250.87857145441</v>
      </c>
      <c r="T48" s="224">
        <f ca="1">1/(1+'Financial Data'!$C$8)^T$14*T42</f>
        <v>167392.1532091347</v>
      </c>
      <c r="U48" s="224">
        <f ca="1">1/(1+'Financial Data'!$C$8)^U$14*U42</f>
        <v>161731.54899433308</v>
      </c>
      <c r="V48" s="224">
        <f ca="1">1/(1+'Financial Data'!$C$8)^V$14*V42</f>
        <v>156262.36617809956</v>
      </c>
      <c r="W48" s="224">
        <f ca="1">1/(1+'Financial Data'!$C$8)^W$14*W42</f>
        <v>150978.13157304309</v>
      </c>
      <c r="X48" s="224">
        <f ca="1">1/(1+'Financial Data'!$C$8)^X$14*X42</f>
        <v>145872.59089182908</v>
      </c>
      <c r="Y48" s="224">
        <f ca="1">1/(1+'Financial Data'!$C$8)^Y$14*Y42</f>
        <v>140939.7013447624</v>
      </c>
      <c r="Z48" s="224">
        <f ca="1">1/(1+'Financial Data'!$C$8)^Z$14*Z42</f>
        <v>136173.62448769316</v>
      </c>
      <c r="AA48" s="224">
        <f ca="1">1/(1+'Financial Data'!$C$8)^AA$14*AA42</f>
        <v>131568.71931178085</v>
      </c>
    </row>
    <row r="49" spans="1:27" s="225" customFormat="1">
      <c r="A49" s="223" t="str">
        <f>'Asset Info'!$E$10</f>
        <v>Balfour Beatty</v>
      </c>
      <c r="B49" s="224">
        <f ca="1">1/(1+'Financial Data'!$C$8)^B$14*B43</f>
        <v>0</v>
      </c>
      <c r="C49" s="224">
        <f ca="1">1/(1+'Financial Data'!$C$8)^C$14*C43</f>
        <v>0</v>
      </c>
      <c r="D49" s="224">
        <f ca="1">1/(1+'Financial Data'!$C$8)^D$14*D43</f>
        <v>0</v>
      </c>
      <c r="E49" s="224">
        <f ca="1">1/(1+'Financial Data'!$C$8)^E$14*E43</f>
        <v>0</v>
      </c>
      <c r="F49" s="224">
        <f ca="1">1/(1+'Financial Data'!$C$8)^F$14*F43</f>
        <v>0</v>
      </c>
      <c r="G49" s="224">
        <f ca="1">1/(1+'Financial Data'!$C$8)^G$14*G43</f>
        <v>0</v>
      </c>
      <c r="H49" s="224">
        <f ca="1">1/(1+'Financial Data'!$C$8)^H$14*H43</f>
        <v>0</v>
      </c>
      <c r="I49" s="224">
        <f ca="1">1/(1+'Financial Data'!$C$8)^I$14*I43</f>
        <v>0</v>
      </c>
      <c r="J49" s="224">
        <f ca="1">1/(1+'Financial Data'!$C$8)^J$14*J43</f>
        <v>0</v>
      </c>
      <c r="K49" s="224">
        <f ca="1">1/(1+'Financial Data'!$C$8)^K$14*K43</f>
        <v>0</v>
      </c>
      <c r="L49" s="224">
        <f ca="1">1/(1+'Financial Data'!$C$8)^L$14*L43</f>
        <v>0</v>
      </c>
      <c r="M49" s="224">
        <f ca="1">1/(1+'Financial Data'!$C$8)^M$14*M43</f>
        <v>0</v>
      </c>
      <c r="N49" s="224">
        <f ca="1">1/(1+'Financial Data'!$C$8)^N$14*N43</f>
        <v>0</v>
      </c>
      <c r="O49" s="224">
        <f ca="1">1/(1+'Financial Data'!$C$8)^O$14*O43</f>
        <v>0</v>
      </c>
      <c r="P49" s="224">
        <f ca="1">1/(1+'Financial Data'!$C$8)^P$14*P43</f>
        <v>0</v>
      </c>
      <c r="Q49" s="224">
        <f ca="1">1/(1+'Financial Data'!$C$8)^Q$14*Q43</f>
        <v>0</v>
      </c>
      <c r="R49" s="224">
        <f ca="1">1/(1+'Financial Data'!$C$8)^R$14*R43</f>
        <v>0</v>
      </c>
      <c r="S49" s="224">
        <f ca="1">1/(1+'Financial Data'!$C$8)^S$14*S43</f>
        <v>0</v>
      </c>
      <c r="T49" s="224">
        <f ca="1">1/(1+'Financial Data'!$C$8)^T$14*T43</f>
        <v>0</v>
      </c>
      <c r="U49" s="224">
        <f ca="1">1/(1+'Financial Data'!$C$8)^U$14*U43</f>
        <v>0</v>
      </c>
      <c r="V49" s="224">
        <f ca="1">1/(1+'Financial Data'!$C$8)^V$14*V43</f>
        <v>0</v>
      </c>
      <c r="W49" s="224">
        <f ca="1">1/(1+'Financial Data'!$C$8)^W$14*W43</f>
        <v>0</v>
      </c>
      <c r="X49" s="224">
        <f ca="1">1/(1+'Financial Data'!$C$8)^X$14*X43</f>
        <v>0</v>
      </c>
      <c r="Y49" s="224">
        <f ca="1">1/(1+'Financial Data'!$C$8)^Y$14*Y43</f>
        <v>0</v>
      </c>
      <c r="Z49" s="224">
        <f ca="1">1/(1+'Financial Data'!$C$8)^Z$14*Z43</f>
        <v>0</v>
      </c>
      <c r="AA49" s="224">
        <f ca="1">1/(1+'Financial Data'!$C$8)^AA$14*AA43</f>
        <v>0</v>
      </c>
    </row>
    <row r="50" spans="1:27" s="225" customFormat="1">
      <c r="A50" s="223" t="str">
        <f>'Asset Info'!$F$10</f>
        <v>RSSB</v>
      </c>
      <c r="B50" s="224">
        <f ca="1">1/(1+'Financial Data'!$C$8)^B$14*B44</f>
        <v>-6250</v>
      </c>
      <c r="C50" s="224">
        <f ca="1">1/(1+'Financial Data'!$C$8)^C$14*C44</f>
        <v>-12077.294685990339</v>
      </c>
      <c r="D50" s="224">
        <f ca="1">1/(1+'Financial Data'!$C$8)^D$14*D44</f>
        <v>-13727.274848887957</v>
      </c>
      <c r="E50" s="224">
        <f ca="1">1/(1+'Financial Data'!$C$8)^E$14*E44</f>
        <v>-15251.851152846259</v>
      </c>
      <c r="F50" s="224">
        <f ca="1">1/(1+'Financial Data'!$C$8)^F$14*F44</f>
        <v>-15363.52647432583</v>
      </c>
      <c r="G50" s="224">
        <f ca="1">1/(1+'Financial Data'!$C$8)^G$14*G44</f>
        <v>-15450.207611853919</v>
      </c>
      <c r="H50" s="224">
        <f ca="1">1/(1+'Financial Data'!$C$8)^H$14*H44</f>
        <v>-14927.736823047264</v>
      </c>
      <c r="I50" s="224">
        <f ca="1">1/(1+'Financial Data'!$C$8)^I$14*I44</f>
        <v>-14422.93412854808</v>
      </c>
      <c r="J50" s="224">
        <f ca="1">1/(1+'Financial Data'!$C$8)^J$14*J44</f>
        <v>-13935.202056568198</v>
      </c>
      <c r="K50" s="224">
        <f ca="1">1/(1+'Financial Data'!$C$8)^K$14*K44</f>
        <v>-13463.96333967942</v>
      </c>
      <c r="L50" s="224">
        <f ca="1">1/(1+'Financial Data'!$C$8)^L$14*L44</f>
        <v>-13008.660231574318</v>
      </c>
      <c r="M50" s="224">
        <f ca="1">1/(1+'Financial Data'!$C$8)^M$14*M44</f>
        <v>-12568.75384693171</v>
      </c>
      <c r="N50" s="224">
        <f ca="1">1/(1+'Financial Data'!$C$8)^N$14*N44</f>
        <v>-12143.723523605517</v>
      </c>
      <c r="O50" s="224">
        <f ca="1">1/(1+'Financial Data'!$C$8)^O$14*O44</f>
        <v>-11733.066206382146</v>
      </c>
      <c r="P50" s="224">
        <f ca="1">1/(1+'Financial Data'!$C$8)^P$14*P44</f>
        <v>-11336.29585157695</v>
      </c>
      <c r="Q50" s="224">
        <f ca="1">1/(1+'Financial Data'!$C$8)^Q$14*Q44</f>
        <v>-10952.94285176517</v>
      </c>
      <c r="R50" s="224">
        <f ca="1">1/(1+'Financial Data'!$C$8)^R$14*R44</f>
        <v>-10582.553479966349</v>
      </c>
      <c r="S50" s="224">
        <f ca="1">1/(1+'Financial Data'!$C$8)^S$14*S44</f>
        <v>-10224.689352624495</v>
      </c>
      <c r="T50" s="224">
        <f ca="1">1/(1+'Financial Data'!$C$8)^T$14*T44</f>
        <v>-9878.9269107483033</v>
      </c>
      <c r="U50" s="224">
        <f ca="1">1/(1+'Financial Data'!$C$8)^U$14*U44</f>
        <v>-9544.8569185973975</v>
      </c>
      <c r="V50" s="224">
        <f ca="1">1/(1+'Financial Data'!$C$8)^V$14*V44</f>
        <v>-9222.0839793211562</v>
      </c>
      <c r="W50" s="224">
        <f ca="1">1/(1+'Financial Data'!$C$8)^W$14*W44</f>
        <v>-8910.2260669769639</v>
      </c>
      <c r="X50" s="224">
        <f ca="1">1/(1+'Financial Data'!$C$8)^X$14*X44</f>
        <v>-8608.914074373879</v>
      </c>
      <c r="Y50" s="224">
        <f ca="1">1/(1+'Financial Data'!$C$8)^Y$14*Y44</f>
        <v>-8317.7913762066455</v>
      </c>
      <c r="Z50" s="224">
        <f ca="1">1/(1+'Financial Data'!$C$8)^Z$14*Z44</f>
        <v>-8036.5134069629448</v>
      </c>
      <c r="AA50" s="224">
        <f ca="1">1/(1+'Financial Data'!$C$8)^AA$14*AA44</f>
        <v>-7764.7472531042949</v>
      </c>
    </row>
    <row r="51" spans="1:27" s="53" customFormat="1">
      <c r="A51" s="150" t="s">
        <v>185</v>
      </c>
      <c r="B51" s="149">
        <f ca="1">1/(1+'Financial Data'!$C$8)^B14*B45</f>
        <v>2108.890000000596</v>
      </c>
      <c r="C51" s="149">
        <f ca="1">1/(1+'Financial Data'!$C$8)^C14*C45</f>
        <v>2037.5748792276293</v>
      </c>
      <c r="D51" s="149">
        <f ca="1">1/(1+'Financial Data'!$C$8)^D14*D45</f>
        <v>88604.479917851742</v>
      </c>
      <c r="E51" s="149">
        <f ca="1">1/(1+'Financial Data'!$C$8)^E14*E45</f>
        <v>85608.193157344693</v>
      </c>
      <c r="F51" s="149">
        <f ca="1">1/(1+'Financial Data'!$C$8)^F14*F45</f>
        <v>46286.944985914357</v>
      </c>
      <c r="G51" s="149">
        <f ca="1">1/(1+'Financial Data'!$C$8)^G14*G45</f>
        <v>44721.685976728855</v>
      </c>
      <c r="H51" s="149">
        <f ca="1">1/(1+'Financial Data'!$C$8)^H14*H45</f>
        <v>0</v>
      </c>
      <c r="I51" s="149">
        <f ca="1">1/(1+'Financial Data'!$C$8)^I14*I45</f>
        <v>0</v>
      </c>
      <c r="J51" s="149">
        <f ca="1">1/(1+'Financial Data'!$C$8)^J14*J45</f>
        <v>0</v>
      </c>
      <c r="K51" s="149">
        <f ca="1">1/(1+'Financial Data'!$C$8)^K14*K45</f>
        <v>0</v>
      </c>
      <c r="L51" s="149">
        <f ca="1">1/(1+'Financial Data'!$C$8)^L14*L45</f>
        <v>0</v>
      </c>
      <c r="M51" s="149">
        <f ca="1">1/(1+'Financial Data'!$C$8)^M14*M45</f>
        <v>0</v>
      </c>
      <c r="N51" s="149">
        <f ca="1">1/(1+'Financial Data'!$C$8)^N14*N45</f>
        <v>0</v>
      </c>
      <c r="O51" s="149">
        <f ca="1">1/(1+'Financial Data'!$C$8)^O14*O45</f>
        <v>0</v>
      </c>
      <c r="P51" s="149">
        <f ca="1">1/(1+'Financial Data'!$C$8)^P14*P45</f>
        <v>0</v>
      </c>
      <c r="Q51" s="149">
        <f ca="1">1/(1+'Financial Data'!$C$8)^Q14*Q45</f>
        <v>0</v>
      </c>
      <c r="R51" s="149">
        <f ca="1">1/(1+'Financial Data'!$C$8)^R14*R45</f>
        <v>0</v>
      </c>
      <c r="S51" s="149">
        <f ca="1">1/(1+'Financial Data'!$C$8)^S14*S45</f>
        <v>0</v>
      </c>
      <c r="T51" s="149">
        <f ca="1">1/(1+'Financial Data'!$C$8)^T14*T45</f>
        <v>0</v>
      </c>
      <c r="U51" s="149">
        <f ca="1">1/(1+'Financial Data'!$C$8)^U14*U45</f>
        <v>0</v>
      </c>
      <c r="V51" s="149">
        <f ca="1">1/(1+'Financial Data'!$C$8)^V14*V45</f>
        <v>0</v>
      </c>
      <c r="W51" s="149">
        <f ca="1">1/(1+'Financial Data'!$C$8)^W14*W45</f>
        <v>0</v>
      </c>
      <c r="X51" s="149">
        <f ca="1">1/(1+'Financial Data'!$C$8)^X14*X45</f>
        <v>0</v>
      </c>
      <c r="Y51" s="149">
        <f ca="1">1/(1+'Financial Data'!$C$8)^Y14*Y45</f>
        <v>0</v>
      </c>
      <c r="Z51" s="149">
        <f ca="1">1/(1+'Financial Data'!$C$8)^Z14*Z45</f>
        <v>0</v>
      </c>
      <c r="AA51" s="149">
        <f ca="1">1/(1+'Financial Data'!$C$8)^AA14*AA45</f>
        <v>0</v>
      </c>
    </row>
    <row r="52" spans="1:27">
      <c r="A52" s="21"/>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row>
    <row r="53" spans="1:27">
      <c r="A53" s="22" t="s">
        <v>188</v>
      </c>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row>
    <row r="54" spans="1:27" s="53" customFormat="1">
      <c r="A54" s="148" t="s">
        <v>161</v>
      </c>
      <c r="B54" s="149">
        <f t="shared" ref="B54:AA58" ca="1" si="1">B22+B40</f>
        <v>-32891.109999999404</v>
      </c>
      <c r="C54" s="149">
        <f t="shared" ca="1" si="1"/>
        <v>-30782.219999998808</v>
      </c>
      <c r="D54" s="149">
        <f t="shared" ca="1" si="1"/>
        <v>74633.114000001922</v>
      </c>
      <c r="E54" s="149">
        <f t="shared" ca="1" si="1"/>
        <v>169548.44800000265</v>
      </c>
      <c r="F54" s="149">
        <f t="shared" ca="1" si="1"/>
        <v>239163.78200000338</v>
      </c>
      <c r="G54" s="149">
        <f t="shared" ca="1" si="1"/>
        <v>292279.11600000411</v>
      </c>
      <c r="H54" s="149">
        <f t="shared" ca="1" si="1"/>
        <v>300279.11600000411</v>
      </c>
      <c r="I54" s="149">
        <f t="shared" ca="1" si="1"/>
        <v>300279.11600000411</v>
      </c>
      <c r="J54" s="149">
        <f t="shared" ca="1" si="1"/>
        <v>300279.11600000411</v>
      </c>
      <c r="K54" s="149">
        <f t="shared" ca="1" si="1"/>
        <v>300279.11600000411</v>
      </c>
      <c r="L54" s="149">
        <f t="shared" ca="1" si="1"/>
        <v>300279.11600000411</v>
      </c>
      <c r="M54" s="149">
        <f t="shared" ca="1" si="1"/>
        <v>300279.11600000411</v>
      </c>
      <c r="N54" s="149">
        <f t="shared" ca="1" si="1"/>
        <v>300279.11600000411</v>
      </c>
      <c r="O54" s="149">
        <f t="shared" ca="1" si="1"/>
        <v>300279.11600000411</v>
      </c>
      <c r="P54" s="149">
        <f t="shared" ca="1" si="1"/>
        <v>300279.11600000411</v>
      </c>
      <c r="Q54" s="149">
        <f t="shared" ca="1" si="1"/>
        <v>300279.11600000411</v>
      </c>
      <c r="R54" s="149">
        <f t="shared" ca="1" si="1"/>
        <v>300279.11600000411</v>
      </c>
      <c r="S54" s="149">
        <f t="shared" ca="1" si="1"/>
        <v>300279.11600000411</v>
      </c>
      <c r="T54" s="149">
        <f t="shared" ca="1" si="1"/>
        <v>300279.11600000411</v>
      </c>
      <c r="U54" s="149">
        <f t="shared" ca="1" si="1"/>
        <v>300279.11600000411</v>
      </c>
      <c r="V54" s="149">
        <f t="shared" ca="1" si="1"/>
        <v>300279.11600000411</v>
      </c>
      <c r="W54" s="149">
        <f t="shared" ca="1" si="1"/>
        <v>300279.11600000411</v>
      </c>
      <c r="X54" s="149">
        <f t="shared" ca="1" si="1"/>
        <v>300279.11600000411</v>
      </c>
      <c r="Y54" s="149">
        <f t="shared" ca="1" si="1"/>
        <v>300279.11600000411</v>
      </c>
      <c r="Z54" s="149">
        <f t="shared" ca="1" si="1"/>
        <v>300279.11600000411</v>
      </c>
      <c r="AA54" s="149">
        <f t="shared" ca="1" si="1"/>
        <v>300279.11600000411</v>
      </c>
    </row>
    <row r="55" spans="1:27" s="225" customFormat="1">
      <c r="A55" s="223" t="str">
        <f>'Asset Info'!$C$10</f>
        <v>Crossrail</v>
      </c>
      <c r="B55" s="224">
        <f t="shared" ca="1" si="1"/>
        <v>1750</v>
      </c>
      <c r="C55" s="224">
        <f t="shared" ca="1" si="1"/>
        <v>3500</v>
      </c>
      <c r="D55" s="224">
        <f t="shared" ca="1" si="1"/>
        <v>4550</v>
      </c>
      <c r="E55" s="224">
        <f t="shared" ca="1" si="1"/>
        <v>5600</v>
      </c>
      <c r="F55" s="224">
        <f t="shared" ca="1" si="1"/>
        <v>6650</v>
      </c>
      <c r="G55" s="224">
        <f t="shared" ca="1" si="1"/>
        <v>7700</v>
      </c>
      <c r="H55" s="224">
        <f t="shared" ca="1" si="1"/>
        <v>7700</v>
      </c>
      <c r="I55" s="224">
        <f t="shared" ca="1" si="1"/>
        <v>7700</v>
      </c>
      <c r="J55" s="224">
        <f t="shared" ca="1" si="1"/>
        <v>7700</v>
      </c>
      <c r="K55" s="224">
        <f t="shared" ca="1" si="1"/>
        <v>7700</v>
      </c>
      <c r="L55" s="224">
        <f t="shared" ca="1" si="1"/>
        <v>7700</v>
      </c>
      <c r="M55" s="224">
        <f t="shared" ca="1" si="1"/>
        <v>7700</v>
      </c>
      <c r="N55" s="224">
        <f t="shared" ca="1" si="1"/>
        <v>7700</v>
      </c>
      <c r="O55" s="224">
        <f t="shared" ca="1" si="1"/>
        <v>7700</v>
      </c>
      <c r="P55" s="224">
        <f t="shared" ca="1" si="1"/>
        <v>7700</v>
      </c>
      <c r="Q55" s="224">
        <f t="shared" ca="1" si="1"/>
        <v>7700</v>
      </c>
      <c r="R55" s="224">
        <f t="shared" ca="1" si="1"/>
        <v>7700</v>
      </c>
      <c r="S55" s="224">
        <f t="shared" ca="1" si="1"/>
        <v>7700</v>
      </c>
      <c r="T55" s="224">
        <f t="shared" ca="1" si="1"/>
        <v>7700</v>
      </c>
      <c r="U55" s="224">
        <f t="shared" ca="1" si="1"/>
        <v>7700</v>
      </c>
      <c r="V55" s="224">
        <f t="shared" ca="1" si="1"/>
        <v>7700</v>
      </c>
      <c r="W55" s="224">
        <f t="shared" ca="1" si="1"/>
        <v>7700</v>
      </c>
      <c r="X55" s="224">
        <f t="shared" ca="1" si="1"/>
        <v>7700</v>
      </c>
      <c r="Y55" s="224">
        <f t="shared" ca="1" si="1"/>
        <v>7700</v>
      </c>
      <c r="Z55" s="224">
        <f t="shared" ca="1" si="1"/>
        <v>7700</v>
      </c>
      <c r="AA55" s="224">
        <f t="shared" ca="1" si="1"/>
        <v>7700</v>
      </c>
    </row>
    <row r="56" spans="1:27" s="225" customFormat="1">
      <c r="A56" s="223" t="str">
        <f>'Asset Info'!$D$10</f>
        <v>NR Western</v>
      </c>
      <c r="B56" s="224">
        <f t="shared" ca="1" si="1"/>
        <v>-17891.109999999404</v>
      </c>
      <c r="C56" s="224">
        <f t="shared" ca="1" si="1"/>
        <v>-11282.219999998808</v>
      </c>
      <c r="D56" s="224">
        <f t="shared" ca="1" si="1"/>
        <v>92138.114000001922</v>
      </c>
      <c r="E56" s="224">
        <f t="shared" ca="1" si="1"/>
        <v>188208.44800000265</v>
      </c>
      <c r="F56" s="224">
        <f t="shared" ca="1" si="1"/>
        <v>252543.78200000338</v>
      </c>
      <c r="G56" s="224">
        <f t="shared" ca="1" si="1"/>
        <v>305329.11600000411</v>
      </c>
      <c r="H56" s="224">
        <f t="shared" ca="1" si="1"/>
        <v>310929.11600000411</v>
      </c>
      <c r="I56" s="224">
        <f t="shared" ca="1" si="1"/>
        <v>310929.11600000411</v>
      </c>
      <c r="J56" s="224">
        <f t="shared" ca="1" si="1"/>
        <v>310929.11600000411</v>
      </c>
      <c r="K56" s="224">
        <f t="shared" ca="1" si="1"/>
        <v>310929.11600000411</v>
      </c>
      <c r="L56" s="224">
        <f t="shared" ca="1" si="1"/>
        <v>310929.11600000411</v>
      </c>
      <c r="M56" s="224">
        <f t="shared" ca="1" si="1"/>
        <v>310929.11600000411</v>
      </c>
      <c r="N56" s="224">
        <f t="shared" ca="1" si="1"/>
        <v>310929.11600000411</v>
      </c>
      <c r="O56" s="224">
        <f t="shared" ca="1" si="1"/>
        <v>310929.11600000411</v>
      </c>
      <c r="P56" s="224">
        <f t="shared" ca="1" si="1"/>
        <v>310929.11600000411</v>
      </c>
      <c r="Q56" s="224">
        <f t="shared" ca="1" si="1"/>
        <v>310929.11600000411</v>
      </c>
      <c r="R56" s="224">
        <f t="shared" ca="1" si="1"/>
        <v>310929.11600000411</v>
      </c>
      <c r="S56" s="224">
        <f t="shared" ca="1" si="1"/>
        <v>310929.11600000411</v>
      </c>
      <c r="T56" s="224">
        <f t="shared" ca="1" si="1"/>
        <v>310929.11600000411</v>
      </c>
      <c r="U56" s="224">
        <f t="shared" ca="1" si="1"/>
        <v>310929.11600000411</v>
      </c>
      <c r="V56" s="224">
        <f t="shared" ca="1" si="1"/>
        <v>310929.11600000411</v>
      </c>
      <c r="W56" s="224">
        <f t="shared" ca="1" si="1"/>
        <v>310929.11600000411</v>
      </c>
      <c r="X56" s="224">
        <f t="shared" ca="1" si="1"/>
        <v>310929.11600000411</v>
      </c>
      <c r="Y56" s="224">
        <f t="shared" ca="1" si="1"/>
        <v>310929.11600000411</v>
      </c>
      <c r="Z56" s="224">
        <f t="shared" ca="1" si="1"/>
        <v>310929.11600000411</v>
      </c>
      <c r="AA56" s="224">
        <f t="shared" ca="1" si="1"/>
        <v>310929.11600000411</v>
      </c>
    </row>
    <row r="57" spans="1:27" s="225" customFormat="1">
      <c r="A57" s="223" t="str">
        <f>'Asset Info'!$E$10</f>
        <v>Balfour Beatty</v>
      </c>
      <c r="B57" s="224">
        <f t="shared" ca="1" si="1"/>
        <v>0</v>
      </c>
      <c r="C57" s="224">
        <f t="shared" ca="1" si="1"/>
        <v>0</v>
      </c>
      <c r="D57" s="224">
        <f t="shared" ca="1" si="1"/>
        <v>0</v>
      </c>
      <c r="E57" s="224">
        <f t="shared" ca="1" si="1"/>
        <v>0</v>
      </c>
      <c r="F57" s="224">
        <f t="shared" ca="1" si="1"/>
        <v>0</v>
      </c>
      <c r="G57" s="224">
        <f t="shared" ca="1" si="1"/>
        <v>0</v>
      </c>
      <c r="H57" s="224">
        <f t="shared" ca="1" si="1"/>
        <v>0</v>
      </c>
      <c r="I57" s="224">
        <f t="shared" ca="1" si="1"/>
        <v>0</v>
      </c>
      <c r="J57" s="224">
        <f t="shared" ca="1" si="1"/>
        <v>0</v>
      </c>
      <c r="K57" s="224">
        <f t="shared" ca="1" si="1"/>
        <v>0</v>
      </c>
      <c r="L57" s="224">
        <f t="shared" ca="1" si="1"/>
        <v>0</v>
      </c>
      <c r="M57" s="224">
        <f t="shared" ca="1" si="1"/>
        <v>0</v>
      </c>
      <c r="N57" s="224">
        <f t="shared" ca="1" si="1"/>
        <v>0</v>
      </c>
      <c r="O57" s="224">
        <f t="shared" ca="1" si="1"/>
        <v>0</v>
      </c>
      <c r="P57" s="224">
        <f t="shared" ca="1" si="1"/>
        <v>0</v>
      </c>
      <c r="Q57" s="224">
        <f t="shared" ca="1" si="1"/>
        <v>0</v>
      </c>
      <c r="R57" s="224">
        <f t="shared" ca="1" si="1"/>
        <v>0</v>
      </c>
      <c r="S57" s="224">
        <f t="shared" ca="1" si="1"/>
        <v>0</v>
      </c>
      <c r="T57" s="224">
        <f t="shared" ca="1" si="1"/>
        <v>0</v>
      </c>
      <c r="U57" s="224">
        <f t="shared" ca="1" si="1"/>
        <v>0</v>
      </c>
      <c r="V57" s="224">
        <f t="shared" ca="1" si="1"/>
        <v>0</v>
      </c>
      <c r="W57" s="224">
        <f t="shared" ca="1" si="1"/>
        <v>0</v>
      </c>
      <c r="X57" s="224">
        <f t="shared" ca="1" si="1"/>
        <v>0</v>
      </c>
      <c r="Y57" s="224">
        <f t="shared" ca="1" si="1"/>
        <v>0</v>
      </c>
      <c r="Z57" s="224">
        <f t="shared" ca="1" si="1"/>
        <v>0</v>
      </c>
      <c r="AA57" s="224">
        <f t="shared" ca="1" si="1"/>
        <v>0</v>
      </c>
    </row>
    <row r="58" spans="1:27" s="225" customFormat="1">
      <c r="A58" s="223" t="str">
        <f>'Asset Info'!$F$10</f>
        <v>RSSB</v>
      </c>
      <c r="B58" s="224">
        <f t="shared" ca="1" si="1"/>
        <v>-16750</v>
      </c>
      <c r="C58" s="224">
        <f t="shared" ca="1" si="1"/>
        <v>-23000</v>
      </c>
      <c r="D58" s="224">
        <f t="shared" ca="1" si="1"/>
        <v>-22055</v>
      </c>
      <c r="E58" s="224">
        <f t="shared" ca="1" si="1"/>
        <v>-24260</v>
      </c>
      <c r="F58" s="224">
        <f t="shared" ca="1" si="1"/>
        <v>-20030</v>
      </c>
      <c r="G58" s="224">
        <f t="shared" ca="1" si="1"/>
        <v>-20750</v>
      </c>
      <c r="H58" s="224">
        <f t="shared" ca="1" si="1"/>
        <v>-18350</v>
      </c>
      <c r="I58" s="224">
        <f t="shared" ca="1" si="1"/>
        <v>-18350</v>
      </c>
      <c r="J58" s="224">
        <f t="shared" ca="1" si="1"/>
        <v>-18350</v>
      </c>
      <c r="K58" s="224">
        <f t="shared" ca="1" si="1"/>
        <v>-18350</v>
      </c>
      <c r="L58" s="224">
        <f t="shared" ca="1" si="1"/>
        <v>-18350</v>
      </c>
      <c r="M58" s="224">
        <f t="shared" ca="1" si="1"/>
        <v>-18350</v>
      </c>
      <c r="N58" s="224">
        <f t="shared" ca="1" si="1"/>
        <v>-18350</v>
      </c>
      <c r="O58" s="224">
        <f t="shared" ca="1" si="1"/>
        <v>-18350</v>
      </c>
      <c r="P58" s="224">
        <f t="shared" ca="1" si="1"/>
        <v>-18350</v>
      </c>
      <c r="Q58" s="224">
        <f t="shared" ca="1" si="1"/>
        <v>-18350</v>
      </c>
      <c r="R58" s="224">
        <f t="shared" ca="1" si="1"/>
        <v>-18350</v>
      </c>
      <c r="S58" s="224">
        <f t="shared" ca="1" si="1"/>
        <v>-18350</v>
      </c>
      <c r="T58" s="224">
        <f t="shared" ca="1" si="1"/>
        <v>-18350</v>
      </c>
      <c r="U58" s="224">
        <f t="shared" ca="1" si="1"/>
        <v>-18350</v>
      </c>
      <c r="V58" s="224">
        <f t="shared" ca="1" si="1"/>
        <v>-18350</v>
      </c>
      <c r="W58" s="224">
        <f t="shared" ca="1" si="1"/>
        <v>-18350</v>
      </c>
      <c r="X58" s="224">
        <f t="shared" ca="1" si="1"/>
        <v>-18350</v>
      </c>
      <c r="Y58" s="224">
        <f t="shared" ca="1" si="1"/>
        <v>-18350</v>
      </c>
      <c r="Z58" s="224">
        <f t="shared" ca="1" si="1"/>
        <v>-18350</v>
      </c>
      <c r="AA58" s="224">
        <f t="shared" ca="1" si="1"/>
        <v>-18350</v>
      </c>
    </row>
    <row r="59" spans="1:27" s="53" customFormat="1">
      <c r="A59" s="150" t="s">
        <v>186</v>
      </c>
      <c r="B59" s="149">
        <f ca="1">1/(1+'Financial Data'!$C$8)^B14*B54</f>
        <v>-32891.109999999404</v>
      </c>
      <c r="C59" s="149">
        <f ca="1">1/(1+'Financial Data'!$C$8)^C14*C54</f>
        <v>-29741.27536231769</v>
      </c>
      <c r="D59" s="149">
        <f ca="1">1/(1+'Financial Data'!$C$8)^D14*D54</f>
        <v>69670.810520667394</v>
      </c>
      <c r="E59" s="149">
        <f ca="1">1/(1+'Financial Data'!$C$8)^E14*E54</f>
        <v>152922.98593093638</v>
      </c>
      <c r="F59" s="149">
        <f ca="1">1/(1+'Financial Data'!$C$8)^F14*F54</f>
        <v>208417.41897089867</v>
      </c>
      <c r="G59" s="149">
        <f ca="1">1/(1+'Financial Data'!$C$8)^G14*G54</f>
        <v>246091.1729051334</v>
      </c>
      <c r="H59" s="149">
        <f ca="1">1/(1+'Financial Data'!$C$8)^H14*H54</f>
        <v>244277.2543381658</v>
      </c>
      <c r="I59" s="149">
        <f ca="1">1/(1+'Financial Data'!$C$8)^I14*I54</f>
        <v>236016.6708581312</v>
      </c>
      <c r="J59" s="149">
        <f ca="1">1/(1+'Financial Data'!$C$8)^J14*J54</f>
        <v>228035.43078080314</v>
      </c>
      <c r="K59" s="149">
        <f ca="1">1/(1+'Financial Data'!$C$8)^K14*K54</f>
        <v>220324.08771092093</v>
      </c>
      <c r="L59" s="149">
        <f ca="1">1/(1+'Financial Data'!$C$8)^L14*L54</f>
        <v>212873.51469654197</v>
      </c>
      <c r="M59" s="149">
        <f ca="1">1/(1+'Financial Data'!$C$8)^M14*M54</f>
        <v>205674.89342661062</v>
      </c>
      <c r="N59" s="149">
        <f ca="1">1/(1+'Financial Data'!$C$8)^N14*N54</f>
        <v>198719.70379382669</v>
      </c>
      <c r="O59" s="149">
        <f ca="1">1/(1+'Financial Data'!$C$8)^O14*O54</f>
        <v>191999.71381046061</v>
      </c>
      <c r="P59" s="149">
        <f ca="1">1/(1+'Financial Data'!$C$8)^P14*P54</f>
        <v>185506.9698651793</v>
      </c>
      <c r="Q59" s="149">
        <f ca="1">1/(1+'Financial Data'!$C$8)^Q14*Q54</f>
        <v>179233.78730935202</v>
      </c>
      <c r="R59" s="149">
        <f ca="1">1/(1+'Financial Data'!$C$8)^R14*R54</f>
        <v>173172.74136169281</v>
      </c>
      <c r="S59" s="149">
        <f ca="1">1/(1+'Financial Data'!$C$8)^S14*S54</f>
        <v>167316.65832047616</v>
      </c>
      <c r="T59" s="149">
        <f ca="1">1/(1+'Financial Data'!$C$8)^T14*T54</f>
        <v>161658.60707292383</v>
      </c>
      <c r="U59" s="149">
        <f ca="1">1/(1+'Financial Data'!$C$8)^U14*U54</f>
        <v>156191.89089171388</v>
      </c>
      <c r="V59" s="149">
        <f ca="1">1/(1+'Financial Data'!$C$8)^V14*V54</f>
        <v>150910.03950890229</v>
      </c>
      <c r="W59" s="149">
        <f ca="1">1/(1+'Financial Data'!$C$8)^W14*W54</f>
        <v>145806.80145787663</v>
      </c>
      <c r="X59" s="149">
        <f ca="1">1/(1+'Financial Data'!$C$8)^X14*X54</f>
        <v>140876.13667427693</v>
      </c>
      <c r="Y59" s="149">
        <f ca="1">1/(1+'Financial Data'!$C$8)^Y14*Y54</f>
        <v>136112.20934712747</v>
      </c>
      <c r="Z59" s="149">
        <f ca="1">1/(1+'Financial Data'!$C$8)^Z14*Z54</f>
        <v>131509.3810117174</v>
      </c>
      <c r="AA59" s="149">
        <f ca="1">1/(1+'Financial Data'!$C$8)^AA14*AA54</f>
        <v>127062.20387605547</v>
      </c>
    </row>
    <row r="60" spans="1:27" s="53" customFormat="1">
      <c r="A60" s="150" t="s">
        <v>221</v>
      </c>
      <c r="B60" s="149">
        <f ca="1">B59</f>
        <v>-32891.109999999404</v>
      </c>
      <c r="C60" s="149">
        <f t="shared" ref="C60:AA60" ca="1" si="2">B60+C59</f>
        <v>-62632.385362317094</v>
      </c>
      <c r="D60" s="149">
        <f t="shared" ca="1" si="2"/>
        <v>7038.4251583502992</v>
      </c>
      <c r="E60" s="149">
        <f t="shared" ca="1" si="2"/>
        <v>159961.41108928667</v>
      </c>
      <c r="F60" s="149">
        <f t="shared" ca="1" si="2"/>
        <v>368378.83006018534</v>
      </c>
      <c r="G60" s="149">
        <f t="shared" ca="1" si="2"/>
        <v>614470.00296531874</v>
      </c>
      <c r="H60" s="149">
        <f t="shared" ca="1" si="2"/>
        <v>858747.25730348448</v>
      </c>
      <c r="I60" s="149">
        <f t="shared" ca="1" si="2"/>
        <v>1094763.9281616157</v>
      </c>
      <c r="J60" s="149">
        <f t="shared" ca="1" si="2"/>
        <v>1322799.3589424188</v>
      </c>
      <c r="K60" s="149">
        <f t="shared" ca="1" si="2"/>
        <v>1543123.4466533398</v>
      </c>
      <c r="L60" s="149">
        <f t="shared" ca="1" si="2"/>
        <v>1755996.9613498817</v>
      </c>
      <c r="M60" s="149">
        <f t="shared" ca="1" si="2"/>
        <v>1961671.8547764923</v>
      </c>
      <c r="N60" s="149">
        <f t="shared" ca="1" si="2"/>
        <v>2160391.5585703189</v>
      </c>
      <c r="O60" s="149">
        <f t="shared" ca="1" si="2"/>
        <v>2352391.2723807795</v>
      </c>
      <c r="P60" s="149">
        <f t="shared" ca="1" si="2"/>
        <v>2537898.2422459587</v>
      </c>
      <c r="Q60" s="149">
        <f t="shared" ca="1" si="2"/>
        <v>2717132.0295553105</v>
      </c>
      <c r="R60" s="149">
        <f t="shared" ca="1" si="2"/>
        <v>2890304.7709170035</v>
      </c>
      <c r="S60" s="149">
        <f t="shared" ca="1" si="2"/>
        <v>3057621.4292374798</v>
      </c>
      <c r="T60" s="149">
        <f t="shared" ca="1" si="2"/>
        <v>3219280.0363104036</v>
      </c>
      <c r="U60" s="149">
        <f t="shared" ca="1" si="2"/>
        <v>3375471.9272021176</v>
      </c>
      <c r="V60" s="149">
        <f t="shared" ca="1" si="2"/>
        <v>3526381.9667110201</v>
      </c>
      <c r="W60" s="149">
        <f t="shared" ca="1" si="2"/>
        <v>3672188.7681688969</v>
      </c>
      <c r="X60" s="149">
        <f t="shared" ca="1" si="2"/>
        <v>3813064.9048431739</v>
      </c>
      <c r="Y60" s="149">
        <f t="shared" ca="1" si="2"/>
        <v>3949177.1141903014</v>
      </c>
      <c r="Z60" s="149">
        <f t="shared" ca="1" si="2"/>
        <v>4080686.4952020189</v>
      </c>
      <c r="AA60" s="149">
        <f t="shared" ca="1" si="2"/>
        <v>4207748.6990780747</v>
      </c>
    </row>
    <row r="61" spans="1:27" s="53" customFormat="1">
      <c r="A61" s="115"/>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row>
    <row r="62" spans="1:27" s="53" customFormat="1">
      <c r="A62" s="115"/>
      <c r="B62" s="149" t="s">
        <v>29</v>
      </c>
      <c r="C62" s="149" t="str">
        <f>'Asset Info'!C10</f>
        <v>Crossrail</v>
      </c>
      <c r="D62" s="149" t="str">
        <f>'Asset Info'!D10</f>
        <v>NR Western</v>
      </c>
      <c r="E62" s="149" t="str">
        <f>'Asset Info'!E10</f>
        <v>Balfour Beatty</v>
      </c>
      <c r="F62" s="149" t="str">
        <f>'Asset Info'!F10</f>
        <v>RSSB</v>
      </c>
      <c r="G62" s="149"/>
      <c r="H62" s="149"/>
      <c r="I62" s="149"/>
      <c r="J62" s="149"/>
      <c r="K62" s="149"/>
      <c r="L62" s="149"/>
      <c r="M62" s="149"/>
      <c r="N62" s="149"/>
      <c r="O62" s="149"/>
      <c r="P62" s="149"/>
      <c r="Q62" s="149"/>
      <c r="R62" s="149"/>
      <c r="S62" s="149"/>
      <c r="T62" s="149"/>
      <c r="U62" s="149"/>
      <c r="V62" s="149"/>
      <c r="W62" s="149"/>
      <c r="X62" s="149"/>
      <c r="Y62" s="149"/>
      <c r="Z62" s="149"/>
      <c r="AA62" s="149"/>
    </row>
    <row r="63" spans="1:27">
      <c r="A63" s="22" t="s">
        <v>223</v>
      </c>
      <c r="B63" s="152">
        <f ca="1">SUMPRODUCT(B27:AA27,B19:AA19)</f>
        <v>-127492.35672507314</v>
      </c>
      <c r="C63" s="152">
        <f ca="1">SUMPRODUCT($B$28:$AA$28,$B$19:$AA$19)</f>
        <v>0</v>
      </c>
      <c r="D63" s="152">
        <f ca="1">SUMPRODUCT($B$29:$AA$29,$B$19:$AA$19)</f>
        <v>-89244.649707551187</v>
      </c>
      <c r="E63" s="152">
        <f ca="1">SUMPRODUCT($B$30:$AA$30,$B$19:$AA$19)</f>
        <v>0</v>
      </c>
      <c r="F63" s="152">
        <f ca="1">SUMPRODUCT($B$31:$AA$31,$B$19:$AA$19)</f>
        <v>-38247.707017521941</v>
      </c>
      <c r="G63" s="149"/>
      <c r="H63" s="149"/>
      <c r="I63" s="149"/>
      <c r="J63" s="149"/>
      <c r="K63" s="149"/>
      <c r="L63" s="149"/>
      <c r="M63" s="149"/>
      <c r="N63" s="149"/>
      <c r="O63" s="149"/>
      <c r="P63" s="149"/>
      <c r="Q63" s="149"/>
      <c r="R63" s="149"/>
      <c r="S63" s="149"/>
      <c r="T63" s="149"/>
      <c r="U63" s="149"/>
      <c r="V63" s="149"/>
      <c r="W63" s="149"/>
      <c r="X63" s="149"/>
      <c r="Y63" s="149"/>
      <c r="Z63" s="149"/>
      <c r="AA63" s="149"/>
    </row>
    <row r="64" spans="1:27">
      <c r="A64" s="22" t="s">
        <v>224</v>
      </c>
      <c r="B64" s="152">
        <f ca="1">SUMPRODUCT(B46:AA46,B19:AA19)</f>
        <v>1883489.3180749549</v>
      </c>
      <c r="C64" s="152">
        <f ca="1">SUMPRODUCT($B$47:$AA$47,$B$19:$AA$19)</f>
        <v>55980.237242217001</v>
      </c>
      <c r="D64" s="152">
        <f ca="1">SUMPRODUCT($B$48:$AA$48,$B$19:$AA$19)</f>
        <v>1975387.7321860592</v>
      </c>
      <c r="E64" s="152">
        <f ca="1">SUMPRODUCT($B$49:$AA$49,$B$19:$AA$19)</f>
        <v>0</v>
      </c>
      <c r="F64" s="152">
        <f ca="1">SUMPRODUCT($B$50:$AA$50,$B$19:$AA$19)</f>
        <v>-147878.65135332159</v>
      </c>
      <c r="G64" s="149"/>
      <c r="H64" s="149"/>
      <c r="I64" s="149"/>
      <c r="J64" s="149"/>
      <c r="K64" s="149"/>
      <c r="L64" s="149"/>
      <c r="M64" s="149"/>
      <c r="N64" s="149"/>
      <c r="O64" s="149"/>
      <c r="P64" s="149"/>
      <c r="Q64" s="149"/>
      <c r="R64" s="149"/>
      <c r="S64" s="149"/>
      <c r="T64" s="149"/>
      <c r="U64" s="149"/>
      <c r="V64" s="149"/>
      <c r="W64" s="149"/>
      <c r="X64" s="149"/>
      <c r="Y64" s="149"/>
      <c r="Z64" s="149"/>
      <c r="AA64" s="149"/>
    </row>
    <row r="65" spans="1:27">
      <c r="A65" s="22" t="s">
        <v>187</v>
      </c>
      <c r="B65" s="152">
        <f ca="1">B64+B63</f>
        <v>1755996.9613498817</v>
      </c>
      <c r="C65" s="152">
        <f t="shared" ref="C65:F65" ca="1" si="3">C64+C63</f>
        <v>55980.237242217001</v>
      </c>
      <c r="D65" s="152">
        <f t="shared" ca="1" si="3"/>
        <v>1886143.0824785081</v>
      </c>
      <c r="E65" s="152">
        <f t="shared" ca="1" si="3"/>
        <v>0</v>
      </c>
      <c r="F65" s="152">
        <f t="shared" ca="1" si="3"/>
        <v>-186126.35837084352</v>
      </c>
      <c r="G65" s="149"/>
      <c r="H65" s="149"/>
      <c r="I65" s="149"/>
      <c r="J65" s="149"/>
      <c r="K65" s="149"/>
      <c r="L65" s="149"/>
      <c r="M65" s="149"/>
      <c r="N65" s="149"/>
      <c r="O65" s="149"/>
      <c r="P65" s="149"/>
      <c r="Q65" s="149"/>
      <c r="R65" s="149"/>
      <c r="S65" s="149"/>
      <c r="T65" s="149"/>
      <c r="U65" s="149"/>
      <c r="V65" s="149"/>
      <c r="W65" s="149"/>
      <c r="X65" s="149"/>
      <c r="Y65" s="149"/>
      <c r="Z65" s="149"/>
      <c r="AA65" s="149"/>
    </row>
    <row r="66" spans="1:27">
      <c r="A66" s="22" t="s">
        <v>222</v>
      </c>
      <c r="B66" s="153">
        <f ca="1">IF(B63&gt;=0,"n/a",B65/-B63)</f>
        <v>13.77335086162495</v>
      </c>
      <c r="C66" s="153" t="str">
        <f t="shared" ref="C66:F66" ca="1" si="4">IF(C63&gt;=0,"n/a",C65/-C63)</f>
        <v>n/a</v>
      </c>
      <c r="D66" s="153">
        <f t="shared" ca="1" si="4"/>
        <v>21.134522782702092</v>
      </c>
      <c r="E66" s="153" t="str">
        <f t="shared" ca="1" si="4"/>
        <v>n/a</v>
      </c>
      <c r="F66" s="153">
        <f t="shared" ca="1" si="4"/>
        <v>-4.8663403085987822</v>
      </c>
      <c r="G66" s="149"/>
      <c r="H66" s="149"/>
      <c r="I66" s="149"/>
      <c r="J66" s="149"/>
      <c r="K66" s="149"/>
      <c r="L66" s="149"/>
      <c r="M66" s="149"/>
      <c r="N66" s="149"/>
      <c r="O66" s="149"/>
      <c r="P66" s="149"/>
      <c r="Q66" s="149"/>
      <c r="R66" s="149"/>
      <c r="S66" s="149"/>
      <c r="T66" s="149"/>
      <c r="U66" s="149"/>
      <c r="V66" s="149"/>
      <c r="W66" s="149"/>
      <c r="X66" s="149"/>
      <c r="Y66" s="149"/>
      <c r="Z66" s="149"/>
      <c r="AA66" s="149"/>
    </row>
    <row r="67" spans="1:27">
      <c r="A67" s="22"/>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row>
    <row r="68" spans="1:27">
      <c r="A68" s="21"/>
      <c r="B68" s="154"/>
      <c r="C68" s="154"/>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7"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5608"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5609"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5610"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5611"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PA">
    <tabColor indexed="22"/>
  </sheetPr>
  <dimension ref="A1:AA68"/>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196</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t="s">
        <v>132</v>
      </c>
      <c r="B8" s="136" t="s">
        <v>138</v>
      </c>
      <c r="C8" s="136" t="s">
        <v>138</v>
      </c>
      <c r="D8" s="137">
        <f>'Financial Data'!C17</f>
        <v>2</v>
      </c>
      <c r="E8" s="136" t="s">
        <v>111</v>
      </c>
      <c r="F8" s="21"/>
      <c r="G8" s="21"/>
      <c r="H8" s="21"/>
      <c r="I8" s="21"/>
      <c r="J8" s="21"/>
      <c r="K8" s="21"/>
      <c r="L8" s="21"/>
      <c r="M8" s="21"/>
      <c r="N8" s="21"/>
      <c r="O8" s="21"/>
      <c r="P8" s="21"/>
      <c r="Q8" s="21"/>
      <c r="R8" s="21"/>
      <c r="S8" s="21"/>
      <c r="T8" s="21"/>
      <c r="U8" s="21"/>
      <c r="V8" s="21"/>
      <c r="W8" s="21"/>
      <c r="X8" s="21"/>
      <c r="Y8" s="21"/>
      <c r="Z8" s="21"/>
      <c r="AA8" s="21"/>
    </row>
    <row r="9" spans="1:27" hidden="1">
      <c r="A9" s="138" t="s">
        <v>134</v>
      </c>
      <c r="B9" s="138" t="s">
        <v>141</v>
      </c>
      <c r="C9" s="138" t="s">
        <v>139</v>
      </c>
      <c r="D9" s="139">
        <f>'Financial Data'!C18+D8</f>
        <v>4</v>
      </c>
      <c r="E9" s="138" t="s">
        <v>117</v>
      </c>
      <c r="F9" s="21"/>
      <c r="G9" s="21"/>
      <c r="H9" s="21"/>
      <c r="I9" s="21"/>
      <c r="J9" s="21"/>
      <c r="K9" s="21"/>
      <c r="L9" s="21"/>
      <c r="M9" s="21"/>
      <c r="N9" s="21"/>
      <c r="O9" s="21"/>
      <c r="P9" s="21"/>
      <c r="Q9" s="21"/>
      <c r="R9" s="21"/>
      <c r="S9" s="21"/>
      <c r="T9" s="21"/>
      <c r="U9" s="21"/>
      <c r="V9" s="21"/>
      <c r="W9" s="21"/>
      <c r="X9" s="21"/>
      <c r="Y9" s="21"/>
      <c r="Z9" s="21"/>
      <c r="AA9" s="21"/>
    </row>
    <row r="10" spans="1:27" hidden="1">
      <c r="A10" s="138" t="s">
        <v>135</v>
      </c>
      <c r="B10" s="138" t="s">
        <v>141</v>
      </c>
      <c r="C10" s="138" t="s">
        <v>139</v>
      </c>
      <c r="D10" s="139">
        <f>'Financial Data'!C19+D9</f>
        <v>6</v>
      </c>
      <c r="E10" s="138"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t="s">
        <v>136</v>
      </c>
      <c r="B11" s="138" t="s">
        <v>141</v>
      </c>
      <c r="C11" s="138" t="s">
        <v>139</v>
      </c>
      <c r="D11" s="139">
        <f>'Financial Data'!C20+D10</f>
        <v>8</v>
      </c>
      <c r="E11" s="138" t="s">
        <v>112</v>
      </c>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c r="B12" s="140"/>
      <c r="C12" s="140"/>
      <c r="D12" s="141"/>
      <c r="E12" s="140"/>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
        <v>73</v>
      </c>
      <c r="D16" s="139" t="s">
        <v>111</v>
      </c>
      <c r="E16" s="139" t="s">
        <v>111</v>
      </c>
      <c r="F16" s="139" t="s">
        <v>117</v>
      </c>
      <c r="G16" s="139" t="s">
        <v>117</v>
      </c>
      <c r="H16" s="139" t="s">
        <v>118</v>
      </c>
      <c r="I16" s="139" t="s">
        <v>118</v>
      </c>
      <c r="J16" s="139" t="s">
        <v>112</v>
      </c>
      <c r="K16" s="139" t="s">
        <v>112</v>
      </c>
      <c r="L16" s="139" t="s">
        <v>112</v>
      </c>
      <c r="M16" s="139" t="s">
        <v>112</v>
      </c>
      <c r="N16" s="139" t="s">
        <v>112</v>
      </c>
      <c r="O16" s="139" t="s">
        <v>112</v>
      </c>
      <c r="P16" s="139" t="s">
        <v>112</v>
      </c>
      <c r="Q16" s="139" t="s">
        <v>112</v>
      </c>
      <c r="R16" s="139" t="s">
        <v>112</v>
      </c>
      <c r="S16" s="139" t="s">
        <v>112</v>
      </c>
      <c r="T16" s="139" t="s">
        <v>112</v>
      </c>
      <c r="U16" s="139" t="s">
        <v>112</v>
      </c>
      <c r="V16" s="139" t="s">
        <v>112</v>
      </c>
      <c r="W16" s="139" t="s">
        <v>112</v>
      </c>
      <c r="X16" s="139" t="s">
        <v>112</v>
      </c>
      <c r="Y16" s="139" t="s">
        <v>112</v>
      </c>
      <c r="Z16" s="139" t="s">
        <v>112</v>
      </c>
      <c r="AA16" s="139" t="s">
        <v>112</v>
      </c>
    </row>
    <row r="17" spans="1:27" hidden="1">
      <c r="A17" s="75" t="s">
        <v>190</v>
      </c>
      <c r="B17" s="139" t="s">
        <v>111</v>
      </c>
      <c r="C17" s="139" t="s">
        <v>111</v>
      </c>
      <c r="D17" s="139" t="s">
        <v>117</v>
      </c>
      <c r="E17" s="139" t="s">
        <v>117</v>
      </c>
      <c r="F17" s="139" t="s">
        <v>118</v>
      </c>
      <c r="G17" s="139" t="s">
        <v>118</v>
      </c>
      <c r="H17" s="139" t="s">
        <v>112</v>
      </c>
      <c r="I17" s="139" t="s">
        <v>112</v>
      </c>
      <c r="J17" s="139" t="s">
        <v>113</v>
      </c>
      <c r="K17" s="139" t="s">
        <v>113</v>
      </c>
      <c r="L17" s="139" t="s">
        <v>113</v>
      </c>
      <c r="M17" s="139" t="s">
        <v>113</v>
      </c>
      <c r="N17" s="139" t="s">
        <v>113</v>
      </c>
      <c r="O17" s="139" t="s">
        <v>113</v>
      </c>
      <c r="P17" s="139" t="s">
        <v>113</v>
      </c>
      <c r="Q17" s="139" t="s">
        <v>113</v>
      </c>
      <c r="R17" s="139" t="s">
        <v>113</v>
      </c>
      <c r="S17" s="139" t="s">
        <v>113</v>
      </c>
      <c r="T17" s="139" t="s">
        <v>113</v>
      </c>
      <c r="U17" s="139" t="s">
        <v>113</v>
      </c>
      <c r="V17" s="139" t="s">
        <v>113</v>
      </c>
      <c r="W17" s="139" t="s">
        <v>113</v>
      </c>
      <c r="X17" s="139" t="s">
        <v>113</v>
      </c>
      <c r="Y17" s="139" t="s">
        <v>113</v>
      </c>
      <c r="Z17" s="139" t="s">
        <v>113</v>
      </c>
      <c r="AA17" s="139" t="s">
        <v>113</v>
      </c>
    </row>
    <row r="18" spans="1:27" hidden="1">
      <c r="A18" s="75" t="s">
        <v>191</v>
      </c>
      <c r="B18" s="144">
        <f ca="1">IF(TYPE(INDEX($D$8:$D$12,MATCH(B17,$E$8:$E$12,FALSE)))=16,0,
IF(INDEX($D$8:$D$12,MATCH(B17,$E$8:$E$12,FALSE))&lt;=B14,0,
IF(SUMIF('Financial Data'!$B$16:$B$21,"="&amp;'PA-CF'!B16,'Financial Data'!$C$17:$C$21)=0,1,1/SUMIF('Financial Data'!$B$16:$B$21,"="&amp;'PA-CF'!B16,'Financial Data'!$C$17:$C$21))))</f>
        <v>0.5</v>
      </c>
      <c r="C18" s="144">
        <f ca="1">IF(TYPE(INDEX($D$8:$D$12,MATCH(C17,$E$8:$E$12,FALSE)))=16,0,
IF(INDEX($D$8:$D$12,MATCH(C17,$E$8:$E$12,FALSE))&lt;=C14,0,
IF(SUMIF('Financial Data'!$B$16:$B$21,"="&amp;'PA-CF'!C16,'Financial Data'!$C$17:$C$21)=0,1,1/SUMIF('Financial Data'!$B$16:$B$21,"="&amp;'PA-CF'!C16,'Financial Data'!$C$17:$C$21))))</f>
        <v>0.5</v>
      </c>
      <c r="D18" s="144">
        <f ca="1">IF(TYPE(INDEX($D$8:$D$12,MATCH(D17,$E$8:$E$12,FALSE)))=16,0,
IF(INDEX($D$8:$D$12,MATCH(D17,$E$8:$E$12,FALSE))&lt;=D14,0,
IF(SUMIF('Financial Data'!$B$16:$B$21,"="&amp;'PA-CF'!D16,'Financial Data'!$C$17:$C$21)=0,1,1/SUMIF('Financial Data'!$B$16:$B$21,"="&amp;'PA-CF'!D16,'Financial Data'!$C$17:$C$21))))</f>
        <v>0.5</v>
      </c>
      <c r="E18" s="144">
        <f ca="1">IF(TYPE(INDEX($D$8:$D$12,MATCH(E17,$E$8:$E$12,FALSE)))=16,0,
IF(INDEX($D$8:$D$12,MATCH(E17,$E$8:$E$12,FALSE))&lt;=E14,0,
IF(SUMIF('Financial Data'!$B$16:$B$21,"="&amp;'PA-CF'!E16,'Financial Data'!$C$17:$C$21)=0,1,1/SUMIF('Financial Data'!$B$16:$B$21,"="&amp;'PA-CF'!E16,'Financial Data'!$C$17:$C$21))))</f>
        <v>0.5</v>
      </c>
      <c r="F18" s="144">
        <f ca="1">IF(TYPE(INDEX($D$8:$D$12,MATCH(F17,$E$8:$E$12,FALSE)))=16,0,
IF(INDEX($D$8:$D$12,MATCH(F17,$E$8:$E$12,FALSE))&lt;=F14,0,
IF(SUMIF('Financial Data'!$B$16:$B$21,"="&amp;'PA-CF'!F16,'Financial Data'!$C$17:$C$21)=0,1,1/SUMIF('Financial Data'!$B$16:$B$21,"="&amp;'PA-CF'!F16,'Financial Data'!$C$17:$C$21))))</f>
        <v>0.5</v>
      </c>
      <c r="G18" s="144">
        <f ca="1">IF(TYPE(INDEX($D$8:$D$12,MATCH(G17,$E$8:$E$12,FALSE)))=16,0,
IF(INDEX($D$8:$D$12,MATCH(G17,$E$8:$E$12,FALSE))&lt;=G14,0,
IF(SUMIF('Financial Data'!$B$16:$B$21,"="&amp;'PA-CF'!G16,'Financial Data'!$C$17:$C$21)=0,1,1/SUMIF('Financial Data'!$B$16:$B$21,"="&amp;'PA-CF'!G16,'Financial Data'!$C$17:$C$21))))</f>
        <v>0.5</v>
      </c>
      <c r="H18" s="144">
        <f ca="1">IF(TYPE(INDEX($D$8:$D$12,MATCH(H17,$E$8:$E$12,FALSE)))=16,0,
IF(INDEX($D$8:$D$12,MATCH(H17,$E$8:$E$12,FALSE))&lt;=H14,0,
IF(SUMIF('Financial Data'!$B$16:$B$21,"="&amp;'PA-CF'!H16,'Financial Data'!$C$17:$C$21)=0,1,1/SUMIF('Financial Data'!$B$16:$B$21,"="&amp;'PA-CF'!H16,'Financial Data'!$C$17:$C$21))))</f>
        <v>0.5</v>
      </c>
      <c r="I18" s="144">
        <f ca="1">IF(TYPE(INDEX($D$8:$D$12,MATCH(I17,$E$8:$E$12,FALSE)))=16,0,
IF(INDEX($D$8:$D$12,MATCH(I17,$E$8:$E$12,FALSE))&lt;=I14,0,
IF(SUMIF('Financial Data'!$B$16:$B$21,"="&amp;'PA-CF'!I16,'Financial Data'!$C$17:$C$21)=0,1,1/SUMIF('Financial Data'!$B$16:$B$21,"="&amp;'PA-CF'!I16,'Financial Data'!$C$17:$C$21))))</f>
        <v>0.5</v>
      </c>
      <c r="J18" s="144">
        <f>IF(TYPE(INDEX($D$8:$D$12,MATCH(J17,$E$8:$E$12,FALSE)))=16,0,
IF(INDEX($D$8:$D$12,MATCH(J17,$E$8:$E$12,FALSE))&lt;=J14,0,
IF(SUMIF('Financial Data'!$B$16:$B$21,"="&amp;'PA-CF'!J16,'Financial Data'!$C$17:$C$21)=0,1,1/SUMIF('Financial Data'!$B$16:$B$21,"="&amp;'PA-CF'!J16,'Financial Data'!$C$17:$C$21))))</f>
        <v>0</v>
      </c>
      <c r="K18" s="144">
        <f>IF(TYPE(INDEX($D$8:$D$12,MATCH(K17,$E$8:$E$12,FALSE)))=16,0,
IF(INDEX($D$8:$D$12,MATCH(K17,$E$8:$E$12,FALSE))&lt;=K14,0,
IF(SUMIF('Financial Data'!$B$16:$B$21,"="&amp;'PA-CF'!K16,'Financial Data'!$C$17:$C$21)=0,1,1/SUMIF('Financial Data'!$B$16:$B$21,"="&amp;'PA-CF'!K16,'Financial Data'!$C$17:$C$21))))</f>
        <v>0</v>
      </c>
      <c r="L18" s="144">
        <f>IF(TYPE(INDEX($D$8:$D$12,MATCH(L17,$E$8:$E$12,FALSE)))=16,0,
IF(INDEX($D$8:$D$12,MATCH(L17,$E$8:$E$12,FALSE))&lt;=L14,0,
IF(SUMIF('Financial Data'!$B$16:$B$21,"="&amp;'PA-CF'!L16,'Financial Data'!$C$17:$C$21)=0,1,1/SUMIF('Financial Data'!$B$16:$B$21,"="&amp;'PA-CF'!L16,'Financial Data'!$C$17:$C$21))))</f>
        <v>0</v>
      </c>
      <c r="M18" s="144">
        <f>IF(TYPE(INDEX($D$8:$D$12,MATCH(M17,$E$8:$E$12,FALSE)))=16,0,
IF(INDEX($D$8:$D$12,MATCH(M17,$E$8:$E$12,FALSE))&lt;=M14,0,
IF(SUMIF('Financial Data'!$B$16:$B$21,"="&amp;'PA-CF'!M16,'Financial Data'!$C$17:$C$21)=0,1,1/SUMIF('Financial Data'!$B$16:$B$21,"="&amp;'PA-CF'!M16,'Financial Data'!$C$17:$C$21))))</f>
        <v>0</v>
      </c>
      <c r="N18" s="144">
        <f>IF(TYPE(INDEX($D$8:$D$12,MATCH(N17,$E$8:$E$12,FALSE)))=16,0,
IF(INDEX($D$8:$D$12,MATCH(N17,$E$8:$E$12,FALSE))&lt;=N14,0,
IF(SUMIF('Financial Data'!$B$16:$B$21,"="&amp;'PA-CF'!N16,'Financial Data'!$C$17:$C$21)=0,1,1/SUMIF('Financial Data'!$B$16:$B$21,"="&amp;'PA-CF'!N16,'Financial Data'!$C$17:$C$21))))</f>
        <v>0</v>
      </c>
      <c r="O18" s="144">
        <f>IF(TYPE(INDEX($D$8:$D$12,MATCH(O17,$E$8:$E$12,FALSE)))=16,0,
IF(INDEX($D$8:$D$12,MATCH(O17,$E$8:$E$12,FALSE))&lt;=O14,0,
IF(SUMIF('Financial Data'!$B$16:$B$21,"="&amp;'PA-CF'!O16,'Financial Data'!$C$17:$C$21)=0,1,1/SUMIF('Financial Data'!$B$16:$B$21,"="&amp;'PA-CF'!O16,'Financial Data'!$C$17:$C$21))))</f>
        <v>0</v>
      </c>
      <c r="P18" s="144">
        <f>IF(TYPE(INDEX($D$8:$D$12,MATCH(P17,$E$8:$E$12,FALSE)))=16,0,
IF(INDEX($D$8:$D$12,MATCH(P17,$E$8:$E$12,FALSE))&lt;=P14,0,
IF(SUMIF('Financial Data'!$B$16:$B$21,"="&amp;'PA-CF'!P16,'Financial Data'!$C$17:$C$21)=0,1,1/SUMIF('Financial Data'!$B$16:$B$21,"="&amp;'PA-CF'!P16,'Financial Data'!$C$17:$C$21))))</f>
        <v>0</v>
      </c>
      <c r="Q18" s="144">
        <f>IF(TYPE(INDEX($D$8:$D$12,MATCH(Q17,$E$8:$E$12,FALSE)))=16,0,
IF(INDEX($D$8:$D$12,MATCH(Q17,$E$8:$E$12,FALSE))&lt;=Q14,0,
IF(SUMIF('Financial Data'!$B$16:$B$21,"="&amp;'PA-CF'!Q16,'Financial Data'!$C$17:$C$21)=0,1,1/SUMIF('Financial Data'!$B$16:$B$21,"="&amp;'PA-CF'!Q16,'Financial Data'!$C$17:$C$21))))</f>
        <v>0</v>
      </c>
      <c r="R18" s="144">
        <f>IF(TYPE(INDEX($D$8:$D$12,MATCH(R17,$E$8:$E$12,FALSE)))=16,0,
IF(INDEX($D$8:$D$12,MATCH(R17,$E$8:$E$12,FALSE))&lt;=R14,0,
IF(SUMIF('Financial Data'!$B$16:$B$21,"="&amp;'PA-CF'!R16,'Financial Data'!$C$17:$C$21)=0,1,1/SUMIF('Financial Data'!$B$16:$B$21,"="&amp;'PA-CF'!R16,'Financial Data'!$C$17:$C$21))))</f>
        <v>0</v>
      </c>
      <c r="S18" s="144">
        <f>IF(TYPE(INDEX($D$8:$D$12,MATCH(S17,$E$8:$E$12,FALSE)))=16,0,
IF(INDEX($D$8:$D$12,MATCH(S17,$E$8:$E$12,FALSE))&lt;=S14,0,
IF(SUMIF('Financial Data'!$B$16:$B$21,"="&amp;'PA-CF'!S16,'Financial Data'!$C$17:$C$21)=0,1,1/SUMIF('Financial Data'!$B$16:$B$21,"="&amp;'PA-CF'!S16,'Financial Data'!$C$17:$C$21))))</f>
        <v>0</v>
      </c>
      <c r="T18" s="144">
        <f>IF(TYPE(INDEX($D$8:$D$12,MATCH(T17,$E$8:$E$12,FALSE)))=16,0,
IF(INDEX($D$8:$D$12,MATCH(T17,$E$8:$E$12,FALSE))&lt;=T14,0,
IF(SUMIF('Financial Data'!$B$16:$B$21,"="&amp;'PA-CF'!T16,'Financial Data'!$C$17:$C$21)=0,1,1/SUMIF('Financial Data'!$B$16:$B$21,"="&amp;'PA-CF'!T16,'Financial Data'!$C$17:$C$21))))</f>
        <v>0</v>
      </c>
      <c r="U18" s="144">
        <f>IF(TYPE(INDEX($D$8:$D$12,MATCH(U17,$E$8:$E$12,FALSE)))=16,0,
IF(INDEX($D$8:$D$12,MATCH(U17,$E$8:$E$12,FALSE))&lt;=U14,0,
IF(SUMIF('Financial Data'!$B$16:$B$21,"="&amp;'PA-CF'!U16,'Financial Data'!$C$17:$C$21)=0,1,1/SUMIF('Financial Data'!$B$16:$B$21,"="&amp;'PA-CF'!U16,'Financial Data'!$C$17:$C$21))))</f>
        <v>0</v>
      </c>
      <c r="V18" s="144">
        <f>IF(TYPE(INDEX($D$8:$D$12,MATCH(V17,$E$8:$E$12,FALSE)))=16,0,
IF(INDEX($D$8:$D$12,MATCH(V17,$E$8:$E$12,FALSE))&lt;=V14,0,
IF(SUMIF('Financial Data'!$B$16:$B$21,"="&amp;'PA-CF'!V16,'Financial Data'!$C$17:$C$21)=0,1,1/SUMIF('Financial Data'!$B$16:$B$21,"="&amp;'PA-CF'!V16,'Financial Data'!$C$17:$C$21))))</f>
        <v>0</v>
      </c>
      <c r="W18" s="144">
        <f>IF(TYPE(INDEX($D$8:$D$12,MATCH(W17,$E$8:$E$12,FALSE)))=16,0,
IF(INDEX($D$8:$D$12,MATCH(W17,$E$8:$E$12,FALSE))&lt;=W14,0,
IF(SUMIF('Financial Data'!$B$16:$B$21,"="&amp;'PA-CF'!W16,'Financial Data'!$C$17:$C$21)=0,1,1/SUMIF('Financial Data'!$B$16:$B$21,"="&amp;'PA-CF'!W16,'Financial Data'!$C$17:$C$21))))</f>
        <v>0</v>
      </c>
      <c r="X18" s="144">
        <f>IF(TYPE(INDEX($D$8:$D$12,MATCH(X17,$E$8:$E$12,FALSE)))=16,0,
IF(INDEX($D$8:$D$12,MATCH(X17,$E$8:$E$12,FALSE))&lt;=X14,0,
IF(SUMIF('Financial Data'!$B$16:$B$21,"="&amp;'PA-CF'!X16,'Financial Data'!$C$17:$C$21)=0,1,1/SUMIF('Financial Data'!$B$16:$B$21,"="&amp;'PA-CF'!X16,'Financial Data'!$C$17:$C$21))))</f>
        <v>0</v>
      </c>
      <c r="Y18" s="144">
        <f>IF(TYPE(INDEX($D$8:$D$12,MATCH(Y17,$E$8:$E$12,FALSE)))=16,0,
IF(INDEX($D$8:$D$12,MATCH(Y17,$E$8:$E$12,FALSE))&lt;=Y14,0,
IF(SUMIF('Financial Data'!$B$16:$B$21,"="&amp;'PA-CF'!Y16,'Financial Data'!$C$17:$C$21)=0,1,1/SUMIF('Financial Data'!$B$16:$B$21,"="&amp;'PA-CF'!Y16,'Financial Data'!$C$17:$C$21))))</f>
        <v>0</v>
      </c>
      <c r="Z18" s="144">
        <f>IF(TYPE(INDEX($D$8:$D$12,MATCH(Z17,$E$8:$E$12,FALSE)))=16,0,
IF(INDEX($D$8:$D$12,MATCH(Z17,$E$8:$E$12,FALSE))&lt;=Z14,0,
IF(SUMIF('Financial Data'!$B$16:$B$21,"="&amp;'PA-CF'!Z16,'Financial Data'!$C$17:$C$21)=0,1,1/SUMIF('Financial Data'!$B$16:$B$21,"="&amp;'PA-CF'!Z16,'Financial Data'!$C$17:$C$21))))</f>
        <v>0</v>
      </c>
      <c r="AA18" s="144">
        <f>IF(TYPE(INDEX($D$8:$D$12,MATCH(AA17,$E$8:$E$12,FALSE)))=16,0,
IF(INDEX($D$8:$D$12,MATCH(AA17,$E$8:$E$12,FALSE))&lt;=AA14,0,
IF(SUMIF('Financial Data'!$B$16:$B$21,"="&amp;'PA-CF'!AA16,'Financial Data'!$C$17:$C$21)=0,1,1/SUMIF('Financial Data'!$B$16:$B$21,"="&amp;'PA-CF'!AA16,'Financial Data'!$C$17:$C$21))))</f>
        <v>0</v>
      </c>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f ca="1">-B18*SUMIF('Annual WLC by Maturity Level '!$E$9:$I$9,B17,'Annual WLC by Maturity Level '!$E$40:$I$40)</f>
        <v>-35000</v>
      </c>
      <c r="C22" s="149">
        <f ca="1">-C18*SUMIF('Annual WLC by Maturity Level '!$E$9:$I$9,C17,'Annual WLC by Maturity Level '!$E$40:$I$40)</f>
        <v>-35000</v>
      </c>
      <c r="D22" s="149">
        <f ca="1">-D18*SUMIF('Annual WLC by Maturity Level '!$E$9:$I$9,D17,'Annual WLC by Maturity Level '!$E$40:$I$40)</f>
        <v>-24500</v>
      </c>
      <c r="E22" s="149">
        <f ca="1">-E18*SUMIF('Annual WLC by Maturity Level '!$E$9:$I$9,E17,'Annual WLC by Maturity Level '!$E$40:$I$40)</f>
        <v>-24500</v>
      </c>
      <c r="F22" s="149">
        <f ca="1">-F18*SUMIF('Annual WLC by Maturity Level '!$E$9:$I$9,F17,'Annual WLC by Maturity Level '!$E$40:$I$40)</f>
        <v>-8000</v>
      </c>
      <c r="G22" s="149">
        <f ca="1">-G18*SUMIF('Annual WLC by Maturity Level '!$E$9:$I$9,G17,'Annual WLC by Maturity Level '!$E$40:$I$40)</f>
        <v>-8000</v>
      </c>
      <c r="H22" s="149">
        <f ca="1">-H18*SUMIF('Annual WLC by Maturity Level '!$E$9:$I$9,H17,'Annual WLC by Maturity Level '!$E$40:$I$40)</f>
        <v>-23000</v>
      </c>
      <c r="I22" s="149">
        <f ca="1">-I18*SUMIF('Annual WLC by Maturity Level '!$E$9:$I$9,I17,'Annual WLC by Maturity Level '!$E$40:$I$40)</f>
        <v>-23000</v>
      </c>
      <c r="J22" s="149">
        <f>-J18*SUMIF('Annual WLC by Maturity Level '!$E$9:$I$9,J17,'Annual WLC by Maturity Level '!$E$40:$I$40)</f>
        <v>0</v>
      </c>
      <c r="K22" s="149">
        <f>-K18*SUMIF('Annual WLC by Maturity Level '!$E$9:$I$9,K17,'Annual WLC by Maturity Level '!$E$40:$I$40)</f>
        <v>0</v>
      </c>
      <c r="L22" s="149">
        <f>-L18*SUMIF('Annual WLC by Maturity Level '!$E$9:$I$9,L17,'Annual WLC by Maturity Level '!$E$40:$I$40)</f>
        <v>0</v>
      </c>
      <c r="M22" s="149">
        <f>-M18*SUMIF('Annual WLC by Maturity Level '!$E$9:$I$9,M17,'Annual WLC by Maturity Level '!$E$40:$I$40)</f>
        <v>0</v>
      </c>
      <c r="N22" s="149">
        <f>-N18*SUMIF('Annual WLC by Maturity Level '!$E$9:$I$9,N17,'Annual WLC by Maturity Level '!$E$40:$I$40)</f>
        <v>0</v>
      </c>
      <c r="O22" s="149">
        <f>-O18*SUMIF('Annual WLC by Maturity Level '!$E$9:$I$9,O17,'Annual WLC by Maturity Level '!$E$40:$I$40)</f>
        <v>0</v>
      </c>
      <c r="P22" s="149">
        <f>-P18*SUMIF('Annual WLC by Maturity Level '!$E$9:$I$9,P17,'Annual WLC by Maturity Level '!$E$40:$I$40)</f>
        <v>0</v>
      </c>
      <c r="Q22" s="149">
        <f>-Q18*SUMIF('Annual WLC by Maturity Level '!$E$9:$I$9,Q17,'Annual WLC by Maturity Level '!$E$40:$I$40)</f>
        <v>0</v>
      </c>
      <c r="R22" s="149">
        <f>-R18*SUMIF('Annual WLC by Maturity Level '!$E$9:$I$9,R17,'Annual WLC by Maturity Level '!$E$40:$I$40)</f>
        <v>0</v>
      </c>
      <c r="S22" s="149">
        <f>-S18*SUMIF('Annual WLC by Maturity Level '!$E$9:$I$9,S17,'Annual WLC by Maturity Level '!$E$40:$I$40)</f>
        <v>0</v>
      </c>
      <c r="T22" s="149">
        <f>-T18*SUMIF('Annual WLC by Maturity Level '!$E$9:$I$9,T17,'Annual WLC by Maturity Level '!$E$40:$I$40)</f>
        <v>0</v>
      </c>
      <c r="U22" s="149">
        <f>-U18*SUMIF('Annual WLC by Maturity Level '!$E$9:$I$9,U17,'Annual WLC by Maturity Level '!$E$40:$I$40)</f>
        <v>0</v>
      </c>
      <c r="V22" s="149">
        <f>-V18*SUMIF('Annual WLC by Maturity Level '!$E$9:$I$9,V17,'Annual WLC by Maturity Level '!$E$40:$I$40)</f>
        <v>0</v>
      </c>
      <c r="W22" s="149">
        <f>-W18*SUMIF('Annual WLC by Maturity Level '!$E$9:$I$9,W17,'Annual WLC by Maturity Level '!$E$40:$I$40)</f>
        <v>0</v>
      </c>
      <c r="X22" s="149">
        <f>-X18*SUMIF('Annual WLC by Maturity Level '!$E$9:$I$9,X17,'Annual WLC by Maturity Level '!$E$40:$I$40)</f>
        <v>0</v>
      </c>
      <c r="Y22" s="149">
        <f>-Y18*SUMIF('Annual WLC by Maturity Level '!$E$9:$I$9,Y17,'Annual WLC by Maturity Level '!$E$40:$I$40)</f>
        <v>0</v>
      </c>
      <c r="Z22" s="149">
        <f>-Z18*SUMIF('Annual WLC by Maturity Level '!$E$9:$I$9,Z17,'Annual WLC by Maturity Level '!$E$40:$I$40)</f>
        <v>0</v>
      </c>
      <c r="AA22" s="149">
        <f>-AA18*SUMIF('Annual WLC by Maturity Level '!$E$9:$I$9,AA17,'Annual WLC by Maturity Level '!$E$40:$I$40)</f>
        <v>0</v>
      </c>
    </row>
    <row r="23" spans="1:27" s="225" customFormat="1">
      <c r="A23" s="223" t="str">
        <f>'Asset Info'!$C$10</f>
        <v>Crossrail</v>
      </c>
      <c r="B23" s="224">
        <f ca="1">-B$18*SUMIF('Annual WLC by Maturity Level '!$E$9:$I$9,B$17,'Annual WLC by Maturity Level '!$E41:$I41)</f>
        <v>0</v>
      </c>
      <c r="C23" s="224">
        <f ca="1">-C$18*SUMIF('Annual WLC by Maturity Level '!$E$9:$I$9,C$17,'Annual WLC by Maturity Level '!$E41:$I41)</f>
        <v>0</v>
      </c>
      <c r="D23" s="224">
        <f ca="1">-D$18*SUMIF('Annual WLC by Maturity Level '!$E$9:$I$9,D$17,'Annual WLC by Maturity Level '!$E41:$I41)</f>
        <v>0</v>
      </c>
      <c r="E23" s="224">
        <f ca="1">-E$18*SUMIF('Annual WLC by Maturity Level '!$E$9:$I$9,E$17,'Annual WLC by Maturity Level '!$E41:$I41)</f>
        <v>0</v>
      </c>
      <c r="F23" s="224">
        <f ca="1">-F$18*SUMIF('Annual WLC by Maturity Level '!$E$9:$I$9,F$17,'Annual WLC by Maturity Level '!$E41:$I41)</f>
        <v>0</v>
      </c>
      <c r="G23" s="224">
        <f ca="1">-G$18*SUMIF('Annual WLC by Maturity Level '!$E$9:$I$9,G$17,'Annual WLC by Maturity Level '!$E41:$I41)</f>
        <v>0</v>
      </c>
      <c r="H23" s="224">
        <f ca="1">-H$18*SUMIF('Annual WLC by Maturity Level '!$E$9:$I$9,H$17,'Annual WLC by Maturity Level '!$E41:$I41)</f>
        <v>0</v>
      </c>
      <c r="I23" s="224">
        <f ca="1">-I$18*SUMIF('Annual WLC by Maturity Level '!$E$9:$I$9,I$17,'Annual WLC by Maturity Level '!$E41:$I41)</f>
        <v>0</v>
      </c>
      <c r="J23" s="224">
        <f>-J$18*SUMIF('Annual WLC by Maturity Level '!$E$9:$I$9,J$17,'Annual WLC by Maturity Level '!$E41:$I41)</f>
        <v>0</v>
      </c>
      <c r="K23" s="224">
        <f>-K$18*SUMIF('Annual WLC by Maturity Level '!$E$9:$I$9,K$17,'Annual WLC by Maturity Level '!$E41:$I41)</f>
        <v>0</v>
      </c>
      <c r="L23" s="224">
        <f>-L$18*SUMIF('Annual WLC by Maturity Level '!$E$9:$I$9,L$17,'Annual WLC by Maturity Level '!$E41:$I41)</f>
        <v>0</v>
      </c>
      <c r="M23" s="224">
        <f>-M$18*SUMIF('Annual WLC by Maturity Level '!$E$9:$I$9,M$17,'Annual WLC by Maturity Level '!$E41:$I41)</f>
        <v>0</v>
      </c>
      <c r="N23" s="224">
        <f>-N$18*SUMIF('Annual WLC by Maturity Level '!$E$9:$I$9,N$17,'Annual WLC by Maturity Level '!$E41:$I41)</f>
        <v>0</v>
      </c>
      <c r="O23" s="224">
        <f>-O$18*SUMIF('Annual WLC by Maturity Level '!$E$9:$I$9,O$17,'Annual WLC by Maturity Level '!$E41:$I41)</f>
        <v>0</v>
      </c>
      <c r="P23" s="224">
        <f>-P$18*SUMIF('Annual WLC by Maturity Level '!$E$9:$I$9,P$17,'Annual WLC by Maturity Level '!$E41:$I41)</f>
        <v>0</v>
      </c>
      <c r="Q23" s="224">
        <f>-Q$18*SUMIF('Annual WLC by Maturity Level '!$E$9:$I$9,Q$17,'Annual WLC by Maturity Level '!$E41:$I41)</f>
        <v>0</v>
      </c>
      <c r="R23" s="224">
        <f>-R$18*SUMIF('Annual WLC by Maturity Level '!$E$9:$I$9,R$17,'Annual WLC by Maturity Level '!$E41:$I41)</f>
        <v>0</v>
      </c>
      <c r="S23" s="224">
        <f>-S$18*SUMIF('Annual WLC by Maturity Level '!$E$9:$I$9,S$17,'Annual WLC by Maturity Level '!$E41:$I41)</f>
        <v>0</v>
      </c>
      <c r="T23" s="224">
        <f>-T$18*SUMIF('Annual WLC by Maturity Level '!$E$9:$I$9,T$17,'Annual WLC by Maturity Level '!$E41:$I41)</f>
        <v>0</v>
      </c>
      <c r="U23" s="224">
        <f>-U$18*SUMIF('Annual WLC by Maturity Level '!$E$9:$I$9,U$17,'Annual WLC by Maturity Level '!$E41:$I41)</f>
        <v>0</v>
      </c>
      <c r="V23" s="224">
        <f>-V$18*SUMIF('Annual WLC by Maturity Level '!$E$9:$I$9,V$17,'Annual WLC by Maturity Level '!$E41:$I41)</f>
        <v>0</v>
      </c>
      <c r="W23" s="224">
        <f>-W$18*SUMIF('Annual WLC by Maturity Level '!$E$9:$I$9,W$17,'Annual WLC by Maturity Level '!$E41:$I41)</f>
        <v>0</v>
      </c>
      <c r="X23" s="224">
        <f>-X$18*SUMIF('Annual WLC by Maturity Level '!$E$9:$I$9,X$17,'Annual WLC by Maturity Level '!$E41:$I41)</f>
        <v>0</v>
      </c>
      <c r="Y23" s="224">
        <f>-Y$18*SUMIF('Annual WLC by Maturity Level '!$E$9:$I$9,Y$17,'Annual WLC by Maturity Level '!$E41:$I41)</f>
        <v>0</v>
      </c>
      <c r="Z23" s="224">
        <f>-Z$18*SUMIF('Annual WLC by Maturity Level '!$E$9:$I$9,Z$17,'Annual WLC by Maturity Level '!$E41:$I41)</f>
        <v>0</v>
      </c>
      <c r="AA23" s="224">
        <f>-AA$18*SUMIF('Annual WLC by Maturity Level '!$E$9:$I$9,AA$17,'Annual WLC by Maturity Level '!$E41:$I41)</f>
        <v>0</v>
      </c>
    </row>
    <row r="24" spans="1:27" s="225" customFormat="1">
      <c r="A24" s="223" t="str">
        <f>'Asset Info'!$D$10</f>
        <v>NR Western</v>
      </c>
      <c r="B24" s="224">
        <f ca="1">-B$18*SUMIF('Annual WLC by Maturity Level '!$E$9:$I$9,B$17,'Annual WLC by Maturity Level '!$E42:$I42)</f>
        <v>-24500</v>
      </c>
      <c r="C24" s="224">
        <f ca="1">-C$18*SUMIF('Annual WLC by Maturity Level '!$E$9:$I$9,C$17,'Annual WLC by Maturity Level '!$E42:$I42)</f>
        <v>-24500</v>
      </c>
      <c r="D24" s="224">
        <f ca="1">-D$18*SUMIF('Annual WLC by Maturity Level '!$E$9:$I$9,D$17,'Annual WLC by Maturity Level '!$E42:$I42)</f>
        <v>-17150</v>
      </c>
      <c r="E24" s="224">
        <f ca="1">-E$18*SUMIF('Annual WLC by Maturity Level '!$E$9:$I$9,E$17,'Annual WLC by Maturity Level '!$E42:$I42)</f>
        <v>-17150</v>
      </c>
      <c r="F24" s="224">
        <f ca="1">-F$18*SUMIF('Annual WLC by Maturity Level '!$E$9:$I$9,F$17,'Annual WLC by Maturity Level '!$E42:$I42)</f>
        <v>-5600</v>
      </c>
      <c r="G24" s="224">
        <f ca="1">-G$18*SUMIF('Annual WLC by Maturity Level '!$E$9:$I$9,G$17,'Annual WLC by Maturity Level '!$E42:$I42)</f>
        <v>-5600</v>
      </c>
      <c r="H24" s="224">
        <f ca="1">-H$18*SUMIF('Annual WLC by Maturity Level '!$E$9:$I$9,H$17,'Annual WLC by Maturity Level '!$E42:$I42)</f>
        <v>-16099.999999999998</v>
      </c>
      <c r="I24" s="224">
        <f ca="1">-I$18*SUMIF('Annual WLC by Maturity Level '!$E$9:$I$9,I$17,'Annual WLC by Maturity Level '!$E42:$I42)</f>
        <v>-16099.999999999998</v>
      </c>
      <c r="J24" s="224">
        <f>-J$18*SUMIF('Annual WLC by Maturity Level '!$E$9:$I$9,J$17,'Annual WLC by Maturity Level '!$E42:$I42)</f>
        <v>0</v>
      </c>
      <c r="K24" s="224">
        <f>-K$18*SUMIF('Annual WLC by Maturity Level '!$E$9:$I$9,K$17,'Annual WLC by Maturity Level '!$E42:$I42)</f>
        <v>0</v>
      </c>
      <c r="L24" s="224">
        <f>-L$18*SUMIF('Annual WLC by Maturity Level '!$E$9:$I$9,L$17,'Annual WLC by Maturity Level '!$E42:$I42)</f>
        <v>0</v>
      </c>
      <c r="M24" s="224">
        <f>-M$18*SUMIF('Annual WLC by Maturity Level '!$E$9:$I$9,M$17,'Annual WLC by Maturity Level '!$E42:$I42)</f>
        <v>0</v>
      </c>
      <c r="N24" s="224">
        <f>-N$18*SUMIF('Annual WLC by Maturity Level '!$E$9:$I$9,N$17,'Annual WLC by Maturity Level '!$E42:$I42)</f>
        <v>0</v>
      </c>
      <c r="O24" s="224">
        <f>-O$18*SUMIF('Annual WLC by Maturity Level '!$E$9:$I$9,O$17,'Annual WLC by Maturity Level '!$E42:$I42)</f>
        <v>0</v>
      </c>
      <c r="P24" s="224">
        <f>-P$18*SUMIF('Annual WLC by Maturity Level '!$E$9:$I$9,P$17,'Annual WLC by Maturity Level '!$E42:$I42)</f>
        <v>0</v>
      </c>
      <c r="Q24" s="224">
        <f>-Q$18*SUMIF('Annual WLC by Maturity Level '!$E$9:$I$9,Q$17,'Annual WLC by Maturity Level '!$E42:$I42)</f>
        <v>0</v>
      </c>
      <c r="R24" s="224">
        <f>-R$18*SUMIF('Annual WLC by Maturity Level '!$E$9:$I$9,R$17,'Annual WLC by Maturity Level '!$E42:$I42)</f>
        <v>0</v>
      </c>
      <c r="S24" s="224">
        <f>-S$18*SUMIF('Annual WLC by Maturity Level '!$E$9:$I$9,S$17,'Annual WLC by Maturity Level '!$E42:$I42)</f>
        <v>0</v>
      </c>
      <c r="T24" s="224">
        <f>-T$18*SUMIF('Annual WLC by Maturity Level '!$E$9:$I$9,T$17,'Annual WLC by Maturity Level '!$E42:$I42)</f>
        <v>0</v>
      </c>
      <c r="U24" s="224">
        <f>-U$18*SUMIF('Annual WLC by Maturity Level '!$E$9:$I$9,U$17,'Annual WLC by Maturity Level '!$E42:$I42)</f>
        <v>0</v>
      </c>
      <c r="V24" s="224">
        <f>-V$18*SUMIF('Annual WLC by Maturity Level '!$E$9:$I$9,V$17,'Annual WLC by Maturity Level '!$E42:$I42)</f>
        <v>0</v>
      </c>
      <c r="W24" s="224">
        <f>-W$18*SUMIF('Annual WLC by Maturity Level '!$E$9:$I$9,W$17,'Annual WLC by Maturity Level '!$E42:$I42)</f>
        <v>0</v>
      </c>
      <c r="X24" s="224">
        <f>-X$18*SUMIF('Annual WLC by Maturity Level '!$E$9:$I$9,X$17,'Annual WLC by Maturity Level '!$E42:$I42)</f>
        <v>0</v>
      </c>
      <c r="Y24" s="224">
        <f>-Y$18*SUMIF('Annual WLC by Maturity Level '!$E$9:$I$9,Y$17,'Annual WLC by Maturity Level '!$E42:$I42)</f>
        <v>0</v>
      </c>
      <c r="Z24" s="224">
        <f>-Z$18*SUMIF('Annual WLC by Maturity Level '!$E$9:$I$9,Z$17,'Annual WLC by Maturity Level '!$E42:$I42)</f>
        <v>0</v>
      </c>
      <c r="AA24" s="224">
        <f>-AA$18*SUMIF('Annual WLC by Maturity Level '!$E$9:$I$9,AA$17,'Annual WLC by Maturity Level '!$E42:$I42)</f>
        <v>0</v>
      </c>
    </row>
    <row r="25" spans="1:27" s="225" customFormat="1">
      <c r="A25" s="223" t="str">
        <f>'Asset Info'!$E$10</f>
        <v>Balfour Beatty</v>
      </c>
      <c r="B25" s="224">
        <f ca="1">-B$18*SUMIF('Annual WLC by Maturity Level '!$E$9:$I$9,B$17,'Annual WLC by Maturity Level '!$E43:$I43)</f>
        <v>0</v>
      </c>
      <c r="C25" s="224">
        <f ca="1">-C$18*SUMIF('Annual WLC by Maturity Level '!$E$9:$I$9,C$17,'Annual WLC by Maturity Level '!$E43:$I43)</f>
        <v>0</v>
      </c>
      <c r="D25" s="224">
        <f ca="1">-D$18*SUMIF('Annual WLC by Maturity Level '!$E$9:$I$9,D$17,'Annual WLC by Maturity Level '!$E43:$I43)</f>
        <v>0</v>
      </c>
      <c r="E25" s="224">
        <f ca="1">-E$18*SUMIF('Annual WLC by Maturity Level '!$E$9:$I$9,E$17,'Annual WLC by Maturity Level '!$E43:$I43)</f>
        <v>0</v>
      </c>
      <c r="F25" s="224">
        <f ca="1">-F$18*SUMIF('Annual WLC by Maturity Level '!$E$9:$I$9,F$17,'Annual WLC by Maturity Level '!$E43:$I43)</f>
        <v>0</v>
      </c>
      <c r="G25" s="224">
        <f ca="1">-G$18*SUMIF('Annual WLC by Maturity Level '!$E$9:$I$9,G$17,'Annual WLC by Maturity Level '!$E43:$I43)</f>
        <v>0</v>
      </c>
      <c r="H25" s="224">
        <f ca="1">-H$18*SUMIF('Annual WLC by Maturity Level '!$E$9:$I$9,H$17,'Annual WLC by Maturity Level '!$E43:$I43)</f>
        <v>0</v>
      </c>
      <c r="I25" s="224">
        <f ca="1">-I$18*SUMIF('Annual WLC by Maturity Level '!$E$9:$I$9,I$17,'Annual WLC by Maturity Level '!$E43:$I43)</f>
        <v>0</v>
      </c>
      <c r="J25" s="224">
        <f>-J$18*SUMIF('Annual WLC by Maturity Level '!$E$9:$I$9,J$17,'Annual WLC by Maturity Level '!$E43:$I43)</f>
        <v>0</v>
      </c>
      <c r="K25" s="224">
        <f>-K$18*SUMIF('Annual WLC by Maturity Level '!$E$9:$I$9,K$17,'Annual WLC by Maturity Level '!$E43:$I43)</f>
        <v>0</v>
      </c>
      <c r="L25" s="224">
        <f>-L$18*SUMIF('Annual WLC by Maturity Level '!$E$9:$I$9,L$17,'Annual WLC by Maturity Level '!$E43:$I43)</f>
        <v>0</v>
      </c>
      <c r="M25" s="224">
        <f>-M$18*SUMIF('Annual WLC by Maturity Level '!$E$9:$I$9,M$17,'Annual WLC by Maturity Level '!$E43:$I43)</f>
        <v>0</v>
      </c>
      <c r="N25" s="224">
        <f>-N$18*SUMIF('Annual WLC by Maturity Level '!$E$9:$I$9,N$17,'Annual WLC by Maturity Level '!$E43:$I43)</f>
        <v>0</v>
      </c>
      <c r="O25" s="224">
        <f>-O$18*SUMIF('Annual WLC by Maturity Level '!$E$9:$I$9,O$17,'Annual WLC by Maturity Level '!$E43:$I43)</f>
        <v>0</v>
      </c>
      <c r="P25" s="224">
        <f>-P$18*SUMIF('Annual WLC by Maturity Level '!$E$9:$I$9,P$17,'Annual WLC by Maturity Level '!$E43:$I43)</f>
        <v>0</v>
      </c>
      <c r="Q25" s="224">
        <f>-Q$18*SUMIF('Annual WLC by Maturity Level '!$E$9:$I$9,Q$17,'Annual WLC by Maturity Level '!$E43:$I43)</f>
        <v>0</v>
      </c>
      <c r="R25" s="224">
        <f>-R$18*SUMIF('Annual WLC by Maturity Level '!$E$9:$I$9,R$17,'Annual WLC by Maturity Level '!$E43:$I43)</f>
        <v>0</v>
      </c>
      <c r="S25" s="224">
        <f>-S$18*SUMIF('Annual WLC by Maturity Level '!$E$9:$I$9,S$17,'Annual WLC by Maturity Level '!$E43:$I43)</f>
        <v>0</v>
      </c>
      <c r="T25" s="224">
        <f>-T$18*SUMIF('Annual WLC by Maturity Level '!$E$9:$I$9,T$17,'Annual WLC by Maturity Level '!$E43:$I43)</f>
        <v>0</v>
      </c>
      <c r="U25" s="224">
        <f>-U$18*SUMIF('Annual WLC by Maturity Level '!$E$9:$I$9,U$17,'Annual WLC by Maturity Level '!$E43:$I43)</f>
        <v>0</v>
      </c>
      <c r="V25" s="224">
        <f>-V$18*SUMIF('Annual WLC by Maturity Level '!$E$9:$I$9,V$17,'Annual WLC by Maturity Level '!$E43:$I43)</f>
        <v>0</v>
      </c>
      <c r="W25" s="224">
        <f>-W$18*SUMIF('Annual WLC by Maturity Level '!$E$9:$I$9,W$17,'Annual WLC by Maturity Level '!$E43:$I43)</f>
        <v>0</v>
      </c>
      <c r="X25" s="224">
        <f>-X$18*SUMIF('Annual WLC by Maturity Level '!$E$9:$I$9,X$17,'Annual WLC by Maturity Level '!$E43:$I43)</f>
        <v>0</v>
      </c>
      <c r="Y25" s="224">
        <f>-Y$18*SUMIF('Annual WLC by Maturity Level '!$E$9:$I$9,Y$17,'Annual WLC by Maturity Level '!$E43:$I43)</f>
        <v>0</v>
      </c>
      <c r="Z25" s="224">
        <f>-Z$18*SUMIF('Annual WLC by Maturity Level '!$E$9:$I$9,Z$17,'Annual WLC by Maturity Level '!$E43:$I43)</f>
        <v>0</v>
      </c>
      <c r="AA25" s="224">
        <f>-AA$18*SUMIF('Annual WLC by Maturity Level '!$E$9:$I$9,AA$17,'Annual WLC by Maturity Level '!$E43:$I43)</f>
        <v>0</v>
      </c>
    </row>
    <row r="26" spans="1:27" s="225" customFormat="1">
      <c r="A26" s="223" t="str">
        <f>'Asset Info'!$F$10</f>
        <v>RSSB</v>
      </c>
      <c r="B26" s="224">
        <f ca="1">-B$18*SUMIF('Annual WLC by Maturity Level '!$E$9:$I$9,B$17,'Annual WLC by Maturity Level '!$E44:$I44)</f>
        <v>-10500</v>
      </c>
      <c r="C26" s="224">
        <f ca="1">-C$18*SUMIF('Annual WLC by Maturity Level '!$E$9:$I$9,C$17,'Annual WLC by Maturity Level '!$E44:$I44)</f>
        <v>-10500</v>
      </c>
      <c r="D26" s="224">
        <f ca="1">-D$18*SUMIF('Annual WLC by Maturity Level '!$E$9:$I$9,D$17,'Annual WLC by Maturity Level '!$E44:$I44)</f>
        <v>-7350</v>
      </c>
      <c r="E26" s="224">
        <f ca="1">-E$18*SUMIF('Annual WLC by Maturity Level '!$E$9:$I$9,E$17,'Annual WLC by Maturity Level '!$E44:$I44)</f>
        <v>-7350</v>
      </c>
      <c r="F26" s="224">
        <f ca="1">-F$18*SUMIF('Annual WLC by Maturity Level '!$E$9:$I$9,F$17,'Annual WLC by Maturity Level '!$E44:$I44)</f>
        <v>-2400</v>
      </c>
      <c r="G26" s="224">
        <f ca="1">-G$18*SUMIF('Annual WLC by Maturity Level '!$E$9:$I$9,G$17,'Annual WLC by Maturity Level '!$E44:$I44)</f>
        <v>-2400</v>
      </c>
      <c r="H26" s="224">
        <f ca="1">-H$18*SUMIF('Annual WLC by Maturity Level '!$E$9:$I$9,H$17,'Annual WLC by Maturity Level '!$E44:$I44)</f>
        <v>-6900</v>
      </c>
      <c r="I26" s="224">
        <f ca="1">-I$18*SUMIF('Annual WLC by Maturity Level '!$E$9:$I$9,I$17,'Annual WLC by Maturity Level '!$E44:$I44)</f>
        <v>-6900</v>
      </c>
      <c r="J26" s="224">
        <f>-J$18*SUMIF('Annual WLC by Maturity Level '!$E$9:$I$9,J$17,'Annual WLC by Maturity Level '!$E44:$I44)</f>
        <v>0</v>
      </c>
      <c r="K26" s="224">
        <f>-K$18*SUMIF('Annual WLC by Maturity Level '!$E$9:$I$9,K$17,'Annual WLC by Maturity Level '!$E44:$I44)</f>
        <v>0</v>
      </c>
      <c r="L26" s="224">
        <f>-L$18*SUMIF('Annual WLC by Maturity Level '!$E$9:$I$9,L$17,'Annual WLC by Maturity Level '!$E44:$I44)</f>
        <v>0</v>
      </c>
      <c r="M26" s="224">
        <f>-M$18*SUMIF('Annual WLC by Maturity Level '!$E$9:$I$9,M$17,'Annual WLC by Maturity Level '!$E44:$I44)</f>
        <v>0</v>
      </c>
      <c r="N26" s="224">
        <f>-N$18*SUMIF('Annual WLC by Maturity Level '!$E$9:$I$9,N$17,'Annual WLC by Maturity Level '!$E44:$I44)</f>
        <v>0</v>
      </c>
      <c r="O26" s="224">
        <f>-O$18*SUMIF('Annual WLC by Maturity Level '!$E$9:$I$9,O$17,'Annual WLC by Maturity Level '!$E44:$I44)</f>
        <v>0</v>
      </c>
      <c r="P26" s="224">
        <f>-P$18*SUMIF('Annual WLC by Maturity Level '!$E$9:$I$9,P$17,'Annual WLC by Maturity Level '!$E44:$I44)</f>
        <v>0</v>
      </c>
      <c r="Q26" s="224">
        <f>-Q$18*SUMIF('Annual WLC by Maturity Level '!$E$9:$I$9,Q$17,'Annual WLC by Maturity Level '!$E44:$I44)</f>
        <v>0</v>
      </c>
      <c r="R26" s="224">
        <f>-R$18*SUMIF('Annual WLC by Maturity Level '!$E$9:$I$9,R$17,'Annual WLC by Maturity Level '!$E44:$I44)</f>
        <v>0</v>
      </c>
      <c r="S26" s="224">
        <f>-S$18*SUMIF('Annual WLC by Maturity Level '!$E$9:$I$9,S$17,'Annual WLC by Maturity Level '!$E44:$I44)</f>
        <v>0</v>
      </c>
      <c r="T26" s="224">
        <f>-T$18*SUMIF('Annual WLC by Maturity Level '!$E$9:$I$9,T$17,'Annual WLC by Maturity Level '!$E44:$I44)</f>
        <v>0</v>
      </c>
      <c r="U26" s="224">
        <f>-U$18*SUMIF('Annual WLC by Maturity Level '!$E$9:$I$9,U$17,'Annual WLC by Maturity Level '!$E44:$I44)</f>
        <v>0</v>
      </c>
      <c r="V26" s="224">
        <f>-V$18*SUMIF('Annual WLC by Maturity Level '!$E$9:$I$9,V$17,'Annual WLC by Maturity Level '!$E44:$I44)</f>
        <v>0</v>
      </c>
      <c r="W26" s="224">
        <f>-W$18*SUMIF('Annual WLC by Maturity Level '!$E$9:$I$9,W$17,'Annual WLC by Maturity Level '!$E44:$I44)</f>
        <v>0</v>
      </c>
      <c r="X26" s="224">
        <f>-X$18*SUMIF('Annual WLC by Maturity Level '!$E$9:$I$9,X$17,'Annual WLC by Maturity Level '!$E44:$I44)</f>
        <v>0</v>
      </c>
      <c r="Y26" s="224">
        <f>-Y$18*SUMIF('Annual WLC by Maturity Level '!$E$9:$I$9,Y$17,'Annual WLC by Maturity Level '!$E44:$I44)</f>
        <v>0</v>
      </c>
      <c r="Z26" s="224">
        <f>-Z$18*SUMIF('Annual WLC by Maturity Level '!$E$9:$I$9,Z$17,'Annual WLC by Maturity Level '!$E44:$I44)</f>
        <v>0</v>
      </c>
      <c r="AA26" s="224">
        <f>-AA$18*SUMIF('Annual WLC by Maturity Level '!$E$9:$I$9,AA$17,'Annual WLC by Maturity Level '!$E44:$I44)</f>
        <v>0</v>
      </c>
    </row>
    <row r="27" spans="1:27" s="53" customFormat="1">
      <c r="A27" s="150" t="s">
        <v>178</v>
      </c>
      <c r="B27" s="149">
        <f ca="1">1/(1+'Financial Data'!$C$8)^B14*B22</f>
        <v>-35000</v>
      </c>
      <c r="C27" s="149">
        <f ca="1">1/(1+'Financial Data'!$C$8)^C14*C22</f>
        <v>-33816.425120772947</v>
      </c>
      <c r="D27" s="149">
        <f ca="1">1/(1+'Financial Data'!$C$8)^D14*D22</f>
        <v>-22871.012158976875</v>
      </c>
      <c r="E27" s="149">
        <f ca="1">1/(1+'Financial Data'!$C$8)^E14*E22</f>
        <v>-22097.596288866549</v>
      </c>
      <c r="F27" s="149">
        <f ca="1">1/(1+'Financial Data'!$C$8)^F14*F22</f>
        <v>-6971.5378215885794</v>
      </c>
      <c r="G27" s="149">
        <f ca="1">1/(1+'Financial Data'!$C$8)^G14*G22</f>
        <v>-6735.7853348681938</v>
      </c>
      <c r="H27" s="149">
        <f ca="1">1/(1+'Financial Data'!$C$8)^H14*H22</f>
        <v>-18710.514819078315</v>
      </c>
      <c r="I27" s="149">
        <f ca="1">1/(1+'Financial Data'!$C$8)^I14*I22</f>
        <v>-18077.79209572784</v>
      </c>
      <c r="J27" s="149">
        <f>1/(1+'Financial Data'!$C$8)^J14*J22</f>
        <v>0</v>
      </c>
      <c r="K27" s="149">
        <f>1/(1+'Financial Data'!$C$8)^K14*K22</f>
        <v>0</v>
      </c>
      <c r="L27" s="149">
        <f>1/(1+'Financial Data'!$C$8)^L14*L22</f>
        <v>0</v>
      </c>
      <c r="M27" s="149">
        <f>1/(1+'Financial Data'!$C$8)^M14*M22</f>
        <v>0</v>
      </c>
      <c r="N27" s="149">
        <f>1/(1+'Financial Data'!$C$8)^N14*N22</f>
        <v>0</v>
      </c>
      <c r="O27" s="149">
        <f>1/(1+'Financial Data'!$C$8)^O14*O22</f>
        <v>0</v>
      </c>
      <c r="P27" s="149">
        <f>1/(1+'Financial Data'!$C$8)^P14*P22</f>
        <v>0</v>
      </c>
      <c r="Q27" s="149">
        <f>1/(1+'Financial Data'!$C$8)^Q14*Q22</f>
        <v>0</v>
      </c>
      <c r="R27" s="149">
        <f>1/(1+'Financial Data'!$C$8)^R14*R22</f>
        <v>0</v>
      </c>
      <c r="S27" s="149">
        <f>1/(1+'Financial Data'!$C$8)^S14*S22</f>
        <v>0</v>
      </c>
      <c r="T27" s="149">
        <f>1/(1+'Financial Data'!$C$8)^T14*T22</f>
        <v>0</v>
      </c>
      <c r="U27" s="149">
        <f>1/(1+'Financial Data'!$C$8)^U14*U22</f>
        <v>0</v>
      </c>
      <c r="V27" s="149">
        <f>1/(1+'Financial Data'!$C$8)^V14*V22</f>
        <v>0</v>
      </c>
      <c r="W27" s="149">
        <f>1/(1+'Financial Data'!$C$8)^W14*W22</f>
        <v>0</v>
      </c>
      <c r="X27" s="149">
        <f>1/(1+'Financial Data'!$C$8)^X14*X22</f>
        <v>0</v>
      </c>
      <c r="Y27" s="149">
        <f>1/(1+'Financial Data'!$C$8)^Y14*Y22</f>
        <v>0</v>
      </c>
      <c r="Z27" s="149">
        <f>1/(1+'Financial Data'!$C$8)^Z14*Z22</f>
        <v>0</v>
      </c>
      <c r="AA27" s="149">
        <f>1/(1+'Financial Data'!$C$8)^AA14*AA22</f>
        <v>0</v>
      </c>
    </row>
    <row r="28" spans="1:27" s="225" customFormat="1">
      <c r="A28" s="223" t="str">
        <f>'Asset Info'!$C$10</f>
        <v>Crossrail</v>
      </c>
      <c r="B28" s="224">
        <f ca="1">-B$18*SUMIF('Annual WLC by Maturity Level '!$E$9:$I$9,B$17,'Annual WLC by Maturity Level '!$E41:$I41)</f>
        <v>0</v>
      </c>
      <c r="C28" s="224">
        <f ca="1">1/(1+'Financial Data'!$C$8)^C$14*C23</f>
        <v>0</v>
      </c>
      <c r="D28" s="224">
        <f ca="1">1/(1+'Financial Data'!$C$8)^D$14*D23</f>
        <v>0</v>
      </c>
      <c r="E28" s="224">
        <f ca="1">1/(1+'Financial Data'!$C$8)^E$14*E23</f>
        <v>0</v>
      </c>
      <c r="F28" s="224">
        <f ca="1">1/(1+'Financial Data'!$C$8)^F$14*F23</f>
        <v>0</v>
      </c>
      <c r="G28" s="224">
        <f ca="1">1/(1+'Financial Data'!$C$8)^G$14*G23</f>
        <v>0</v>
      </c>
      <c r="H28" s="224">
        <f ca="1">1/(1+'Financial Data'!$C$8)^H$14*H23</f>
        <v>0</v>
      </c>
      <c r="I28" s="224">
        <f ca="1">1/(1+'Financial Data'!$C$8)^I$14*I23</f>
        <v>0</v>
      </c>
      <c r="J28" s="224">
        <f>1/(1+'Financial Data'!$C$8)^J$14*J23</f>
        <v>0</v>
      </c>
      <c r="K28" s="224">
        <f>1/(1+'Financial Data'!$C$8)^K$14*K23</f>
        <v>0</v>
      </c>
      <c r="L28" s="224">
        <f>1/(1+'Financial Data'!$C$8)^L$14*L23</f>
        <v>0</v>
      </c>
      <c r="M28" s="224">
        <f>1/(1+'Financial Data'!$C$8)^M$14*M23</f>
        <v>0</v>
      </c>
      <c r="N28" s="224">
        <f>1/(1+'Financial Data'!$C$8)^N$14*N23</f>
        <v>0</v>
      </c>
      <c r="O28" s="224">
        <f>1/(1+'Financial Data'!$C$8)^O$14*O23</f>
        <v>0</v>
      </c>
      <c r="P28" s="224">
        <f>1/(1+'Financial Data'!$C$8)^P$14*P23</f>
        <v>0</v>
      </c>
      <c r="Q28" s="224">
        <f>1/(1+'Financial Data'!$C$8)^Q$14*Q23</f>
        <v>0</v>
      </c>
      <c r="R28" s="224">
        <f>1/(1+'Financial Data'!$C$8)^R$14*R23</f>
        <v>0</v>
      </c>
      <c r="S28" s="224">
        <f>1/(1+'Financial Data'!$C$8)^S$14*S23</f>
        <v>0</v>
      </c>
      <c r="T28" s="224">
        <f>1/(1+'Financial Data'!$C$8)^T$14*T23</f>
        <v>0</v>
      </c>
      <c r="U28" s="224">
        <f>1/(1+'Financial Data'!$C$8)^U$14*U23</f>
        <v>0</v>
      </c>
      <c r="V28" s="224">
        <f>1/(1+'Financial Data'!$C$8)^V$14*V23</f>
        <v>0</v>
      </c>
      <c r="W28" s="224">
        <f>1/(1+'Financial Data'!$C$8)^W$14*W23</f>
        <v>0</v>
      </c>
      <c r="X28" s="224">
        <f>1/(1+'Financial Data'!$C$8)^X$14*X23</f>
        <v>0</v>
      </c>
      <c r="Y28" s="224">
        <f>1/(1+'Financial Data'!$C$8)^Y$14*Y23</f>
        <v>0</v>
      </c>
      <c r="Z28" s="224">
        <f>1/(1+'Financial Data'!$C$8)^Z$14*Z23</f>
        <v>0</v>
      </c>
      <c r="AA28" s="224">
        <f>1/(1+'Financial Data'!$C$8)^AA$14*AA23</f>
        <v>0</v>
      </c>
    </row>
    <row r="29" spans="1:27" s="225" customFormat="1">
      <c r="A29" s="223" t="str">
        <f>'Asset Info'!$D$10</f>
        <v>NR Western</v>
      </c>
      <c r="B29" s="224">
        <f ca="1">-B$18*SUMIF('Annual WLC by Maturity Level '!$E$9:$I$9,B$17,'Annual WLC by Maturity Level '!$E42:$I42)</f>
        <v>-24500</v>
      </c>
      <c r="C29" s="224">
        <f ca="1">1/(1+'Financial Data'!$C$8)^C$14*C24</f>
        <v>-23671.497584541066</v>
      </c>
      <c r="D29" s="224">
        <f ca="1">1/(1+'Financial Data'!$C$8)^D$14*D24</f>
        <v>-16009.708511283812</v>
      </c>
      <c r="E29" s="224">
        <f ca="1">1/(1+'Financial Data'!$C$8)^E$14*E24</f>
        <v>-15468.317402206583</v>
      </c>
      <c r="F29" s="224">
        <f ca="1">1/(1+'Financial Data'!$C$8)^F$14*F24</f>
        <v>-4880.076475112005</v>
      </c>
      <c r="G29" s="224">
        <f ca="1">1/(1+'Financial Data'!$C$8)^G$14*G24</f>
        <v>-4715.0497344077357</v>
      </c>
      <c r="H29" s="224">
        <f ca="1">1/(1+'Financial Data'!$C$8)^H$14*H24</f>
        <v>-13097.360373354819</v>
      </c>
      <c r="I29" s="224">
        <f ca="1">1/(1+'Financial Data'!$C$8)^I$14*I24</f>
        <v>-12654.454467009487</v>
      </c>
      <c r="J29" s="224">
        <f>1/(1+'Financial Data'!$C$8)^J$14*J24</f>
        <v>0</v>
      </c>
      <c r="K29" s="224">
        <f>1/(1+'Financial Data'!$C$8)^K$14*K24</f>
        <v>0</v>
      </c>
      <c r="L29" s="224">
        <f>1/(1+'Financial Data'!$C$8)^L$14*L24</f>
        <v>0</v>
      </c>
      <c r="M29" s="224">
        <f>1/(1+'Financial Data'!$C$8)^M$14*M24</f>
        <v>0</v>
      </c>
      <c r="N29" s="224">
        <f>1/(1+'Financial Data'!$C$8)^N$14*N24</f>
        <v>0</v>
      </c>
      <c r="O29" s="224">
        <f>1/(1+'Financial Data'!$C$8)^O$14*O24</f>
        <v>0</v>
      </c>
      <c r="P29" s="224">
        <f>1/(1+'Financial Data'!$C$8)^P$14*P24</f>
        <v>0</v>
      </c>
      <c r="Q29" s="224">
        <f>1/(1+'Financial Data'!$C$8)^Q$14*Q24</f>
        <v>0</v>
      </c>
      <c r="R29" s="224">
        <f>1/(1+'Financial Data'!$C$8)^R$14*R24</f>
        <v>0</v>
      </c>
      <c r="S29" s="224">
        <f>1/(1+'Financial Data'!$C$8)^S$14*S24</f>
        <v>0</v>
      </c>
      <c r="T29" s="224">
        <f>1/(1+'Financial Data'!$C$8)^T$14*T24</f>
        <v>0</v>
      </c>
      <c r="U29" s="224">
        <f>1/(1+'Financial Data'!$C$8)^U$14*U24</f>
        <v>0</v>
      </c>
      <c r="V29" s="224">
        <f>1/(1+'Financial Data'!$C$8)^V$14*V24</f>
        <v>0</v>
      </c>
      <c r="W29" s="224">
        <f>1/(1+'Financial Data'!$C$8)^W$14*W24</f>
        <v>0</v>
      </c>
      <c r="X29" s="224">
        <f>1/(1+'Financial Data'!$C$8)^X$14*X24</f>
        <v>0</v>
      </c>
      <c r="Y29" s="224">
        <f>1/(1+'Financial Data'!$C$8)^Y$14*Y24</f>
        <v>0</v>
      </c>
      <c r="Z29" s="224">
        <f>1/(1+'Financial Data'!$C$8)^Z$14*Z24</f>
        <v>0</v>
      </c>
      <c r="AA29" s="224">
        <f>1/(1+'Financial Data'!$C$8)^AA$14*AA24</f>
        <v>0</v>
      </c>
    </row>
    <row r="30" spans="1:27" s="225" customFormat="1">
      <c r="A30" s="223" t="str">
        <f>'Asset Info'!$E$10</f>
        <v>Balfour Beatty</v>
      </c>
      <c r="B30" s="224">
        <f ca="1">-B$18*SUMIF('Annual WLC by Maturity Level '!$E$9:$I$9,B$17,'Annual WLC by Maturity Level '!$E43:$I43)</f>
        <v>0</v>
      </c>
      <c r="C30" s="224">
        <f ca="1">1/(1+'Financial Data'!$C$8)^C$14*C25</f>
        <v>0</v>
      </c>
      <c r="D30" s="224">
        <f ca="1">1/(1+'Financial Data'!$C$8)^D$14*D25</f>
        <v>0</v>
      </c>
      <c r="E30" s="224">
        <f ca="1">1/(1+'Financial Data'!$C$8)^E$14*E25</f>
        <v>0</v>
      </c>
      <c r="F30" s="224">
        <f ca="1">1/(1+'Financial Data'!$C$8)^F$14*F25</f>
        <v>0</v>
      </c>
      <c r="G30" s="224">
        <f ca="1">1/(1+'Financial Data'!$C$8)^G$14*G25</f>
        <v>0</v>
      </c>
      <c r="H30" s="224">
        <f ca="1">1/(1+'Financial Data'!$C$8)^H$14*H25</f>
        <v>0</v>
      </c>
      <c r="I30" s="224">
        <f ca="1">1/(1+'Financial Data'!$C$8)^I$14*I25</f>
        <v>0</v>
      </c>
      <c r="J30" s="224">
        <f>1/(1+'Financial Data'!$C$8)^J$14*J25</f>
        <v>0</v>
      </c>
      <c r="K30" s="224">
        <f>1/(1+'Financial Data'!$C$8)^K$14*K25</f>
        <v>0</v>
      </c>
      <c r="L30" s="224">
        <f>1/(1+'Financial Data'!$C$8)^L$14*L25</f>
        <v>0</v>
      </c>
      <c r="M30" s="224">
        <f>1/(1+'Financial Data'!$C$8)^M$14*M25</f>
        <v>0</v>
      </c>
      <c r="N30" s="224">
        <f>1/(1+'Financial Data'!$C$8)^N$14*N25</f>
        <v>0</v>
      </c>
      <c r="O30" s="224">
        <f>1/(1+'Financial Data'!$C$8)^O$14*O25</f>
        <v>0</v>
      </c>
      <c r="P30" s="224">
        <f>1/(1+'Financial Data'!$C$8)^P$14*P25</f>
        <v>0</v>
      </c>
      <c r="Q30" s="224">
        <f>1/(1+'Financial Data'!$C$8)^Q$14*Q25</f>
        <v>0</v>
      </c>
      <c r="R30" s="224">
        <f>1/(1+'Financial Data'!$C$8)^R$14*R25</f>
        <v>0</v>
      </c>
      <c r="S30" s="224">
        <f>1/(1+'Financial Data'!$C$8)^S$14*S25</f>
        <v>0</v>
      </c>
      <c r="T30" s="224">
        <f>1/(1+'Financial Data'!$C$8)^T$14*T25</f>
        <v>0</v>
      </c>
      <c r="U30" s="224">
        <f>1/(1+'Financial Data'!$C$8)^U$14*U25</f>
        <v>0</v>
      </c>
      <c r="V30" s="224">
        <f>1/(1+'Financial Data'!$C$8)^V$14*V25</f>
        <v>0</v>
      </c>
      <c r="W30" s="224">
        <f>1/(1+'Financial Data'!$C$8)^W$14*W25</f>
        <v>0</v>
      </c>
      <c r="X30" s="224">
        <f>1/(1+'Financial Data'!$C$8)^X$14*X25</f>
        <v>0</v>
      </c>
      <c r="Y30" s="224">
        <f>1/(1+'Financial Data'!$C$8)^Y$14*Y25</f>
        <v>0</v>
      </c>
      <c r="Z30" s="224">
        <f>1/(1+'Financial Data'!$C$8)^Z$14*Z25</f>
        <v>0</v>
      </c>
      <c r="AA30" s="224">
        <f>1/(1+'Financial Data'!$C$8)^AA$14*AA25</f>
        <v>0</v>
      </c>
    </row>
    <row r="31" spans="1:27" s="225" customFormat="1">
      <c r="A31" s="223" t="str">
        <f>'Asset Info'!$F$10</f>
        <v>RSSB</v>
      </c>
      <c r="B31" s="224">
        <f ca="1">-B$18*SUMIF('Annual WLC by Maturity Level '!$E$9:$I$9,B$17,'Annual WLC by Maturity Level '!$E44:$I44)</f>
        <v>-10500</v>
      </c>
      <c r="C31" s="224">
        <f ca="1">1/(1+'Financial Data'!$C$8)^C$14*C26</f>
        <v>-10144.927536231884</v>
      </c>
      <c r="D31" s="224">
        <f ca="1">1/(1+'Financial Data'!$C$8)^D$14*D26</f>
        <v>-6861.303647693062</v>
      </c>
      <c r="E31" s="224">
        <f ca="1">1/(1+'Financial Data'!$C$8)^E$14*E26</f>
        <v>-6629.278886659964</v>
      </c>
      <c r="F31" s="224">
        <f ca="1">1/(1+'Financial Data'!$C$8)^F$14*F26</f>
        <v>-2091.4613464765739</v>
      </c>
      <c r="G31" s="224">
        <f ca="1">1/(1+'Financial Data'!$C$8)^G$14*G26</f>
        <v>-2020.735600460458</v>
      </c>
      <c r="H31" s="224">
        <f ca="1">1/(1+'Financial Data'!$C$8)^H$14*H26</f>
        <v>-5613.1544457234941</v>
      </c>
      <c r="I31" s="224">
        <f ca="1">1/(1+'Financial Data'!$C$8)^I$14*I26</f>
        <v>-5423.3376287183519</v>
      </c>
      <c r="J31" s="224">
        <f>1/(1+'Financial Data'!$C$8)^J$14*J26</f>
        <v>0</v>
      </c>
      <c r="K31" s="224">
        <f>1/(1+'Financial Data'!$C$8)^K$14*K26</f>
        <v>0</v>
      </c>
      <c r="L31" s="224">
        <f>1/(1+'Financial Data'!$C$8)^L$14*L26</f>
        <v>0</v>
      </c>
      <c r="M31" s="224">
        <f>1/(1+'Financial Data'!$C$8)^M$14*M26</f>
        <v>0</v>
      </c>
      <c r="N31" s="224">
        <f>1/(1+'Financial Data'!$C$8)^N$14*N26</f>
        <v>0</v>
      </c>
      <c r="O31" s="224">
        <f>1/(1+'Financial Data'!$C$8)^O$14*O26</f>
        <v>0</v>
      </c>
      <c r="P31" s="224">
        <f>1/(1+'Financial Data'!$C$8)^P$14*P26</f>
        <v>0</v>
      </c>
      <c r="Q31" s="224">
        <f>1/(1+'Financial Data'!$C$8)^Q$14*Q26</f>
        <v>0</v>
      </c>
      <c r="R31" s="224">
        <f>1/(1+'Financial Data'!$C$8)^R$14*R26</f>
        <v>0</v>
      </c>
      <c r="S31" s="224">
        <f>1/(1+'Financial Data'!$C$8)^S$14*S26</f>
        <v>0</v>
      </c>
      <c r="T31" s="224">
        <f>1/(1+'Financial Data'!$C$8)^T$14*T26</f>
        <v>0</v>
      </c>
      <c r="U31" s="224">
        <f>1/(1+'Financial Data'!$C$8)^U$14*U26</f>
        <v>0</v>
      </c>
      <c r="V31" s="224">
        <f>1/(1+'Financial Data'!$C$8)^V$14*V26</f>
        <v>0</v>
      </c>
      <c r="W31" s="224">
        <f>1/(1+'Financial Data'!$C$8)^W$14*W26</f>
        <v>0</v>
      </c>
      <c r="X31" s="224">
        <f>1/(1+'Financial Data'!$C$8)^X$14*X26</f>
        <v>0</v>
      </c>
      <c r="Y31" s="224">
        <f>1/(1+'Financial Data'!$C$8)^Y$14*Y26</f>
        <v>0</v>
      </c>
      <c r="Z31" s="224">
        <f>1/(1+'Financial Data'!$C$8)^Z$14*Z26</f>
        <v>0</v>
      </c>
      <c r="AA31" s="224">
        <f>1/(1+'Financial Data'!$C$8)^AA$14*AA26</f>
        <v>0</v>
      </c>
    </row>
    <row r="32" spans="1:27">
      <c r="A32" s="22"/>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s="53" customFormat="1">
      <c r="A33" s="151" t="s">
        <v>143</v>
      </c>
      <c r="B33" s="149">
        <f ca="1">-'Annual WLC by Maturity Level '!$C$34
+B18*INDEX('Annual WLC by Maturity Level '!$E$84:$I$84,MATCH(B17,'Annual WLC by Maturity Level '!$E$9:$I$9,FALSE))</f>
        <v>-9947253.459999999</v>
      </c>
      <c r="C33" s="149">
        <f ca="1">B33
+C18*INDEX('Annual WLC by Maturity Level '!$E$84:$I$84,MATCH(C17,'Annual WLC by Maturity Level '!$E$9:$I$9,FALSE))</f>
        <v>-9945144.5699999984</v>
      </c>
      <c r="D33" s="149">
        <f ca="1">C33
+D18*INDEX('Annual WLC by Maturity Level '!$E$84:$I$84,MATCH(D17,'Annual WLC by Maturity Level '!$E$9:$I$9,FALSE))</f>
        <v>-9850229.2359999977</v>
      </c>
      <c r="E33" s="149">
        <f ca="1">D33
+E18*INDEX('Annual WLC by Maturity Level '!$E$84:$I$84,MATCH(E17,'Annual WLC by Maturity Level '!$E$9:$I$9,FALSE))</f>
        <v>-9755313.901999997</v>
      </c>
      <c r="F33" s="149">
        <f ca="1">E33
+F18*INDEX('Annual WLC by Maturity Level '!$E$84:$I$84,MATCH(F17,'Annual WLC by Maturity Level '!$E$9:$I$9,FALSE))</f>
        <v>-9702198.5679999962</v>
      </c>
      <c r="G33" s="149">
        <f ca="1">F33
+G18*INDEX('Annual WLC by Maturity Level '!$E$84:$I$84,MATCH(G17,'Annual WLC by Maturity Level '!$E$9:$I$9,FALSE))</f>
        <v>-9649083.2339999955</v>
      </c>
      <c r="H33" s="149">
        <f ca="1">G33
+H18*INDEX('Annual WLC by Maturity Level '!$E$84:$I$84,MATCH(H17,'Annual WLC by Maturity Level '!$E$9:$I$9,FALSE))</f>
        <v>-9536187.2319999952</v>
      </c>
      <c r="I33" s="149">
        <f ca="1">H33
+I18*INDEX('Annual WLC by Maturity Level '!$E$84:$I$84,MATCH(I17,'Annual WLC by Maturity Level '!$E$9:$I$9,FALSE))</f>
        <v>-9423291.2299999949</v>
      </c>
      <c r="J33" s="149">
        <f ca="1">I33
+J18*INDEX('Annual WLC by Maturity Level '!$E$84:$I$84,MATCH(J17,'Annual WLC by Maturity Level '!$E$9:$I$9,FALSE))</f>
        <v>-9423291.2299999949</v>
      </c>
      <c r="K33" s="149">
        <f ca="1">J33
+K18*INDEX('Annual WLC by Maturity Level '!$E$84:$I$84,MATCH(K17,'Annual WLC by Maturity Level '!$E$9:$I$9,FALSE))</f>
        <v>-9423291.2299999949</v>
      </c>
      <c r="L33" s="149">
        <f ca="1">K33
+L18*INDEX('Annual WLC by Maturity Level '!$E$84:$I$84,MATCH(L17,'Annual WLC by Maturity Level '!$E$9:$I$9,FALSE))</f>
        <v>-9423291.2299999949</v>
      </c>
      <c r="M33" s="149">
        <f ca="1">L33
+M18*INDEX('Annual WLC by Maturity Level '!$E$84:$I$84,MATCH(M17,'Annual WLC by Maturity Level '!$E$9:$I$9,FALSE))</f>
        <v>-9423291.2299999949</v>
      </c>
      <c r="N33" s="149">
        <f ca="1">M33
+N18*INDEX('Annual WLC by Maturity Level '!$E$84:$I$84,MATCH(N17,'Annual WLC by Maturity Level '!$E$9:$I$9,FALSE))</f>
        <v>-9423291.2299999949</v>
      </c>
      <c r="O33" s="149">
        <f ca="1">N33
+O18*INDEX('Annual WLC by Maturity Level '!$E$84:$I$84,MATCH(O17,'Annual WLC by Maturity Level '!$E$9:$I$9,FALSE))</f>
        <v>-9423291.2299999949</v>
      </c>
      <c r="P33" s="149">
        <f ca="1">O33
+P18*INDEX('Annual WLC by Maturity Level '!$E$84:$I$84,MATCH(P17,'Annual WLC by Maturity Level '!$E$9:$I$9,FALSE))</f>
        <v>-9423291.2299999949</v>
      </c>
      <c r="Q33" s="149">
        <f ca="1">P33
+Q18*INDEX('Annual WLC by Maturity Level '!$E$84:$I$84,MATCH(Q17,'Annual WLC by Maturity Level '!$E$9:$I$9,FALSE))</f>
        <v>-9423291.2299999949</v>
      </c>
      <c r="R33" s="149">
        <f ca="1">Q33
+R18*INDEX('Annual WLC by Maturity Level '!$E$84:$I$84,MATCH(R17,'Annual WLC by Maturity Level '!$E$9:$I$9,FALSE))</f>
        <v>-9423291.2299999949</v>
      </c>
      <c r="S33" s="149">
        <f ca="1">R33
+S18*INDEX('Annual WLC by Maturity Level '!$E$84:$I$84,MATCH(S17,'Annual WLC by Maturity Level '!$E$9:$I$9,FALSE))</f>
        <v>-9423291.2299999949</v>
      </c>
      <c r="T33" s="149">
        <f ca="1">S33
+T18*INDEX('Annual WLC by Maturity Level '!$E$84:$I$84,MATCH(T17,'Annual WLC by Maturity Level '!$E$9:$I$9,FALSE))</f>
        <v>-9423291.2299999949</v>
      </c>
      <c r="U33" s="149">
        <f ca="1">T33
+U18*INDEX('Annual WLC by Maturity Level '!$E$84:$I$84,MATCH(U17,'Annual WLC by Maturity Level '!$E$9:$I$9,FALSE))</f>
        <v>-9423291.2299999949</v>
      </c>
      <c r="V33" s="149">
        <f ca="1">U33
+V18*INDEX('Annual WLC by Maturity Level '!$E$84:$I$84,MATCH(V17,'Annual WLC by Maturity Level '!$E$9:$I$9,FALSE))</f>
        <v>-9423291.2299999949</v>
      </c>
      <c r="W33" s="149">
        <f ca="1">V33
+W18*INDEX('Annual WLC by Maturity Level '!$E$84:$I$84,MATCH(W17,'Annual WLC by Maturity Level '!$E$9:$I$9,FALSE))</f>
        <v>-9423291.2299999949</v>
      </c>
      <c r="X33" s="149">
        <f ca="1">W33
+X18*INDEX('Annual WLC by Maturity Level '!$E$84:$I$84,MATCH(X17,'Annual WLC by Maturity Level '!$E$9:$I$9,FALSE))</f>
        <v>-9423291.2299999949</v>
      </c>
      <c r="Y33" s="149">
        <f ca="1">X33
+Y18*INDEX('Annual WLC by Maturity Level '!$E$84:$I$84,MATCH(Y17,'Annual WLC by Maturity Level '!$E$9:$I$9,FALSE))</f>
        <v>-9423291.2299999949</v>
      </c>
      <c r="Z33" s="149">
        <f ca="1">Y33
+Z18*INDEX('Annual WLC by Maturity Level '!$E$84:$I$84,MATCH(Z17,'Annual WLC by Maturity Level '!$E$9:$I$9,FALSE))</f>
        <v>-9423291.2299999949</v>
      </c>
      <c r="AA33" s="149">
        <f ca="1">Z33
+AA18*INDEX('Annual WLC by Maturity Level '!$E$84:$I$84,MATCH(AA17,'Annual WLC by Maturity Level '!$E$9:$I$9,FALSE))</f>
        <v>-9423291.2299999949</v>
      </c>
    </row>
    <row r="34" spans="1:27" s="225" customFormat="1">
      <c r="A34" s="223" t="str">
        <f>'Asset Info'!$C$10</f>
        <v>Crossrail</v>
      </c>
      <c r="B34" s="224">
        <f ca="1">-'Annual WLC by Maturity Level '!$C35
+B$18*INDEX('Annual WLC by Maturity Level '!$E85:$I85,MATCH(B$17,'Annual WLC by Maturity Level '!$E$9:$I$9,FALSE))</f>
        <v>-68256.75</v>
      </c>
      <c r="C34" s="224">
        <f ca="1">B34
+C$18*INDEX('Annual WLC by Maturity Level '!$E85:$I85,MATCH(C$17,'Annual WLC by Maturity Level '!$E$9:$I$9,FALSE))</f>
        <v>-66506.75</v>
      </c>
      <c r="D34" s="224">
        <f ca="1">C34
+D$18*INDEX('Annual WLC by Maturity Level '!$E85:$I85,MATCH(D$17,'Annual WLC by Maturity Level '!$E$9:$I$9,FALSE))</f>
        <v>-65456.75</v>
      </c>
      <c r="E34" s="224">
        <f ca="1">D34
+E$18*INDEX('Annual WLC by Maturity Level '!$E85:$I85,MATCH(E$17,'Annual WLC by Maturity Level '!$E$9:$I$9,FALSE))</f>
        <v>-64406.75</v>
      </c>
      <c r="F34" s="224">
        <f ca="1">E34
+F$18*INDEX('Annual WLC by Maturity Level '!$E85:$I85,MATCH(F$17,'Annual WLC by Maturity Level '!$E$9:$I$9,FALSE))</f>
        <v>-63356.75</v>
      </c>
      <c r="G34" s="224">
        <f ca="1">F34
+G$18*INDEX('Annual WLC by Maturity Level '!$E85:$I85,MATCH(G$17,'Annual WLC by Maturity Level '!$E$9:$I$9,FALSE))</f>
        <v>-62306.75</v>
      </c>
      <c r="H34" s="224">
        <f ca="1">G34
+H$18*INDEX('Annual WLC by Maturity Level '!$E85:$I85,MATCH(H$17,'Annual WLC by Maturity Level '!$E$9:$I$9,FALSE))</f>
        <v>-59156.75</v>
      </c>
      <c r="I34" s="224">
        <f ca="1">H34
+I$18*INDEX('Annual WLC by Maturity Level '!$E85:$I85,MATCH(I$17,'Annual WLC by Maturity Level '!$E$9:$I$9,FALSE))</f>
        <v>-56006.75</v>
      </c>
      <c r="J34" s="224">
        <f ca="1">I34
+J$18*INDEX('Annual WLC by Maturity Level '!$E85:$I85,MATCH(J$17,'Annual WLC by Maturity Level '!$E$9:$I$9,FALSE))</f>
        <v>-56006.75</v>
      </c>
      <c r="K34" s="224">
        <f ca="1">J34
+K$18*INDEX('Annual WLC by Maturity Level '!$E85:$I85,MATCH(K$17,'Annual WLC by Maturity Level '!$E$9:$I$9,FALSE))</f>
        <v>-56006.75</v>
      </c>
      <c r="L34" s="224">
        <f ca="1">K34
+L$18*INDEX('Annual WLC by Maturity Level '!$E85:$I85,MATCH(L$17,'Annual WLC by Maturity Level '!$E$9:$I$9,FALSE))</f>
        <v>-56006.75</v>
      </c>
      <c r="M34" s="224">
        <f ca="1">L34
+M$18*INDEX('Annual WLC by Maturity Level '!$E85:$I85,MATCH(M$17,'Annual WLC by Maturity Level '!$E$9:$I$9,FALSE))</f>
        <v>-56006.75</v>
      </c>
      <c r="N34" s="224">
        <f ca="1">M34
+N$18*INDEX('Annual WLC by Maturity Level '!$E85:$I85,MATCH(N$17,'Annual WLC by Maturity Level '!$E$9:$I$9,FALSE))</f>
        <v>-56006.75</v>
      </c>
      <c r="O34" s="224">
        <f ca="1">N34
+O$18*INDEX('Annual WLC by Maturity Level '!$E85:$I85,MATCH(O$17,'Annual WLC by Maturity Level '!$E$9:$I$9,FALSE))</f>
        <v>-56006.75</v>
      </c>
      <c r="P34" s="224">
        <f ca="1">O34
+P$18*INDEX('Annual WLC by Maturity Level '!$E85:$I85,MATCH(P$17,'Annual WLC by Maturity Level '!$E$9:$I$9,FALSE))</f>
        <v>-56006.75</v>
      </c>
      <c r="Q34" s="224">
        <f ca="1">P34
+Q$18*INDEX('Annual WLC by Maturity Level '!$E85:$I85,MATCH(Q$17,'Annual WLC by Maturity Level '!$E$9:$I$9,FALSE))</f>
        <v>-56006.75</v>
      </c>
      <c r="R34" s="224">
        <f ca="1">Q34
+R$18*INDEX('Annual WLC by Maturity Level '!$E85:$I85,MATCH(R$17,'Annual WLC by Maturity Level '!$E$9:$I$9,FALSE))</f>
        <v>-56006.75</v>
      </c>
      <c r="S34" s="224">
        <f ca="1">R34
+S$18*INDEX('Annual WLC by Maturity Level '!$E85:$I85,MATCH(S$17,'Annual WLC by Maturity Level '!$E$9:$I$9,FALSE))</f>
        <v>-56006.75</v>
      </c>
      <c r="T34" s="224">
        <f ca="1">S34
+T$18*INDEX('Annual WLC by Maturity Level '!$E85:$I85,MATCH(T$17,'Annual WLC by Maturity Level '!$E$9:$I$9,FALSE))</f>
        <v>-56006.75</v>
      </c>
      <c r="U34" s="224">
        <f ca="1">T34
+U$18*INDEX('Annual WLC by Maturity Level '!$E85:$I85,MATCH(U$17,'Annual WLC by Maturity Level '!$E$9:$I$9,FALSE))</f>
        <v>-56006.75</v>
      </c>
      <c r="V34" s="224">
        <f ca="1">U34
+V$18*INDEX('Annual WLC by Maturity Level '!$E85:$I85,MATCH(V$17,'Annual WLC by Maturity Level '!$E$9:$I$9,FALSE))</f>
        <v>-56006.75</v>
      </c>
      <c r="W34" s="224">
        <f ca="1">V34
+W$18*INDEX('Annual WLC by Maturity Level '!$E85:$I85,MATCH(W$17,'Annual WLC by Maturity Level '!$E$9:$I$9,FALSE))</f>
        <v>-56006.75</v>
      </c>
      <c r="X34" s="224">
        <f ca="1">W34
+X$18*INDEX('Annual WLC by Maturity Level '!$E85:$I85,MATCH(X$17,'Annual WLC by Maturity Level '!$E$9:$I$9,FALSE))</f>
        <v>-56006.75</v>
      </c>
      <c r="Y34" s="224">
        <f ca="1">X34
+Y$18*INDEX('Annual WLC by Maturity Level '!$E85:$I85,MATCH(Y$17,'Annual WLC by Maturity Level '!$E$9:$I$9,FALSE))</f>
        <v>-56006.75</v>
      </c>
      <c r="Z34" s="224">
        <f ca="1">Y34
+Z$18*INDEX('Annual WLC by Maturity Level '!$E85:$I85,MATCH(Z$17,'Annual WLC by Maturity Level '!$E$9:$I$9,FALSE))</f>
        <v>-56006.75</v>
      </c>
      <c r="AA34" s="224">
        <f ca="1">Z34
+AA$18*INDEX('Annual WLC by Maturity Level '!$E85:$I85,MATCH(AA$17,'Annual WLC by Maturity Level '!$E$9:$I$9,FALSE))</f>
        <v>-56006.75</v>
      </c>
    </row>
    <row r="35" spans="1:27" s="225" customFormat="1">
      <c r="A35" s="223" t="str">
        <f>'Asset Info'!$D$10</f>
        <v>NR Western</v>
      </c>
      <c r="B35" s="224">
        <f ca="1">-'Annual WLC by Maturity Level '!$C36
+B$18*INDEX('Annual WLC by Maturity Level '!$E86:$I86,MATCH(B$17,'Annual WLC by Maturity Level '!$E$9:$I$9,FALSE))</f>
        <v>-9872746.709999999</v>
      </c>
      <c r="C35" s="224">
        <f ca="1">B35
+C$18*INDEX('Annual WLC by Maturity Level '!$E86:$I86,MATCH(C$17,'Annual WLC by Maturity Level '!$E$9:$I$9,FALSE))</f>
        <v>-9866137.8199999984</v>
      </c>
      <c r="D35" s="224">
        <f ca="1">C35
+D$18*INDEX('Annual WLC by Maturity Level '!$E86:$I86,MATCH(D$17,'Annual WLC by Maturity Level '!$E$9:$I$9,FALSE))</f>
        <v>-9770067.4859999977</v>
      </c>
      <c r="E35" s="224">
        <f ca="1">D35
+E$18*INDEX('Annual WLC by Maturity Level '!$E86:$I86,MATCH(E$17,'Annual WLC by Maturity Level '!$E$9:$I$9,FALSE))</f>
        <v>-9673997.151999997</v>
      </c>
      <c r="F35" s="224">
        <f ca="1">E35
+F$18*INDEX('Annual WLC by Maturity Level '!$E86:$I86,MATCH(F$17,'Annual WLC by Maturity Level '!$E$9:$I$9,FALSE))</f>
        <v>-9621211.8179999962</v>
      </c>
      <c r="G35" s="224">
        <f ca="1">F35
+G$18*INDEX('Annual WLC by Maturity Level '!$E86:$I86,MATCH(G$17,'Annual WLC by Maturity Level '!$E$9:$I$9,FALSE))</f>
        <v>-9568426.4839999955</v>
      </c>
      <c r="H35" s="224">
        <f ca="1">G35
+H$18*INDEX('Annual WLC by Maturity Level '!$E86:$I86,MATCH(H$17,'Annual WLC by Maturity Level '!$E$9:$I$9,FALSE))</f>
        <v>-9456610.4819999952</v>
      </c>
      <c r="I35" s="224">
        <f ca="1">H35
+I$18*INDEX('Annual WLC by Maturity Level '!$E86:$I86,MATCH(I$17,'Annual WLC by Maturity Level '!$E$9:$I$9,FALSE))</f>
        <v>-9344794.4799999949</v>
      </c>
      <c r="J35" s="224">
        <f ca="1">I35
+J$18*INDEX('Annual WLC by Maturity Level '!$E86:$I86,MATCH(J$17,'Annual WLC by Maturity Level '!$E$9:$I$9,FALSE))</f>
        <v>-9344794.4799999949</v>
      </c>
      <c r="K35" s="224">
        <f ca="1">J35
+K$18*INDEX('Annual WLC by Maturity Level '!$E86:$I86,MATCH(K$17,'Annual WLC by Maturity Level '!$E$9:$I$9,FALSE))</f>
        <v>-9344794.4799999949</v>
      </c>
      <c r="L35" s="224">
        <f ca="1">K35
+L$18*INDEX('Annual WLC by Maturity Level '!$E86:$I86,MATCH(L$17,'Annual WLC by Maturity Level '!$E$9:$I$9,FALSE))</f>
        <v>-9344794.4799999949</v>
      </c>
      <c r="M35" s="224">
        <f ca="1">L35
+M$18*INDEX('Annual WLC by Maturity Level '!$E86:$I86,MATCH(M$17,'Annual WLC by Maturity Level '!$E$9:$I$9,FALSE))</f>
        <v>-9344794.4799999949</v>
      </c>
      <c r="N35" s="224">
        <f ca="1">M35
+N$18*INDEX('Annual WLC by Maturity Level '!$E86:$I86,MATCH(N$17,'Annual WLC by Maturity Level '!$E$9:$I$9,FALSE))</f>
        <v>-9344794.4799999949</v>
      </c>
      <c r="O35" s="224">
        <f ca="1">N35
+O$18*INDEX('Annual WLC by Maturity Level '!$E86:$I86,MATCH(O$17,'Annual WLC by Maturity Level '!$E$9:$I$9,FALSE))</f>
        <v>-9344794.4799999949</v>
      </c>
      <c r="P35" s="224">
        <f ca="1">O35
+P$18*INDEX('Annual WLC by Maturity Level '!$E86:$I86,MATCH(P$17,'Annual WLC by Maturity Level '!$E$9:$I$9,FALSE))</f>
        <v>-9344794.4799999949</v>
      </c>
      <c r="Q35" s="224">
        <f ca="1">P35
+Q$18*INDEX('Annual WLC by Maturity Level '!$E86:$I86,MATCH(Q$17,'Annual WLC by Maturity Level '!$E$9:$I$9,FALSE))</f>
        <v>-9344794.4799999949</v>
      </c>
      <c r="R35" s="224">
        <f ca="1">Q35
+R$18*INDEX('Annual WLC by Maturity Level '!$E86:$I86,MATCH(R$17,'Annual WLC by Maturity Level '!$E$9:$I$9,FALSE))</f>
        <v>-9344794.4799999949</v>
      </c>
      <c r="S35" s="224">
        <f ca="1">R35
+S$18*INDEX('Annual WLC by Maturity Level '!$E86:$I86,MATCH(S$17,'Annual WLC by Maturity Level '!$E$9:$I$9,FALSE))</f>
        <v>-9344794.4799999949</v>
      </c>
      <c r="T35" s="224">
        <f ca="1">S35
+T$18*INDEX('Annual WLC by Maturity Level '!$E86:$I86,MATCH(T$17,'Annual WLC by Maturity Level '!$E$9:$I$9,FALSE))</f>
        <v>-9344794.4799999949</v>
      </c>
      <c r="U35" s="224">
        <f ca="1">T35
+U$18*INDEX('Annual WLC by Maturity Level '!$E86:$I86,MATCH(U$17,'Annual WLC by Maturity Level '!$E$9:$I$9,FALSE))</f>
        <v>-9344794.4799999949</v>
      </c>
      <c r="V35" s="224">
        <f ca="1">U35
+V$18*INDEX('Annual WLC by Maturity Level '!$E86:$I86,MATCH(V$17,'Annual WLC by Maturity Level '!$E$9:$I$9,FALSE))</f>
        <v>-9344794.4799999949</v>
      </c>
      <c r="W35" s="224">
        <f ca="1">V35
+W$18*INDEX('Annual WLC by Maturity Level '!$E86:$I86,MATCH(W$17,'Annual WLC by Maturity Level '!$E$9:$I$9,FALSE))</f>
        <v>-9344794.4799999949</v>
      </c>
      <c r="X35" s="224">
        <f ca="1">W35
+X$18*INDEX('Annual WLC by Maturity Level '!$E86:$I86,MATCH(X$17,'Annual WLC by Maturity Level '!$E$9:$I$9,FALSE))</f>
        <v>-9344794.4799999949</v>
      </c>
      <c r="Y35" s="224">
        <f ca="1">X35
+Y$18*INDEX('Annual WLC by Maturity Level '!$E86:$I86,MATCH(Y$17,'Annual WLC by Maturity Level '!$E$9:$I$9,FALSE))</f>
        <v>-9344794.4799999949</v>
      </c>
      <c r="Z35" s="224">
        <f ca="1">Y35
+Z$18*INDEX('Annual WLC by Maturity Level '!$E86:$I86,MATCH(Z$17,'Annual WLC by Maturity Level '!$E$9:$I$9,FALSE))</f>
        <v>-9344794.4799999949</v>
      </c>
      <c r="AA35" s="224">
        <f ca="1">Z35
+AA$18*INDEX('Annual WLC by Maturity Level '!$E86:$I86,MATCH(AA$17,'Annual WLC by Maturity Level '!$E$9:$I$9,FALSE))</f>
        <v>-9344794.4799999949</v>
      </c>
    </row>
    <row r="36" spans="1:27" s="225" customFormat="1">
      <c r="A36" s="223" t="str">
        <f>'Asset Info'!$E$10</f>
        <v>Balfour Beatty</v>
      </c>
      <c r="B36" s="224">
        <f ca="1">-'Annual WLC by Maturity Level '!$C37
+B$18*INDEX('Annual WLC by Maturity Level '!$E87:$I87,MATCH(B$17,'Annual WLC by Maturity Level '!$E$9:$I$9,FALSE))</f>
        <v>0</v>
      </c>
      <c r="C36" s="224">
        <f ca="1">B36
+C$18*INDEX('Annual WLC by Maturity Level '!$E87:$I87,MATCH(C$17,'Annual WLC by Maturity Level '!$E$9:$I$9,FALSE))</f>
        <v>0</v>
      </c>
      <c r="D36" s="224">
        <f ca="1">C36
+D$18*INDEX('Annual WLC by Maturity Level '!$E87:$I87,MATCH(D$17,'Annual WLC by Maturity Level '!$E$9:$I$9,FALSE))</f>
        <v>0</v>
      </c>
      <c r="E36" s="224">
        <f ca="1">D36
+E$18*INDEX('Annual WLC by Maturity Level '!$E87:$I87,MATCH(E$17,'Annual WLC by Maturity Level '!$E$9:$I$9,FALSE))</f>
        <v>0</v>
      </c>
      <c r="F36" s="224">
        <f ca="1">E36
+F$18*INDEX('Annual WLC by Maturity Level '!$E87:$I87,MATCH(F$17,'Annual WLC by Maturity Level '!$E$9:$I$9,FALSE))</f>
        <v>0</v>
      </c>
      <c r="G36" s="224">
        <f ca="1">F36
+G$18*INDEX('Annual WLC by Maturity Level '!$E87:$I87,MATCH(G$17,'Annual WLC by Maturity Level '!$E$9:$I$9,FALSE))</f>
        <v>0</v>
      </c>
      <c r="H36" s="224">
        <f ca="1">G36
+H$18*INDEX('Annual WLC by Maturity Level '!$E87:$I87,MATCH(H$17,'Annual WLC by Maturity Level '!$E$9:$I$9,FALSE))</f>
        <v>0</v>
      </c>
      <c r="I36" s="224">
        <f ca="1">H36
+I$18*INDEX('Annual WLC by Maturity Level '!$E87:$I87,MATCH(I$17,'Annual WLC by Maturity Level '!$E$9:$I$9,FALSE))</f>
        <v>0</v>
      </c>
      <c r="J36" s="224">
        <f ca="1">I36
+J$18*INDEX('Annual WLC by Maturity Level '!$E87:$I87,MATCH(J$17,'Annual WLC by Maturity Level '!$E$9:$I$9,FALSE))</f>
        <v>0</v>
      </c>
      <c r="K36" s="224">
        <f ca="1">J36
+K$18*INDEX('Annual WLC by Maturity Level '!$E87:$I87,MATCH(K$17,'Annual WLC by Maturity Level '!$E$9:$I$9,FALSE))</f>
        <v>0</v>
      </c>
      <c r="L36" s="224">
        <f ca="1">K36
+L$18*INDEX('Annual WLC by Maturity Level '!$E87:$I87,MATCH(L$17,'Annual WLC by Maturity Level '!$E$9:$I$9,FALSE))</f>
        <v>0</v>
      </c>
      <c r="M36" s="224">
        <f ca="1">L36
+M$18*INDEX('Annual WLC by Maturity Level '!$E87:$I87,MATCH(M$17,'Annual WLC by Maturity Level '!$E$9:$I$9,FALSE))</f>
        <v>0</v>
      </c>
      <c r="N36" s="224">
        <f ca="1">M36
+N$18*INDEX('Annual WLC by Maturity Level '!$E87:$I87,MATCH(N$17,'Annual WLC by Maturity Level '!$E$9:$I$9,FALSE))</f>
        <v>0</v>
      </c>
      <c r="O36" s="224">
        <f ca="1">N36
+O$18*INDEX('Annual WLC by Maturity Level '!$E87:$I87,MATCH(O$17,'Annual WLC by Maturity Level '!$E$9:$I$9,FALSE))</f>
        <v>0</v>
      </c>
      <c r="P36" s="224">
        <f ca="1">O36
+P$18*INDEX('Annual WLC by Maturity Level '!$E87:$I87,MATCH(P$17,'Annual WLC by Maturity Level '!$E$9:$I$9,FALSE))</f>
        <v>0</v>
      </c>
      <c r="Q36" s="224">
        <f ca="1">P36
+Q$18*INDEX('Annual WLC by Maturity Level '!$E87:$I87,MATCH(Q$17,'Annual WLC by Maturity Level '!$E$9:$I$9,FALSE))</f>
        <v>0</v>
      </c>
      <c r="R36" s="224">
        <f ca="1">Q36
+R$18*INDEX('Annual WLC by Maturity Level '!$E87:$I87,MATCH(R$17,'Annual WLC by Maturity Level '!$E$9:$I$9,FALSE))</f>
        <v>0</v>
      </c>
      <c r="S36" s="224">
        <f ca="1">R36
+S$18*INDEX('Annual WLC by Maturity Level '!$E87:$I87,MATCH(S$17,'Annual WLC by Maturity Level '!$E$9:$I$9,FALSE))</f>
        <v>0</v>
      </c>
      <c r="T36" s="224">
        <f ca="1">S36
+T$18*INDEX('Annual WLC by Maturity Level '!$E87:$I87,MATCH(T$17,'Annual WLC by Maturity Level '!$E$9:$I$9,FALSE))</f>
        <v>0</v>
      </c>
      <c r="U36" s="224">
        <f ca="1">T36
+U$18*INDEX('Annual WLC by Maturity Level '!$E87:$I87,MATCH(U$17,'Annual WLC by Maturity Level '!$E$9:$I$9,FALSE))</f>
        <v>0</v>
      </c>
      <c r="V36" s="224">
        <f ca="1">U36
+V$18*INDEX('Annual WLC by Maturity Level '!$E87:$I87,MATCH(V$17,'Annual WLC by Maturity Level '!$E$9:$I$9,FALSE))</f>
        <v>0</v>
      </c>
      <c r="W36" s="224">
        <f ca="1">V36
+W$18*INDEX('Annual WLC by Maturity Level '!$E87:$I87,MATCH(W$17,'Annual WLC by Maturity Level '!$E$9:$I$9,FALSE))</f>
        <v>0</v>
      </c>
      <c r="X36" s="224">
        <f ca="1">W36
+X$18*INDEX('Annual WLC by Maturity Level '!$E87:$I87,MATCH(X$17,'Annual WLC by Maturity Level '!$E$9:$I$9,FALSE))</f>
        <v>0</v>
      </c>
      <c r="Y36" s="224">
        <f ca="1">X36
+Y$18*INDEX('Annual WLC by Maturity Level '!$E87:$I87,MATCH(Y$17,'Annual WLC by Maturity Level '!$E$9:$I$9,FALSE))</f>
        <v>0</v>
      </c>
      <c r="Z36" s="224">
        <f ca="1">Y36
+Z$18*INDEX('Annual WLC by Maturity Level '!$E87:$I87,MATCH(Z$17,'Annual WLC by Maturity Level '!$E$9:$I$9,FALSE))</f>
        <v>0</v>
      </c>
      <c r="AA36" s="224">
        <f ca="1">Z36
+AA$18*INDEX('Annual WLC by Maturity Level '!$E87:$I87,MATCH(AA$17,'Annual WLC by Maturity Level '!$E$9:$I$9,FALSE))</f>
        <v>0</v>
      </c>
    </row>
    <row r="37" spans="1:27" s="225" customFormat="1">
      <c r="A37" s="223" t="str">
        <f>'Asset Info'!$F$10</f>
        <v>RSSB</v>
      </c>
      <c r="B37" s="224">
        <f ca="1">-'Annual WLC by Maturity Level '!$C38
+B$18*INDEX('Annual WLC by Maturity Level '!$E88:$I88,MATCH(B$17,'Annual WLC by Maturity Level '!$E$9:$I$9,FALSE))</f>
        <v>-6250</v>
      </c>
      <c r="C37" s="224">
        <f ca="1">B37
+C$18*INDEX('Annual WLC by Maturity Level '!$E88:$I88,MATCH(C$17,'Annual WLC by Maturity Level '!$E$9:$I$9,FALSE))</f>
        <v>-12500</v>
      </c>
      <c r="D37" s="224">
        <f ca="1">C37
+D$18*INDEX('Annual WLC by Maturity Level '!$E88:$I88,MATCH(D$17,'Annual WLC by Maturity Level '!$E$9:$I$9,FALSE))</f>
        <v>-14705</v>
      </c>
      <c r="E37" s="224">
        <f ca="1">D37
+E$18*INDEX('Annual WLC by Maturity Level '!$E88:$I88,MATCH(E$17,'Annual WLC by Maturity Level '!$E$9:$I$9,FALSE))</f>
        <v>-16910</v>
      </c>
      <c r="F37" s="224">
        <f ca="1">E37
+F$18*INDEX('Annual WLC by Maturity Level '!$E88:$I88,MATCH(F$17,'Annual WLC by Maturity Level '!$E$9:$I$9,FALSE))</f>
        <v>-17630</v>
      </c>
      <c r="G37" s="224">
        <f ca="1">F37
+G$18*INDEX('Annual WLC by Maturity Level '!$E88:$I88,MATCH(G$17,'Annual WLC by Maturity Level '!$E$9:$I$9,FALSE))</f>
        <v>-18350</v>
      </c>
      <c r="H37" s="224">
        <f ca="1">G37
+H$18*INDEX('Annual WLC by Maturity Level '!$E88:$I88,MATCH(H$17,'Annual WLC by Maturity Level '!$E$9:$I$9,FALSE))</f>
        <v>-20420</v>
      </c>
      <c r="I37" s="224">
        <f ca="1">H37
+I$18*INDEX('Annual WLC by Maturity Level '!$E88:$I88,MATCH(I$17,'Annual WLC by Maturity Level '!$E$9:$I$9,FALSE))</f>
        <v>-22490</v>
      </c>
      <c r="J37" s="224">
        <f ca="1">I37
+J$18*INDEX('Annual WLC by Maturity Level '!$E88:$I88,MATCH(J$17,'Annual WLC by Maturity Level '!$E$9:$I$9,FALSE))</f>
        <v>-22490</v>
      </c>
      <c r="K37" s="224">
        <f ca="1">J37
+K$18*INDEX('Annual WLC by Maturity Level '!$E88:$I88,MATCH(K$17,'Annual WLC by Maturity Level '!$E$9:$I$9,FALSE))</f>
        <v>-22490</v>
      </c>
      <c r="L37" s="224">
        <f ca="1">K37
+L$18*INDEX('Annual WLC by Maturity Level '!$E88:$I88,MATCH(L$17,'Annual WLC by Maturity Level '!$E$9:$I$9,FALSE))</f>
        <v>-22490</v>
      </c>
      <c r="M37" s="224">
        <f ca="1">L37
+M$18*INDEX('Annual WLC by Maturity Level '!$E88:$I88,MATCH(M$17,'Annual WLC by Maturity Level '!$E$9:$I$9,FALSE))</f>
        <v>-22490</v>
      </c>
      <c r="N37" s="224">
        <f ca="1">M37
+N$18*INDEX('Annual WLC by Maturity Level '!$E88:$I88,MATCH(N$17,'Annual WLC by Maturity Level '!$E$9:$I$9,FALSE))</f>
        <v>-22490</v>
      </c>
      <c r="O37" s="224">
        <f ca="1">N37
+O$18*INDEX('Annual WLC by Maturity Level '!$E88:$I88,MATCH(O$17,'Annual WLC by Maturity Level '!$E$9:$I$9,FALSE))</f>
        <v>-22490</v>
      </c>
      <c r="P37" s="224">
        <f ca="1">O37
+P$18*INDEX('Annual WLC by Maturity Level '!$E88:$I88,MATCH(P$17,'Annual WLC by Maturity Level '!$E$9:$I$9,FALSE))</f>
        <v>-22490</v>
      </c>
      <c r="Q37" s="224">
        <f ca="1">P37
+Q$18*INDEX('Annual WLC by Maturity Level '!$E88:$I88,MATCH(Q$17,'Annual WLC by Maturity Level '!$E$9:$I$9,FALSE))</f>
        <v>-22490</v>
      </c>
      <c r="R37" s="224">
        <f ca="1">Q37
+R$18*INDEX('Annual WLC by Maturity Level '!$E88:$I88,MATCH(R$17,'Annual WLC by Maturity Level '!$E$9:$I$9,FALSE))</f>
        <v>-22490</v>
      </c>
      <c r="S37" s="224">
        <f ca="1">R37
+S$18*INDEX('Annual WLC by Maturity Level '!$E88:$I88,MATCH(S$17,'Annual WLC by Maturity Level '!$E$9:$I$9,FALSE))</f>
        <v>-22490</v>
      </c>
      <c r="T37" s="224">
        <f ca="1">S37
+T$18*INDEX('Annual WLC by Maturity Level '!$E88:$I88,MATCH(T$17,'Annual WLC by Maturity Level '!$E$9:$I$9,FALSE))</f>
        <v>-22490</v>
      </c>
      <c r="U37" s="224">
        <f ca="1">T37
+U$18*INDEX('Annual WLC by Maturity Level '!$E88:$I88,MATCH(U$17,'Annual WLC by Maturity Level '!$E$9:$I$9,FALSE))</f>
        <v>-22490</v>
      </c>
      <c r="V37" s="224">
        <f ca="1">U37
+V$18*INDEX('Annual WLC by Maturity Level '!$E88:$I88,MATCH(V$17,'Annual WLC by Maturity Level '!$E$9:$I$9,FALSE))</f>
        <v>-22490</v>
      </c>
      <c r="W37" s="224">
        <f ca="1">V37
+W$18*INDEX('Annual WLC by Maturity Level '!$E88:$I88,MATCH(W$17,'Annual WLC by Maturity Level '!$E$9:$I$9,FALSE))</f>
        <v>-22490</v>
      </c>
      <c r="X37" s="224">
        <f ca="1">W37
+X$18*INDEX('Annual WLC by Maturity Level '!$E88:$I88,MATCH(X$17,'Annual WLC by Maturity Level '!$E$9:$I$9,FALSE))</f>
        <v>-22490</v>
      </c>
      <c r="Y37" s="224">
        <f ca="1">X37
+Y$18*INDEX('Annual WLC by Maturity Level '!$E88:$I88,MATCH(Y$17,'Annual WLC by Maturity Level '!$E$9:$I$9,FALSE))</f>
        <v>-22490</v>
      </c>
      <c r="Z37" s="224">
        <f ca="1">Y37
+Z$18*INDEX('Annual WLC by Maturity Level '!$E88:$I88,MATCH(Z$17,'Annual WLC by Maturity Level '!$E$9:$I$9,FALSE))</f>
        <v>-22490</v>
      </c>
      <c r="AA37" s="224">
        <f ca="1">Z37
+AA$18*INDEX('Annual WLC by Maturity Level '!$E88:$I88,MATCH(AA$17,'Annual WLC by Maturity Level '!$E$9:$I$9,FALSE))</f>
        <v>-22490</v>
      </c>
    </row>
    <row r="38" spans="1:27" s="53" customFormat="1">
      <c r="A38" s="148"/>
      <c r="B38" s="149"/>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126</v>
      </c>
      <c r="B39" s="149"/>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s="53" customFormat="1">
      <c r="A40" s="148" t="s">
        <v>182</v>
      </c>
      <c r="B40" s="149">
        <f ca="1">B33+'Annual WLC by Maturity Level '!$C$34</f>
        <v>2108.890000000596</v>
      </c>
      <c r="C40" s="149">
        <f ca="1">C33+'Annual WLC by Maturity Level '!$C$34</f>
        <v>4217.7800000011921</v>
      </c>
      <c r="D40" s="149">
        <f ca="1">D33+'Annual WLC by Maturity Level '!$C$34</f>
        <v>99133.114000001922</v>
      </c>
      <c r="E40" s="149">
        <f ca="1">E33+'Annual WLC by Maturity Level '!$C$34</f>
        <v>194048.44800000265</v>
      </c>
      <c r="F40" s="149">
        <f ca="1">F33+'Annual WLC by Maturity Level '!$C$34</f>
        <v>247163.78200000338</v>
      </c>
      <c r="G40" s="149">
        <f ca="1">G33+'Annual WLC by Maturity Level '!$C$34</f>
        <v>300279.11600000411</v>
      </c>
      <c r="H40" s="149">
        <f ca="1">H33+'Annual WLC by Maturity Level '!$C$34</f>
        <v>413175.11800000444</v>
      </c>
      <c r="I40" s="149">
        <f ca="1">I33+'Annual WLC by Maturity Level '!$C$34</f>
        <v>526071.12000000477</v>
      </c>
      <c r="J40" s="149">
        <f ca="1">J33+'Annual WLC by Maturity Level '!$C$34</f>
        <v>526071.12000000477</v>
      </c>
      <c r="K40" s="149">
        <f ca="1">K33+'Annual WLC by Maturity Level '!$C$34</f>
        <v>526071.12000000477</v>
      </c>
      <c r="L40" s="149">
        <f ca="1">L33+'Annual WLC by Maturity Level '!$C$34</f>
        <v>526071.12000000477</v>
      </c>
      <c r="M40" s="149">
        <f ca="1">M33+'Annual WLC by Maturity Level '!$C$34</f>
        <v>526071.12000000477</v>
      </c>
      <c r="N40" s="149">
        <f ca="1">N33+'Annual WLC by Maturity Level '!$C$34</f>
        <v>526071.12000000477</v>
      </c>
      <c r="O40" s="149">
        <f ca="1">O33+'Annual WLC by Maturity Level '!$C$34</f>
        <v>526071.12000000477</v>
      </c>
      <c r="P40" s="149">
        <f ca="1">P33+'Annual WLC by Maturity Level '!$C$34</f>
        <v>526071.12000000477</v>
      </c>
      <c r="Q40" s="149">
        <f ca="1">Q33+'Annual WLC by Maturity Level '!$C$34</f>
        <v>526071.12000000477</v>
      </c>
      <c r="R40" s="149">
        <f ca="1">R33+'Annual WLC by Maturity Level '!$C$34</f>
        <v>526071.12000000477</v>
      </c>
      <c r="S40" s="149">
        <f ca="1">S33+'Annual WLC by Maturity Level '!$C$34</f>
        <v>526071.12000000477</v>
      </c>
      <c r="T40" s="149">
        <f ca="1">T33+'Annual WLC by Maturity Level '!$C$34</f>
        <v>526071.12000000477</v>
      </c>
      <c r="U40" s="149">
        <f ca="1">U33+'Annual WLC by Maturity Level '!$C$34</f>
        <v>526071.12000000477</v>
      </c>
      <c r="V40" s="149">
        <f ca="1">V33+'Annual WLC by Maturity Level '!$C$34</f>
        <v>526071.12000000477</v>
      </c>
      <c r="W40" s="149">
        <f ca="1">W33+'Annual WLC by Maturity Level '!$C$34</f>
        <v>526071.12000000477</v>
      </c>
      <c r="X40" s="149">
        <f ca="1">X33+'Annual WLC by Maturity Level '!$C$34</f>
        <v>526071.12000000477</v>
      </c>
      <c r="Y40" s="149">
        <f ca="1">Y33+'Annual WLC by Maturity Level '!$C$34</f>
        <v>526071.12000000477</v>
      </c>
      <c r="Z40" s="149">
        <f ca="1">Z33+'Annual WLC by Maturity Level '!$C$34</f>
        <v>526071.12000000477</v>
      </c>
      <c r="AA40" s="149">
        <f ca="1">AA33+'Annual WLC by Maturity Level '!$C$34</f>
        <v>526071.12000000477</v>
      </c>
    </row>
    <row r="41" spans="1:27" s="225" customFormat="1">
      <c r="A41" s="223" t="str">
        <f>'Asset Info'!$C$10</f>
        <v>Crossrail</v>
      </c>
      <c r="B41" s="224">
        <f ca="1">B34+'Annual WLC by Maturity Level '!$C35</f>
        <v>1750</v>
      </c>
      <c r="C41" s="224">
        <f ca="1">C34+'Annual WLC by Maturity Level '!$C35</f>
        <v>3500</v>
      </c>
      <c r="D41" s="224">
        <f ca="1">D34+'Annual WLC by Maturity Level '!$C35</f>
        <v>4550</v>
      </c>
      <c r="E41" s="224">
        <f ca="1">E34+'Annual WLC by Maturity Level '!$C35</f>
        <v>5600</v>
      </c>
      <c r="F41" s="224">
        <f ca="1">F34+'Annual WLC by Maturity Level '!$C35</f>
        <v>6650</v>
      </c>
      <c r="G41" s="224">
        <f ca="1">G34+'Annual WLC by Maturity Level '!$C35</f>
        <v>7700</v>
      </c>
      <c r="H41" s="224">
        <f ca="1">H34+'Annual WLC by Maturity Level '!$C35</f>
        <v>10850</v>
      </c>
      <c r="I41" s="224">
        <f ca="1">I34+'Annual WLC by Maturity Level '!$C35</f>
        <v>14000</v>
      </c>
      <c r="J41" s="224">
        <f ca="1">J34+'Annual WLC by Maturity Level '!$C35</f>
        <v>14000</v>
      </c>
      <c r="K41" s="224">
        <f ca="1">K34+'Annual WLC by Maturity Level '!$C35</f>
        <v>14000</v>
      </c>
      <c r="L41" s="224">
        <f ca="1">L34+'Annual WLC by Maturity Level '!$C35</f>
        <v>14000</v>
      </c>
      <c r="M41" s="224">
        <f ca="1">M34+'Annual WLC by Maturity Level '!$C35</f>
        <v>14000</v>
      </c>
      <c r="N41" s="224">
        <f ca="1">N34+'Annual WLC by Maturity Level '!$C35</f>
        <v>14000</v>
      </c>
      <c r="O41" s="224">
        <f ca="1">O34+'Annual WLC by Maturity Level '!$C35</f>
        <v>14000</v>
      </c>
      <c r="P41" s="224">
        <f ca="1">P34+'Annual WLC by Maturity Level '!$C35</f>
        <v>14000</v>
      </c>
      <c r="Q41" s="224">
        <f ca="1">Q34+'Annual WLC by Maturity Level '!$C35</f>
        <v>14000</v>
      </c>
      <c r="R41" s="224">
        <f ca="1">R34+'Annual WLC by Maturity Level '!$C35</f>
        <v>14000</v>
      </c>
      <c r="S41" s="224">
        <f ca="1">S34+'Annual WLC by Maturity Level '!$C35</f>
        <v>14000</v>
      </c>
      <c r="T41" s="224">
        <f ca="1">T34+'Annual WLC by Maturity Level '!$C35</f>
        <v>14000</v>
      </c>
      <c r="U41" s="224">
        <f ca="1">U34+'Annual WLC by Maturity Level '!$C35</f>
        <v>14000</v>
      </c>
      <c r="V41" s="224">
        <f ca="1">V34+'Annual WLC by Maturity Level '!$C35</f>
        <v>14000</v>
      </c>
      <c r="W41" s="224">
        <f ca="1">W34+'Annual WLC by Maturity Level '!$C35</f>
        <v>14000</v>
      </c>
      <c r="X41" s="224">
        <f ca="1">X34+'Annual WLC by Maturity Level '!$C35</f>
        <v>14000</v>
      </c>
      <c r="Y41" s="224">
        <f ca="1">Y34+'Annual WLC by Maturity Level '!$C35</f>
        <v>14000</v>
      </c>
      <c r="Z41" s="224">
        <f ca="1">Z34+'Annual WLC by Maturity Level '!$C35</f>
        <v>14000</v>
      </c>
      <c r="AA41" s="224">
        <f ca="1">AA34+'Annual WLC by Maturity Level '!$C35</f>
        <v>14000</v>
      </c>
    </row>
    <row r="42" spans="1:27" s="225" customFormat="1">
      <c r="A42" s="223" t="str">
        <f>'Asset Info'!$D$10</f>
        <v>NR Western</v>
      </c>
      <c r="B42" s="224">
        <f ca="1">B35+'Annual WLC by Maturity Level '!$C36</f>
        <v>6608.890000000596</v>
      </c>
      <c r="C42" s="224">
        <f ca="1">C35+'Annual WLC by Maturity Level '!$C36</f>
        <v>13217.780000001192</v>
      </c>
      <c r="D42" s="224">
        <f ca="1">D35+'Annual WLC by Maturity Level '!$C36</f>
        <v>109288.11400000192</v>
      </c>
      <c r="E42" s="224">
        <f ca="1">E35+'Annual WLC by Maturity Level '!$C36</f>
        <v>205358.44800000265</v>
      </c>
      <c r="F42" s="224">
        <f ca="1">F35+'Annual WLC by Maturity Level '!$C36</f>
        <v>258143.78200000338</v>
      </c>
      <c r="G42" s="224">
        <f ca="1">G35+'Annual WLC by Maturity Level '!$C36</f>
        <v>310929.11600000411</v>
      </c>
      <c r="H42" s="224">
        <f ca="1">H35+'Annual WLC by Maturity Level '!$C36</f>
        <v>422745.11800000444</v>
      </c>
      <c r="I42" s="224">
        <f ca="1">I35+'Annual WLC by Maturity Level '!$C36</f>
        <v>534561.12000000477</v>
      </c>
      <c r="J42" s="224">
        <f ca="1">J35+'Annual WLC by Maturity Level '!$C36</f>
        <v>534561.12000000477</v>
      </c>
      <c r="K42" s="224">
        <f ca="1">K35+'Annual WLC by Maturity Level '!$C36</f>
        <v>534561.12000000477</v>
      </c>
      <c r="L42" s="224">
        <f ca="1">L35+'Annual WLC by Maturity Level '!$C36</f>
        <v>534561.12000000477</v>
      </c>
      <c r="M42" s="224">
        <f ca="1">M35+'Annual WLC by Maturity Level '!$C36</f>
        <v>534561.12000000477</v>
      </c>
      <c r="N42" s="224">
        <f ca="1">N35+'Annual WLC by Maturity Level '!$C36</f>
        <v>534561.12000000477</v>
      </c>
      <c r="O42" s="224">
        <f ca="1">O35+'Annual WLC by Maturity Level '!$C36</f>
        <v>534561.12000000477</v>
      </c>
      <c r="P42" s="224">
        <f ca="1">P35+'Annual WLC by Maturity Level '!$C36</f>
        <v>534561.12000000477</v>
      </c>
      <c r="Q42" s="224">
        <f ca="1">Q35+'Annual WLC by Maturity Level '!$C36</f>
        <v>534561.12000000477</v>
      </c>
      <c r="R42" s="224">
        <f ca="1">R35+'Annual WLC by Maturity Level '!$C36</f>
        <v>534561.12000000477</v>
      </c>
      <c r="S42" s="224">
        <f ca="1">S35+'Annual WLC by Maturity Level '!$C36</f>
        <v>534561.12000000477</v>
      </c>
      <c r="T42" s="224">
        <f ca="1">T35+'Annual WLC by Maturity Level '!$C36</f>
        <v>534561.12000000477</v>
      </c>
      <c r="U42" s="224">
        <f ca="1">U35+'Annual WLC by Maturity Level '!$C36</f>
        <v>534561.12000000477</v>
      </c>
      <c r="V42" s="224">
        <f ca="1">V35+'Annual WLC by Maturity Level '!$C36</f>
        <v>534561.12000000477</v>
      </c>
      <c r="W42" s="224">
        <f ca="1">W35+'Annual WLC by Maturity Level '!$C36</f>
        <v>534561.12000000477</v>
      </c>
      <c r="X42" s="224">
        <f ca="1">X35+'Annual WLC by Maturity Level '!$C36</f>
        <v>534561.12000000477</v>
      </c>
      <c r="Y42" s="224">
        <f ca="1">Y35+'Annual WLC by Maturity Level '!$C36</f>
        <v>534561.12000000477</v>
      </c>
      <c r="Z42" s="224">
        <f ca="1">Z35+'Annual WLC by Maturity Level '!$C36</f>
        <v>534561.12000000477</v>
      </c>
      <c r="AA42" s="224">
        <f ca="1">AA35+'Annual WLC by Maturity Level '!$C36</f>
        <v>534561.12000000477</v>
      </c>
    </row>
    <row r="43" spans="1:27" s="225" customFormat="1">
      <c r="A43" s="223" t="str">
        <f>'Asset Info'!$E$10</f>
        <v>Balfour Beatty</v>
      </c>
      <c r="B43" s="224">
        <f ca="1">B36+'Annual WLC by Maturity Level '!$C37</f>
        <v>0</v>
      </c>
      <c r="C43" s="224">
        <f ca="1">C36+'Annual WLC by Maturity Level '!$C37</f>
        <v>0</v>
      </c>
      <c r="D43" s="224">
        <f ca="1">D36+'Annual WLC by Maturity Level '!$C37</f>
        <v>0</v>
      </c>
      <c r="E43" s="224">
        <f ca="1">E36+'Annual WLC by Maturity Level '!$C37</f>
        <v>0</v>
      </c>
      <c r="F43" s="224">
        <f ca="1">F36+'Annual WLC by Maturity Level '!$C37</f>
        <v>0</v>
      </c>
      <c r="G43" s="224">
        <f ca="1">G36+'Annual WLC by Maturity Level '!$C37</f>
        <v>0</v>
      </c>
      <c r="H43" s="224">
        <f ca="1">H36+'Annual WLC by Maturity Level '!$C37</f>
        <v>0</v>
      </c>
      <c r="I43" s="224">
        <f ca="1">I36+'Annual WLC by Maturity Level '!$C37</f>
        <v>0</v>
      </c>
      <c r="J43" s="224">
        <f ca="1">J36+'Annual WLC by Maturity Level '!$C37</f>
        <v>0</v>
      </c>
      <c r="K43" s="224">
        <f ca="1">K36+'Annual WLC by Maturity Level '!$C37</f>
        <v>0</v>
      </c>
      <c r="L43" s="224">
        <f ca="1">L36+'Annual WLC by Maturity Level '!$C37</f>
        <v>0</v>
      </c>
      <c r="M43" s="224">
        <f ca="1">M36+'Annual WLC by Maturity Level '!$C37</f>
        <v>0</v>
      </c>
      <c r="N43" s="224">
        <f ca="1">N36+'Annual WLC by Maturity Level '!$C37</f>
        <v>0</v>
      </c>
      <c r="O43" s="224">
        <f ca="1">O36+'Annual WLC by Maturity Level '!$C37</f>
        <v>0</v>
      </c>
      <c r="P43" s="224">
        <f ca="1">P36+'Annual WLC by Maturity Level '!$C37</f>
        <v>0</v>
      </c>
      <c r="Q43" s="224">
        <f ca="1">Q36+'Annual WLC by Maturity Level '!$C37</f>
        <v>0</v>
      </c>
      <c r="R43" s="224">
        <f ca="1">R36+'Annual WLC by Maturity Level '!$C37</f>
        <v>0</v>
      </c>
      <c r="S43" s="224">
        <f ca="1">S36+'Annual WLC by Maturity Level '!$C37</f>
        <v>0</v>
      </c>
      <c r="T43" s="224">
        <f ca="1">T36+'Annual WLC by Maturity Level '!$C37</f>
        <v>0</v>
      </c>
      <c r="U43" s="224">
        <f ca="1">U36+'Annual WLC by Maturity Level '!$C37</f>
        <v>0</v>
      </c>
      <c r="V43" s="224">
        <f ca="1">V36+'Annual WLC by Maturity Level '!$C37</f>
        <v>0</v>
      </c>
      <c r="W43" s="224">
        <f ca="1">W36+'Annual WLC by Maturity Level '!$C37</f>
        <v>0</v>
      </c>
      <c r="X43" s="224">
        <f ca="1">X36+'Annual WLC by Maturity Level '!$C37</f>
        <v>0</v>
      </c>
      <c r="Y43" s="224">
        <f ca="1">Y36+'Annual WLC by Maturity Level '!$C37</f>
        <v>0</v>
      </c>
      <c r="Z43" s="224">
        <f ca="1">Z36+'Annual WLC by Maturity Level '!$C37</f>
        <v>0</v>
      </c>
      <c r="AA43" s="224">
        <f ca="1">AA36+'Annual WLC by Maturity Level '!$C37</f>
        <v>0</v>
      </c>
    </row>
    <row r="44" spans="1:27" s="225" customFormat="1">
      <c r="A44" s="223" t="str">
        <f>'Asset Info'!$F$10</f>
        <v>RSSB</v>
      </c>
      <c r="B44" s="224">
        <f ca="1">B37+'Annual WLC by Maturity Level '!$C38</f>
        <v>-6250</v>
      </c>
      <c r="C44" s="224">
        <f ca="1">C37+'Annual WLC by Maturity Level '!$C38</f>
        <v>-12500</v>
      </c>
      <c r="D44" s="224">
        <f ca="1">D37+'Annual WLC by Maturity Level '!$C38</f>
        <v>-14705</v>
      </c>
      <c r="E44" s="224">
        <f ca="1">E37+'Annual WLC by Maturity Level '!$C38</f>
        <v>-16910</v>
      </c>
      <c r="F44" s="224">
        <f ca="1">F37+'Annual WLC by Maturity Level '!$C38</f>
        <v>-17630</v>
      </c>
      <c r="G44" s="224">
        <f ca="1">G37+'Annual WLC by Maturity Level '!$C38</f>
        <v>-18350</v>
      </c>
      <c r="H44" s="224">
        <f ca="1">H37+'Annual WLC by Maturity Level '!$C38</f>
        <v>-20420</v>
      </c>
      <c r="I44" s="224">
        <f ca="1">I37+'Annual WLC by Maturity Level '!$C38</f>
        <v>-22490</v>
      </c>
      <c r="J44" s="224">
        <f ca="1">J37+'Annual WLC by Maturity Level '!$C38</f>
        <v>-22490</v>
      </c>
      <c r="K44" s="224">
        <f ca="1">K37+'Annual WLC by Maturity Level '!$C38</f>
        <v>-22490</v>
      </c>
      <c r="L44" s="224">
        <f ca="1">L37+'Annual WLC by Maturity Level '!$C38</f>
        <v>-22490</v>
      </c>
      <c r="M44" s="224">
        <f ca="1">M37+'Annual WLC by Maturity Level '!$C38</f>
        <v>-22490</v>
      </c>
      <c r="N44" s="224">
        <f ca="1">N37+'Annual WLC by Maturity Level '!$C38</f>
        <v>-22490</v>
      </c>
      <c r="O44" s="224">
        <f ca="1">O37+'Annual WLC by Maturity Level '!$C38</f>
        <v>-22490</v>
      </c>
      <c r="P44" s="224">
        <f ca="1">P37+'Annual WLC by Maturity Level '!$C38</f>
        <v>-22490</v>
      </c>
      <c r="Q44" s="224">
        <f ca="1">Q37+'Annual WLC by Maturity Level '!$C38</f>
        <v>-22490</v>
      </c>
      <c r="R44" s="224">
        <f ca="1">R37+'Annual WLC by Maturity Level '!$C38</f>
        <v>-22490</v>
      </c>
      <c r="S44" s="224">
        <f ca="1">S37+'Annual WLC by Maturity Level '!$C38</f>
        <v>-22490</v>
      </c>
      <c r="T44" s="224">
        <f ca="1">T37+'Annual WLC by Maturity Level '!$C38</f>
        <v>-22490</v>
      </c>
      <c r="U44" s="224">
        <f ca="1">U37+'Annual WLC by Maturity Level '!$C38</f>
        <v>-22490</v>
      </c>
      <c r="V44" s="224">
        <f ca="1">V37+'Annual WLC by Maturity Level '!$C38</f>
        <v>-22490</v>
      </c>
      <c r="W44" s="224">
        <f ca="1">W37+'Annual WLC by Maturity Level '!$C38</f>
        <v>-22490</v>
      </c>
      <c r="X44" s="224">
        <f ca="1">X37+'Annual WLC by Maturity Level '!$C38</f>
        <v>-22490</v>
      </c>
      <c r="Y44" s="224">
        <f ca="1">Y37+'Annual WLC by Maturity Level '!$C38</f>
        <v>-22490</v>
      </c>
      <c r="Z44" s="224">
        <f ca="1">Z37+'Annual WLC by Maturity Level '!$C38</f>
        <v>-22490</v>
      </c>
      <c r="AA44" s="224">
        <f ca="1">AA37+'Annual WLC by Maturity Level '!$C38</f>
        <v>-22490</v>
      </c>
    </row>
    <row r="45" spans="1:27" s="53" customFormat="1">
      <c r="A45" s="148" t="s">
        <v>183</v>
      </c>
      <c r="B45" s="149">
        <f ca="1">B40</f>
        <v>2108.890000000596</v>
      </c>
      <c r="C45" s="149">
        <f t="shared" ref="C45:AA45" ca="1" si="0">C40-B40</f>
        <v>2108.890000000596</v>
      </c>
      <c r="D45" s="149">
        <f t="shared" ca="1" si="0"/>
        <v>94915.33400000073</v>
      </c>
      <c r="E45" s="149">
        <f t="shared" ca="1" si="0"/>
        <v>94915.33400000073</v>
      </c>
      <c r="F45" s="149">
        <f t="shared" ca="1" si="0"/>
        <v>53115.33400000073</v>
      </c>
      <c r="G45" s="149">
        <f t="shared" ca="1" si="0"/>
        <v>53115.33400000073</v>
      </c>
      <c r="H45" s="149">
        <f t="shared" ca="1" si="0"/>
        <v>112896.00200000033</v>
      </c>
      <c r="I45" s="149">
        <f t="shared" ca="1" si="0"/>
        <v>112896.00200000033</v>
      </c>
      <c r="J45" s="149">
        <f t="shared" ca="1" si="0"/>
        <v>0</v>
      </c>
      <c r="K45" s="149">
        <f t="shared" ca="1" si="0"/>
        <v>0</v>
      </c>
      <c r="L45" s="149">
        <f t="shared" ca="1" si="0"/>
        <v>0</v>
      </c>
      <c r="M45" s="149">
        <f t="shared" ca="1" si="0"/>
        <v>0</v>
      </c>
      <c r="N45" s="149">
        <f t="shared" ca="1" si="0"/>
        <v>0</v>
      </c>
      <c r="O45" s="149">
        <f t="shared" ca="1" si="0"/>
        <v>0</v>
      </c>
      <c r="P45" s="149">
        <f t="shared" ca="1" si="0"/>
        <v>0</v>
      </c>
      <c r="Q45" s="149">
        <f t="shared" ca="1" si="0"/>
        <v>0</v>
      </c>
      <c r="R45" s="149">
        <f t="shared" ca="1" si="0"/>
        <v>0</v>
      </c>
      <c r="S45" s="149">
        <f t="shared" ca="1" si="0"/>
        <v>0</v>
      </c>
      <c r="T45" s="149">
        <f t="shared" ca="1" si="0"/>
        <v>0</v>
      </c>
      <c r="U45" s="149">
        <f t="shared" ca="1" si="0"/>
        <v>0</v>
      </c>
      <c r="V45" s="149">
        <f t="shared" ca="1" si="0"/>
        <v>0</v>
      </c>
      <c r="W45" s="149">
        <f t="shared" ca="1" si="0"/>
        <v>0</v>
      </c>
      <c r="X45" s="149">
        <f t="shared" ca="1" si="0"/>
        <v>0</v>
      </c>
      <c r="Y45" s="149">
        <f t="shared" ca="1" si="0"/>
        <v>0</v>
      </c>
      <c r="Z45" s="149">
        <f t="shared" ca="1" si="0"/>
        <v>0</v>
      </c>
      <c r="AA45" s="149">
        <f t="shared" ca="1" si="0"/>
        <v>0</v>
      </c>
    </row>
    <row r="46" spans="1:27" s="53" customFormat="1">
      <c r="A46" s="150" t="s">
        <v>184</v>
      </c>
      <c r="B46" s="149">
        <f ca="1">1/(1+'Financial Data'!$C$8)^B14*B40</f>
        <v>2108.890000000596</v>
      </c>
      <c r="C46" s="149">
        <f ca="1">1/(1+'Financial Data'!$C$8)^C14*C40</f>
        <v>4075.1497584552585</v>
      </c>
      <c r="D46" s="149">
        <f ca="1">1/(1+'Financial Data'!$C$8)^D14*D40</f>
        <v>92541.822679644276</v>
      </c>
      <c r="E46" s="149">
        <f ca="1">1/(1+'Financial Data'!$C$8)^E14*E40</f>
        <v>175020.58221980295</v>
      </c>
      <c r="F46" s="149">
        <f ca="1">1/(1+'Financial Data'!$C$8)^F14*F40</f>
        <v>215388.95679248724</v>
      </c>
      <c r="G46" s="149">
        <f ca="1">1/(1+'Financial Data'!$C$8)^G14*G40</f>
        <v>252826.95824000161</v>
      </c>
      <c r="H46" s="149">
        <f ca="1">1/(1+'Financial Data'!$C$8)^H14*H40</f>
        <v>336118.22470493539</v>
      </c>
      <c r="I46" s="149">
        <f ca="1">1/(1+'Financial Data'!$C$8)^I14*I40</f>
        <v>413487.14499681647</v>
      </c>
      <c r="J46" s="149">
        <f ca="1">1/(1+'Financial Data'!$C$8)^J14*J40</f>
        <v>399504.48791962949</v>
      </c>
      <c r="K46" s="149">
        <f ca="1">1/(1+'Financial Data'!$C$8)^K14*K40</f>
        <v>385994.67431848263</v>
      </c>
      <c r="L46" s="149">
        <f ca="1">1/(1+'Financial Data'!$C$8)^L14*L40</f>
        <v>372941.71431737457</v>
      </c>
      <c r="M46" s="149">
        <f ca="1">1/(1+'Financial Data'!$C$8)^M14*M40</f>
        <v>360330.1587607484</v>
      </c>
      <c r="N46" s="149">
        <f ca="1">1/(1+'Financial Data'!$C$8)^N14*N40</f>
        <v>348145.0809282593</v>
      </c>
      <c r="O46" s="149">
        <f ca="1">1/(1+'Financial Data'!$C$8)^O14*O40</f>
        <v>336372.05886788346</v>
      </c>
      <c r="P46" s="149">
        <f ca="1">1/(1+'Financial Data'!$C$8)^P14*P40</f>
        <v>324997.15832645743</v>
      </c>
      <c r="Q46" s="149">
        <f ca="1">1/(1+'Financial Data'!$C$8)^Q14*Q40</f>
        <v>314006.91625744686</v>
      </c>
      <c r="R46" s="149">
        <f ca="1">1/(1+'Financial Data'!$C$8)^R14*R40</f>
        <v>303388.32488642214</v>
      </c>
      <c r="S46" s="149">
        <f ca="1">1/(1+'Financial Data'!$C$8)^S14*S40</f>
        <v>293128.81631538371</v>
      </c>
      <c r="T46" s="149">
        <f ca="1">1/(1+'Financial Data'!$C$8)^T14*T40</f>
        <v>283216.24764771375</v>
      </c>
      <c r="U46" s="149">
        <f ca="1">1/(1+'Financial Data'!$C$8)^U14*U40</f>
        <v>273638.88661614858</v>
      </c>
      <c r="V46" s="149">
        <f ca="1">1/(1+'Financial Data'!$C$8)^V14*V40</f>
        <v>264385.39769676194</v>
      </c>
      <c r="W46" s="149">
        <f ca="1">1/(1+'Financial Data'!$C$8)^W14*W40</f>
        <v>255444.82869252368</v>
      </c>
      <c r="X46" s="149">
        <f ca="1">1/(1+'Financial Data'!$C$8)^X14*X40</f>
        <v>246806.59777055425</v>
      </c>
      <c r="Y46" s="149">
        <f ca="1">1/(1+'Financial Data'!$C$8)^Y14*Y40</f>
        <v>238460.48093773358</v>
      </c>
      <c r="Z46" s="149">
        <f ca="1">1/(1+'Financial Data'!$C$8)^Z14*Z40</f>
        <v>230396.59993983927</v>
      </c>
      <c r="AA46" s="149">
        <f ca="1">1/(1+'Financial Data'!$C$8)^AA14*AA40</f>
        <v>222605.41056989302</v>
      </c>
    </row>
    <row r="47" spans="1:27" s="225" customFormat="1">
      <c r="A47" s="223" t="str">
        <f>'Asset Info'!$C$10</f>
        <v>Crossrail</v>
      </c>
      <c r="B47" s="224">
        <f ca="1">1/(1+'Financial Data'!$C$8)^B$14*B41</f>
        <v>1750</v>
      </c>
      <c r="C47" s="224">
        <f ca="1">1/(1+'Financial Data'!$C$8)^C$14*C41</f>
        <v>3381.6425120772951</v>
      </c>
      <c r="D47" s="224">
        <f ca="1">1/(1+'Financial Data'!$C$8)^D$14*D41</f>
        <v>4247.4736866671337</v>
      </c>
      <c r="E47" s="224">
        <f ca="1">1/(1+'Financial Data'!$C$8)^E$14*E41</f>
        <v>5050.8791517409254</v>
      </c>
      <c r="F47" s="224">
        <f ca="1">1/(1+'Financial Data'!$C$8)^F$14*F41</f>
        <v>5795.090814195506</v>
      </c>
      <c r="G47" s="224">
        <f ca="1">1/(1+'Financial Data'!$C$8)^G$14*G41</f>
        <v>6483.1933848106364</v>
      </c>
      <c r="H47" s="224">
        <f ca="1">1/(1+'Financial Data'!$C$8)^H$14*H41</f>
        <v>8826.4819907391175</v>
      </c>
      <c r="I47" s="224">
        <f ca="1">1/(1+'Financial Data'!$C$8)^I$14*I41</f>
        <v>11003.873449573468</v>
      </c>
      <c r="J47" s="224">
        <f ca="1">1/(1+'Financial Data'!$C$8)^J$14*J41</f>
        <v>10631.761787027508</v>
      </c>
      <c r="K47" s="224">
        <f ca="1">1/(1+'Financial Data'!$C$8)^K$14*K41</f>
        <v>10272.233610654597</v>
      </c>
      <c r="L47" s="224">
        <f ca="1">1/(1+'Financial Data'!$C$8)^L$14*L41</f>
        <v>9924.8633919368112</v>
      </c>
      <c r="M47" s="224">
        <f ca="1">1/(1+'Financial Data'!$C$8)^M$14*M41</f>
        <v>9589.2399922094792</v>
      </c>
      <c r="N47" s="224">
        <f ca="1">1/(1+'Financial Data'!$C$8)^N$14*N41</f>
        <v>9264.9661760478048</v>
      </c>
      <c r="O47" s="224">
        <f ca="1">1/(1+'Financial Data'!$C$8)^O$14*O41</f>
        <v>8951.6581411089937</v>
      </c>
      <c r="P47" s="224">
        <f ca="1">1/(1+'Financial Data'!$C$8)^P$14*P41</f>
        <v>8648.9450638734215</v>
      </c>
      <c r="Q47" s="224">
        <f ca="1">1/(1+'Financial Data'!$C$8)^Q$14*Q41</f>
        <v>8356.4686607472704</v>
      </c>
      <c r="R47" s="224">
        <f ca="1">1/(1+'Financial Data'!$C$8)^R$14*R41</f>
        <v>8073.8827640070249</v>
      </c>
      <c r="S47" s="224">
        <f ca="1">1/(1+'Financial Data'!$C$8)^S$14*S41</f>
        <v>7800.8529120840822</v>
      </c>
      <c r="T47" s="224">
        <f ca="1">1/(1+'Financial Data'!$C$8)^T$14*T41</f>
        <v>7537.0559537044282</v>
      </c>
      <c r="U47" s="224">
        <f ca="1">1/(1+'Financial Data'!$C$8)^U$14*U41</f>
        <v>7282.1796654149075</v>
      </c>
      <c r="V47" s="224">
        <f ca="1">1/(1+'Financial Data'!$C$8)^V$14*V41</f>
        <v>7035.9223820433881</v>
      </c>
      <c r="W47" s="224">
        <f ca="1">1/(1+'Financial Data'!$C$8)^W$14*W41</f>
        <v>6797.9926396554501</v>
      </c>
      <c r="X47" s="224">
        <f ca="1">1/(1+'Financial Data'!$C$8)^X$14*X41</f>
        <v>6568.1088305849753</v>
      </c>
      <c r="Y47" s="224">
        <f ca="1">1/(1+'Financial Data'!$C$8)^Y$14*Y41</f>
        <v>6345.998870130411</v>
      </c>
      <c r="Z47" s="224">
        <f ca="1">1/(1+'Financial Data'!$C$8)^Z$14*Z41</f>
        <v>6131.3998745221379</v>
      </c>
      <c r="AA47" s="224">
        <f ca="1">1/(1+'Financial Data'!$C$8)^AA$14*AA41</f>
        <v>5924.0578497798433</v>
      </c>
    </row>
    <row r="48" spans="1:27" s="225" customFormat="1">
      <c r="A48" s="223" t="str">
        <f>'Asset Info'!$D$10</f>
        <v>NR Western</v>
      </c>
      <c r="B48" s="224">
        <f ca="1">1/(1+'Financial Data'!$C$8)^B$14*B42</f>
        <v>6608.890000000596</v>
      </c>
      <c r="C48" s="224">
        <f ca="1">1/(1+'Financial Data'!$C$8)^C$14*C42</f>
        <v>12770.801932368302</v>
      </c>
      <c r="D48" s="224">
        <f ca="1">1/(1+'Financial Data'!$C$8)^D$14*D42</f>
        <v>102021.62384186509</v>
      </c>
      <c r="E48" s="224">
        <f ca="1">1/(1+'Financial Data'!$C$8)^E$14*E42</f>
        <v>185221.55422090826</v>
      </c>
      <c r="F48" s="224">
        <f ca="1">1/(1+'Financial Data'!$C$8)^F$14*F42</f>
        <v>224957.39245261758</v>
      </c>
      <c r="G48" s="224">
        <f ca="1">1/(1+'Financial Data'!$C$8)^G$14*G42</f>
        <v>261793.97246704489</v>
      </c>
      <c r="H48" s="224">
        <f ca="1">1/(1+'Financial Data'!$C$8)^H$14*H42</f>
        <v>343903.42587096058</v>
      </c>
      <c r="I48" s="224">
        <f ca="1">1/(1+'Financial Data'!$C$8)^I$14*I42</f>
        <v>420160.20825302205</v>
      </c>
      <c r="J48" s="224">
        <f ca="1">1/(1+'Financial Data'!$C$8)^J$14*J42</f>
        <v>405951.89203190547</v>
      </c>
      <c r="K48" s="224">
        <f ca="1">1/(1+'Financial Data'!$C$8)^K$14*K42</f>
        <v>392224.05027237249</v>
      </c>
      <c r="L48" s="224">
        <f ca="1">1/(1+'Financial Data'!$C$8)^L$14*L42</f>
        <v>378960.43504577054</v>
      </c>
      <c r="M48" s="224">
        <f ca="1">1/(1+'Financial Data'!$C$8)^M$14*M42</f>
        <v>366145.34787030972</v>
      </c>
      <c r="N48" s="224">
        <f ca="1">1/(1+'Financial Data'!$C$8)^N$14*N42</f>
        <v>353763.62113073404</v>
      </c>
      <c r="O48" s="224">
        <f ca="1">1/(1+'Financial Data'!$C$8)^O$14*O42</f>
        <v>341800.60012631316</v>
      </c>
      <c r="P48" s="224">
        <f ca="1">1/(1+'Financial Data'!$C$8)^P$14*P42</f>
        <v>330242.1257259064</v>
      </c>
      <c r="Q48" s="224">
        <f ca="1">1/(1+'Financial Data'!$C$8)^Q$14*Q42</f>
        <v>319074.51760957146</v>
      </c>
      <c r="R48" s="224">
        <f ca="1">1/(1+'Financial Data'!$C$8)^R$14*R42</f>
        <v>308284.55807688064</v>
      </c>
      <c r="S48" s="224">
        <f ca="1">1/(1+'Financial Data'!$C$8)^S$14*S42</f>
        <v>297859.4764027833</v>
      </c>
      <c r="T48" s="224">
        <f ca="1">1/(1+'Financial Data'!$C$8)^T$14*T42</f>
        <v>287786.93372249592</v>
      </c>
      <c r="U48" s="224">
        <f ca="1">1/(1+'Financial Data'!$C$8)^U$14*U42</f>
        <v>278055.00842753233</v>
      </c>
      <c r="V48" s="224">
        <f ca="1">1/(1+'Financial Data'!$C$8)^V$14*V42</f>
        <v>268652.18205558677</v>
      </c>
      <c r="W48" s="224">
        <f ca="1">1/(1+'Financial Data'!$C$8)^W$14*W42</f>
        <v>259567.32565757187</v>
      </c>
      <c r="X48" s="224">
        <f ca="1">1/(1+'Financial Data'!$C$8)^X$14*X42</f>
        <v>250789.68662567329</v>
      </c>
      <c r="Y48" s="224">
        <f ca="1">1/(1+'Financial Data'!$C$8)^Y$14*Y42</f>
        <v>242308.87596683408</v>
      </c>
      <c r="Z48" s="224">
        <f ca="1">1/(1+'Financial Data'!$C$8)^Z$14*Z42</f>
        <v>234114.85600660305</v>
      </c>
      <c r="AA48" s="224">
        <f ca="1">1/(1+'Financial Data'!$C$8)^AA$14*AA42</f>
        <v>226197.92850879524</v>
      </c>
    </row>
    <row r="49" spans="1:27" s="225" customFormat="1">
      <c r="A49" s="223" t="str">
        <f>'Asset Info'!$E$10</f>
        <v>Balfour Beatty</v>
      </c>
      <c r="B49" s="224">
        <f ca="1">1/(1+'Financial Data'!$C$8)^B$14*B43</f>
        <v>0</v>
      </c>
      <c r="C49" s="224">
        <f ca="1">1/(1+'Financial Data'!$C$8)^C$14*C43</f>
        <v>0</v>
      </c>
      <c r="D49" s="224">
        <f ca="1">1/(1+'Financial Data'!$C$8)^D$14*D43</f>
        <v>0</v>
      </c>
      <c r="E49" s="224">
        <f ca="1">1/(1+'Financial Data'!$C$8)^E$14*E43</f>
        <v>0</v>
      </c>
      <c r="F49" s="224">
        <f ca="1">1/(1+'Financial Data'!$C$8)^F$14*F43</f>
        <v>0</v>
      </c>
      <c r="G49" s="224">
        <f ca="1">1/(1+'Financial Data'!$C$8)^G$14*G43</f>
        <v>0</v>
      </c>
      <c r="H49" s="224">
        <f ca="1">1/(1+'Financial Data'!$C$8)^H$14*H43</f>
        <v>0</v>
      </c>
      <c r="I49" s="224">
        <f ca="1">1/(1+'Financial Data'!$C$8)^I$14*I43</f>
        <v>0</v>
      </c>
      <c r="J49" s="224">
        <f ca="1">1/(1+'Financial Data'!$C$8)^J$14*J43</f>
        <v>0</v>
      </c>
      <c r="K49" s="224">
        <f ca="1">1/(1+'Financial Data'!$C$8)^K$14*K43</f>
        <v>0</v>
      </c>
      <c r="L49" s="224">
        <f ca="1">1/(1+'Financial Data'!$C$8)^L$14*L43</f>
        <v>0</v>
      </c>
      <c r="M49" s="224">
        <f ca="1">1/(1+'Financial Data'!$C$8)^M$14*M43</f>
        <v>0</v>
      </c>
      <c r="N49" s="224">
        <f ca="1">1/(1+'Financial Data'!$C$8)^N$14*N43</f>
        <v>0</v>
      </c>
      <c r="O49" s="224">
        <f ca="1">1/(1+'Financial Data'!$C$8)^O$14*O43</f>
        <v>0</v>
      </c>
      <c r="P49" s="224">
        <f ca="1">1/(1+'Financial Data'!$C$8)^P$14*P43</f>
        <v>0</v>
      </c>
      <c r="Q49" s="224">
        <f ca="1">1/(1+'Financial Data'!$C$8)^Q$14*Q43</f>
        <v>0</v>
      </c>
      <c r="R49" s="224">
        <f ca="1">1/(1+'Financial Data'!$C$8)^R$14*R43</f>
        <v>0</v>
      </c>
      <c r="S49" s="224">
        <f ca="1">1/(1+'Financial Data'!$C$8)^S$14*S43</f>
        <v>0</v>
      </c>
      <c r="T49" s="224">
        <f ca="1">1/(1+'Financial Data'!$C$8)^T$14*T43</f>
        <v>0</v>
      </c>
      <c r="U49" s="224">
        <f ca="1">1/(1+'Financial Data'!$C$8)^U$14*U43</f>
        <v>0</v>
      </c>
      <c r="V49" s="224">
        <f ca="1">1/(1+'Financial Data'!$C$8)^V$14*V43</f>
        <v>0</v>
      </c>
      <c r="W49" s="224">
        <f ca="1">1/(1+'Financial Data'!$C$8)^W$14*W43</f>
        <v>0</v>
      </c>
      <c r="X49" s="224">
        <f ca="1">1/(1+'Financial Data'!$C$8)^X$14*X43</f>
        <v>0</v>
      </c>
      <c r="Y49" s="224">
        <f ca="1">1/(1+'Financial Data'!$C$8)^Y$14*Y43</f>
        <v>0</v>
      </c>
      <c r="Z49" s="224">
        <f ca="1">1/(1+'Financial Data'!$C$8)^Z$14*Z43</f>
        <v>0</v>
      </c>
      <c r="AA49" s="224">
        <f ca="1">1/(1+'Financial Data'!$C$8)^AA$14*AA43</f>
        <v>0</v>
      </c>
    </row>
    <row r="50" spans="1:27" s="225" customFormat="1">
      <c r="A50" s="223" t="str">
        <f>'Asset Info'!$F$10</f>
        <v>RSSB</v>
      </c>
      <c r="B50" s="224">
        <f ca="1">1/(1+'Financial Data'!$C$8)^B$14*B44</f>
        <v>-6250</v>
      </c>
      <c r="C50" s="224">
        <f ca="1">1/(1+'Financial Data'!$C$8)^C$14*C44</f>
        <v>-12077.294685990339</v>
      </c>
      <c r="D50" s="224">
        <f ca="1">1/(1+'Financial Data'!$C$8)^D$14*D44</f>
        <v>-13727.274848887957</v>
      </c>
      <c r="E50" s="224">
        <f ca="1">1/(1+'Financial Data'!$C$8)^E$14*E44</f>
        <v>-15251.851152846259</v>
      </c>
      <c r="F50" s="224">
        <f ca="1">1/(1+'Financial Data'!$C$8)^F$14*F44</f>
        <v>-15363.52647432583</v>
      </c>
      <c r="G50" s="224">
        <f ca="1">1/(1+'Financial Data'!$C$8)^G$14*G44</f>
        <v>-15450.207611853919</v>
      </c>
      <c r="H50" s="224">
        <f ca="1">1/(1+'Financial Data'!$C$8)^H$14*H44</f>
        <v>-16611.683156764313</v>
      </c>
      <c r="I50" s="224">
        <f ca="1">1/(1+'Financial Data'!$C$8)^I$14*I44</f>
        <v>-17676.936705779091</v>
      </c>
      <c r="J50" s="224">
        <f ca="1">1/(1+'Financial Data'!$C$8)^J$14*J44</f>
        <v>-17079.165899303476</v>
      </c>
      <c r="K50" s="224">
        <f ca="1">1/(1+'Financial Data'!$C$8)^K$14*K44</f>
        <v>-16501.609564544422</v>
      </c>
      <c r="L50" s="224">
        <f ca="1">1/(1+'Financial Data'!$C$8)^L$14*L44</f>
        <v>-15943.584120332776</v>
      </c>
      <c r="M50" s="224">
        <f ca="1">1/(1+'Financial Data'!$C$8)^M$14*M44</f>
        <v>-15404.429101770798</v>
      </c>
      <c r="N50" s="224">
        <f ca="1">1/(1+'Financial Data'!$C$8)^N$14*N44</f>
        <v>-14883.50637852251</v>
      </c>
      <c r="O50" s="224">
        <f ca="1">1/(1+'Financial Data'!$C$8)^O$14*O44</f>
        <v>-14380.199399538662</v>
      </c>
      <c r="P50" s="224">
        <f ca="1">1/(1+'Financial Data'!$C$8)^P$14*P44</f>
        <v>-13893.912463322376</v>
      </c>
      <c r="Q50" s="224">
        <f ca="1">1/(1+'Financial Data'!$C$8)^Q$14*Q44</f>
        <v>-13424.070012871864</v>
      </c>
      <c r="R50" s="224">
        <f ca="1">1/(1+'Financial Data'!$C$8)^R$14*R44</f>
        <v>-12970.115954465569</v>
      </c>
      <c r="S50" s="224">
        <f ca="1">1/(1+'Financial Data'!$C$8)^S$14*S44</f>
        <v>-12531.512999483644</v>
      </c>
      <c r="T50" s="224">
        <f ca="1">1/(1+'Financial Data'!$C$8)^T$14*T44</f>
        <v>-12107.742028486613</v>
      </c>
      <c r="U50" s="224">
        <f ca="1">1/(1+'Financial Data'!$C$8)^U$14*U44</f>
        <v>-11698.301476798662</v>
      </c>
      <c r="V50" s="224">
        <f ca="1">1/(1+'Financial Data'!$C$8)^V$14*V44</f>
        <v>-11302.706740868272</v>
      </c>
      <c r="W50" s="224">
        <f ca="1">1/(1+'Financial Data'!$C$8)^W$14*W44</f>
        <v>-10920.489604703647</v>
      </c>
      <c r="X50" s="224">
        <f ca="1">1/(1+'Financial Data'!$C$8)^X$14*X44</f>
        <v>-10551.197685704006</v>
      </c>
      <c r="Y50" s="224">
        <f ca="1">1/(1+'Financial Data'!$C$8)^Y$14*Y44</f>
        <v>-10194.393899230925</v>
      </c>
      <c r="Z50" s="224">
        <f ca="1">1/(1+'Financial Data'!$C$8)^Z$14*Z44</f>
        <v>-9849.6559412859206</v>
      </c>
      <c r="AA50" s="224">
        <f ca="1">1/(1+'Financial Data'!$C$8)^AA$14*AA44</f>
        <v>-9516.5757886820484</v>
      </c>
    </row>
    <row r="51" spans="1:27" s="53" customFormat="1">
      <c r="A51" s="150" t="s">
        <v>185</v>
      </c>
      <c r="B51" s="149">
        <f ca="1">1/(1+'Financial Data'!$C$8)^B14*B45</f>
        <v>2108.890000000596</v>
      </c>
      <c r="C51" s="149">
        <f ca="1">1/(1+'Financial Data'!$C$8)^C14*C45</f>
        <v>2037.5748792276293</v>
      </c>
      <c r="D51" s="149">
        <f ca="1">1/(1+'Financial Data'!$C$8)^D14*D45</f>
        <v>88604.479917851742</v>
      </c>
      <c r="E51" s="149">
        <f ca="1">1/(1+'Financial Data'!$C$8)^E14*E45</f>
        <v>85608.193157344693</v>
      </c>
      <c r="F51" s="149">
        <f ca="1">1/(1+'Financial Data'!$C$8)^F14*F45</f>
        <v>46286.944985914357</v>
      </c>
      <c r="G51" s="149">
        <f ca="1">1/(1+'Financial Data'!$C$8)^G14*G45</f>
        <v>44721.685976728855</v>
      </c>
      <c r="H51" s="149">
        <f ca="1">1/(1+'Financial Data'!$C$8)^H14*H45</f>
        <v>91840.970366769616</v>
      </c>
      <c r="I51" s="149">
        <f ca="1">1/(1+'Financial Data'!$C$8)^I14*I45</f>
        <v>88735.23706934262</v>
      </c>
      <c r="J51" s="149">
        <f ca="1">1/(1+'Financial Data'!$C$8)^J14*J45</f>
        <v>0</v>
      </c>
      <c r="K51" s="149">
        <f ca="1">1/(1+'Financial Data'!$C$8)^K14*K45</f>
        <v>0</v>
      </c>
      <c r="L51" s="149">
        <f ca="1">1/(1+'Financial Data'!$C$8)^L14*L45</f>
        <v>0</v>
      </c>
      <c r="M51" s="149">
        <f ca="1">1/(1+'Financial Data'!$C$8)^M14*M45</f>
        <v>0</v>
      </c>
      <c r="N51" s="149">
        <f ca="1">1/(1+'Financial Data'!$C$8)^N14*N45</f>
        <v>0</v>
      </c>
      <c r="O51" s="149">
        <f ca="1">1/(1+'Financial Data'!$C$8)^O14*O45</f>
        <v>0</v>
      </c>
      <c r="P51" s="149">
        <f ca="1">1/(1+'Financial Data'!$C$8)^P14*P45</f>
        <v>0</v>
      </c>
      <c r="Q51" s="149">
        <f ca="1">1/(1+'Financial Data'!$C$8)^Q14*Q45</f>
        <v>0</v>
      </c>
      <c r="R51" s="149">
        <f ca="1">1/(1+'Financial Data'!$C$8)^R14*R45</f>
        <v>0</v>
      </c>
      <c r="S51" s="149">
        <f ca="1">1/(1+'Financial Data'!$C$8)^S14*S45</f>
        <v>0</v>
      </c>
      <c r="T51" s="149">
        <f ca="1">1/(1+'Financial Data'!$C$8)^T14*T45</f>
        <v>0</v>
      </c>
      <c r="U51" s="149">
        <f ca="1">1/(1+'Financial Data'!$C$8)^U14*U45</f>
        <v>0</v>
      </c>
      <c r="V51" s="149">
        <f ca="1">1/(1+'Financial Data'!$C$8)^V14*V45</f>
        <v>0</v>
      </c>
      <c r="W51" s="149">
        <f ca="1">1/(1+'Financial Data'!$C$8)^W14*W45</f>
        <v>0</v>
      </c>
      <c r="X51" s="149">
        <f ca="1">1/(1+'Financial Data'!$C$8)^X14*X45</f>
        <v>0</v>
      </c>
      <c r="Y51" s="149">
        <f ca="1">1/(1+'Financial Data'!$C$8)^Y14*Y45</f>
        <v>0</v>
      </c>
      <c r="Z51" s="149">
        <f ca="1">1/(1+'Financial Data'!$C$8)^Z14*Z45</f>
        <v>0</v>
      </c>
      <c r="AA51" s="149">
        <f ca="1">1/(1+'Financial Data'!$C$8)^AA14*AA45</f>
        <v>0</v>
      </c>
    </row>
    <row r="52" spans="1:27">
      <c r="A52" s="21"/>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row>
    <row r="53" spans="1:27">
      <c r="A53" s="22" t="s">
        <v>188</v>
      </c>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row>
    <row r="54" spans="1:27" s="53" customFormat="1">
      <c r="A54" s="148" t="s">
        <v>161</v>
      </c>
      <c r="B54" s="149">
        <f t="shared" ref="B54:AA58" ca="1" si="1">B22+B40</f>
        <v>-32891.109999999404</v>
      </c>
      <c r="C54" s="149">
        <f t="shared" ca="1" si="1"/>
        <v>-30782.219999998808</v>
      </c>
      <c r="D54" s="149">
        <f t="shared" ca="1" si="1"/>
        <v>74633.114000001922</v>
      </c>
      <c r="E54" s="149">
        <f t="shared" ca="1" si="1"/>
        <v>169548.44800000265</v>
      </c>
      <c r="F54" s="149">
        <f t="shared" ca="1" si="1"/>
        <v>239163.78200000338</v>
      </c>
      <c r="G54" s="149">
        <f t="shared" ca="1" si="1"/>
        <v>292279.11600000411</v>
      </c>
      <c r="H54" s="149">
        <f t="shared" ca="1" si="1"/>
        <v>390175.11800000444</v>
      </c>
      <c r="I54" s="149">
        <f t="shared" ca="1" si="1"/>
        <v>503071.12000000477</v>
      </c>
      <c r="J54" s="149">
        <f t="shared" ca="1" si="1"/>
        <v>526071.12000000477</v>
      </c>
      <c r="K54" s="149">
        <f t="shared" ca="1" si="1"/>
        <v>526071.12000000477</v>
      </c>
      <c r="L54" s="149">
        <f t="shared" ca="1" si="1"/>
        <v>526071.12000000477</v>
      </c>
      <c r="M54" s="149">
        <f t="shared" ca="1" si="1"/>
        <v>526071.12000000477</v>
      </c>
      <c r="N54" s="149">
        <f t="shared" ca="1" si="1"/>
        <v>526071.12000000477</v>
      </c>
      <c r="O54" s="149">
        <f t="shared" ca="1" si="1"/>
        <v>526071.12000000477</v>
      </c>
      <c r="P54" s="149">
        <f t="shared" ca="1" si="1"/>
        <v>526071.12000000477</v>
      </c>
      <c r="Q54" s="149">
        <f t="shared" ca="1" si="1"/>
        <v>526071.12000000477</v>
      </c>
      <c r="R54" s="149">
        <f t="shared" ca="1" si="1"/>
        <v>526071.12000000477</v>
      </c>
      <c r="S54" s="149">
        <f t="shared" ca="1" si="1"/>
        <v>526071.12000000477</v>
      </c>
      <c r="T54" s="149">
        <f t="shared" ca="1" si="1"/>
        <v>526071.12000000477</v>
      </c>
      <c r="U54" s="149">
        <f t="shared" ca="1" si="1"/>
        <v>526071.12000000477</v>
      </c>
      <c r="V54" s="149">
        <f t="shared" ca="1" si="1"/>
        <v>526071.12000000477</v>
      </c>
      <c r="W54" s="149">
        <f t="shared" ca="1" si="1"/>
        <v>526071.12000000477</v>
      </c>
      <c r="X54" s="149">
        <f t="shared" ca="1" si="1"/>
        <v>526071.12000000477</v>
      </c>
      <c r="Y54" s="149">
        <f t="shared" ca="1" si="1"/>
        <v>526071.12000000477</v>
      </c>
      <c r="Z54" s="149">
        <f t="shared" ca="1" si="1"/>
        <v>526071.12000000477</v>
      </c>
      <c r="AA54" s="149">
        <f t="shared" ca="1" si="1"/>
        <v>526071.12000000477</v>
      </c>
    </row>
    <row r="55" spans="1:27" s="225" customFormat="1">
      <c r="A55" s="223" t="str">
        <f>'Asset Info'!$C$10</f>
        <v>Crossrail</v>
      </c>
      <c r="B55" s="224">
        <f t="shared" ca="1" si="1"/>
        <v>1750</v>
      </c>
      <c r="C55" s="224">
        <f t="shared" ca="1" si="1"/>
        <v>3500</v>
      </c>
      <c r="D55" s="224">
        <f t="shared" ca="1" si="1"/>
        <v>4550</v>
      </c>
      <c r="E55" s="224">
        <f t="shared" ca="1" si="1"/>
        <v>5600</v>
      </c>
      <c r="F55" s="224">
        <f t="shared" ca="1" si="1"/>
        <v>6650</v>
      </c>
      <c r="G55" s="224">
        <f t="shared" ca="1" si="1"/>
        <v>7700</v>
      </c>
      <c r="H55" s="224">
        <f t="shared" ca="1" si="1"/>
        <v>10850</v>
      </c>
      <c r="I55" s="224">
        <f t="shared" ca="1" si="1"/>
        <v>14000</v>
      </c>
      <c r="J55" s="224">
        <f t="shared" ca="1" si="1"/>
        <v>14000</v>
      </c>
      <c r="K55" s="224">
        <f t="shared" ca="1" si="1"/>
        <v>14000</v>
      </c>
      <c r="L55" s="224">
        <f t="shared" ca="1" si="1"/>
        <v>14000</v>
      </c>
      <c r="M55" s="224">
        <f t="shared" ca="1" si="1"/>
        <v>14000</v>
      </c>
      <c r="N55" s="224">
        <f t="shared" ca="1" si="1"/>
        <v>14000</v>
      </c>
      <c r="O55" s="224">
        <f t="shared" ca="1" si="1"/>
        <v>14000</v>
      </c>
      <c r="P55" s="224">
        <f t="shared" ca="1" si="1"/>
        <v>14000</v>
      </c>
      <c r="Q55" s="224">
        <f t="shared" ca="1" si="1"/>
        <v>14000</v>
      </c>
      <c r="R55" s="224">
        <f t="shared" ca="1" si="1"/>
        <v>14000</v>
      </c>
      <c r="S55" s="224">
        <f t="shared" ca="1" si="1"/>
        <v>14000</v>
      </c>
      <c r="T55" s="224">
        <f t="shared" ca="1" si="1"/>
        <v>14000</v>
      </c>
      <c r="U55" s="224">
        <f t="shared" ca="1" si="1"/>
        <v>14000</v>
      </c>
      <c r="V55" s="224">
        <f t="shared" ca="1" si="1"/>
        <v>14000</v>
      </c>
      <c r="W55" s="224">
        <f t="shared" ca="1" si="1"/>
        <v>14000</v>
      </c>
      <c r="X55" s="224">
        <f t="shared" ca="1" si="1"/>
        <v>14000</v>
      </c>
      <c r="Y55" s="224">
        <f t="shared" ca="1" si="1"/>
        <v>14000</v>
      </c>
      <c r="Z55" s="224">
        <f t="shared" ca="1" si="1"/>
        <v>14000</v>
      </c>
      <c r="AA55" s="224">
        <f t="shared" ca="1" si="1"/>
        <v>14000</v>
      </c>
    </row>
    <row r="56" spans="1:27" s="225" customFormat="1">
      <c r="A56" s="223" t="str">
        <f>'Asset Info'!$D$10</f>
        <v>NR Western</v>
      </c>
      <c r="B56" s="224">
        <f t="shared" ca="1" si="1"/>
        <v>-17891.109999999404</v>
      </c>
      <c r="C56" s="224">
        <f t="shared" ca="1" si="1"/>
        <v>-11282.219999998808</v>
      </c>
      <c r="D56" s="224">
        <f t="shared" ca="1" si="1"/>
        <v>92138.114000001922</v>
      </c>
      <c r="E56" s="224">
        <f t="shared" ca="1" si="1"/>
        <v>188208.44800000265</v>
      </c>
      <c r="F56" s="224">
        <f t="shared" ca="1" si="1"/>
        <v>252543.78200000338</v>
      </c>
      <c r="G56" s="224">
        <f t="shared" ca="1" si="1"/>
        <v>305329.11600000411</v>
      </c>
      <c r="H56" s="224">
        <f t="shared" ca="1" si="1"/>
        <v>406645.11800000444</v>
      </c>
      <c r="I56" s="224">
        <f t="shared" ca="1" si="1"/>
        <v>518461.12000000477</v>
      </c>
      <c r="J56" s="224">
        <f t="shared" ca="1" si="1"/>
        <v>534561.12000000477</v>
      </c>
      <c r="K56" s="224">
        <f t="shared" ca="1" si="1"/>
        <v>534561.12000000477</v>
      </c>
      <c r="L56" s="224">
        <f t="shared" ca="1" si="1"/>
        <v>534561.12000000477</v>
      </c>
      <c r="M56" s="224">
        <f t="shared" ca="1" si="1"/>
        <v>534561.12000000477</v>
      </c>
      <c r="N56" s="224">
        <f t="shared" ca="1" si="1"/>
        <v>534561.12000000477</v>
      </c>
      <c r="O56" s="224">
        <f t="shared" ca="1" si="1"/>
        <v>534561.12000000477</v>
      </c>
      <c r="P56" s="224">
        <f t="shared" ca="1" si="1"/>
        <v>534561.12000000477</v>
      </c>
      <c r="Q56" s="224">
        <f t="shared" ca="1" si="1"/>
        <v>534561.12000000477</v>
      </c>
      <c r="R56" s="224">
        <f t="shared" ca="1" si="1"/>
        <v>534561.12000000477</v>
      </c>
      <c r="S56" s="224">
        <f t="shared" ca="1" si="1"/>
        <v>534561.12000000477</v>
      </c>
      <c r="T56" s="224">
        <f t="shared" ca="1" si="1"/>
        <v>534561.12000000477</v>
      </c>
      <c r="U56" s="224">
        <f t="shared" ca="1" si="1"/>
        <v>534561.12000000477</v>
      </c>
      <c r="V56" s="224">
        <f t="shared" ca="1" si="1"/>
        <v>534561.12000000477</v>
      </c>
      <c r="W56" s="224">
        <f t="shared" ca="1" si="1"/>
        <v>534561.12000000477</v>
      </c>
      <c r="X56" s="224">
        <f t="shared" ca="1" si="1"/>
        <v>534561.12000000477</v>
      </c>
      <c r="Y56" s="224">
        <f t="shared" ca="1" si="1"/>
        <v>534561.12000000477</v>
      </c>
      <c r="Z56" s="224">
        <f t="shared" ca="1" si="1"/>
        <v>534561.12000000477</v>
      </c>
      <c r="AA56" s="224">
        <f t="shared" ca="1" si="1"/>
        <v>534561.12000000477</v>
      </c>
    </row>
    <row r="57" spans="1:27" s="225" customFormat="1">
      <c r="A57" s="223" t="str">
        <f>'Asset Info'!$E$10</f>
        <v>Balfour Beatty</v>
      </c>
      <c r="B57" s="224">
        <f t="shared" ca="1" si="1"/>
        <v>0</v>
      </c>
      <c r="C57" s="224">
        <f t="shared" ca="1" si="1"/>
        <v>0</v>
      </c>
      <c r="D57" s="224">
        <f t="shared" ca="1" si="1"/>
        <v>0</v>
      </c>
      <c r="E57" s="224">
        <f t="shared" ca="1" si="1"/>
        <v>0</v>
      </c>
      <c r="F57" s="224">
        <f t="shared" ca="1" si="1"/>
        <v>0</v>
      </c>
      <c r="G57" s="224">
        <f t="shared" ca="1" si="1"/>
        <v>0</v>
      </c>
      <c r="H57" s="224">
        <f t="shared" ca="1" si="1"/>
        <v>0</v>
      </c>
      <c r="I57" s="224">
        <f t="shared" ca="1" si="1"/>
        <v>0</v>
      </c>
      <c r="J57" s="224">
        <f t="shared" ca="1" si="1"/>
        <v>0</v>
      </c>
      <c r="K57" s="224">
        <f t="shared" ca="1" si="1"/>
        <v>0</v>
      </c>
      <c r="L57" s="224">
        <f t="shared" ca="1" si="1"/>
        <v>0</v>
      </c>
      <c r="M57" s="224">
        <f t="shared" ca="1" si="1"/>
        <v>0</v>
      </c>
      <c r="N57" s="224">
        <f t="shared" ca="1" si="1"/>
        <v>0</v>
      </c>
      <c r="O57" s="224">
        <f t="shared" ca="1" si="1"/>
        <v>0</v>
      </c>
      <c r="P57" s="224">
        <f t="shared" ca="1" si="1"/>
        <v>0</v>
      </c>
      <c r="Q57" s="224">
        <f t="shared" ca="1" si="1"/>
        <v>0</v>
      </c>
      <c r="R57" s="224">
        <f t="shared" ca="1" si="1"/>
        <v>0</v>
      </c>
      <c r="S57" s="224">
        <f t="shared" ca="1" si="1"/>
        <v>0</v>
      </c>
      <c r="T57" s="224">
        <f t="shared" ca="1" si="1"/>
        <v>0</v>
      </c>
      <c r="U57" s="224">
        <f t="shared" ca="1" si="1"/>
        <v>0</v>
      </c>
      <c r="V57" s="224">
        <f t="shared" ca="1" si="1"/>
        <v>0</v>
      </c>
      <c r="W57" s="224">
        <f t="shared" ca="1" si="1"/>
        <v>0</v>
      </c>
      <c r="X57" s="224">
        <f t="shared" ca="1" si="1"/>
        <v>0</v>
      </c>
      <c r="Y57" s="224">
        <f t="shared" ca="1" si="1"/>
        <v>0</v>
      </c>
      <c r="Z57" s="224">
        <f t="shared" ca="1" si="1"/>
        <v>0</v>
      </c>
      <c r="AA57" s="224">
        <f t="shared" ca="1" si="1"/>
        <v>0</v>
      </c>
    </row>
    <row r="58" spans="1:27" s="225" customFormat="1">
      <c r="A58" s="223" t="str">
        <f>'Asset Info'!$F$10</f>
        <v>RSSB</v>
      </c>
      <c r="B58" s="224">
        <f t="shared" ca="1" si="1"/>
        <v>-16750</v>
      </c>
      <c r="C58" s="224">
        <f t="shared" ca="1" si="1"/>
        <v>-23000</v>
      </c>
      <c r="D58" s="224">
        <f t="shared" ca="1" si="1"/>
        <v>-22055</v>
      </c>
      <c r="E58" s="224">
        <f t="shared" ca="1" si="1"/>
        <v>-24260</v>
      </c>
      <c r="F58" s="224">
        <f t="shared" ca="1" si="1"/>
        <v>-20030</v>
      </c>
      <c r="G58" s="224">
        <f t="shared" ca="1" si="1"/>
        <v>-20750</v>
      </c>
      <c r="H58" s="224">
        <f t="shared" ca="1" si="1"/>
        <v>-27320</v>
      </c>
      <c r="I58" s="224">
        <f t="shared" ca="1" si="1"/>
        <v>-29390</v>
      </c>
      <c r="J58" s="224">
        <f t="shared" ca="1" si="1"/>
        <v>-22490</v>
      </c>
      <c r="K58" s="224">
        <f t="shared" ca="1" si="1"/>
        <v>-22490</v>
      </c>
      <c r="L58" s="224">
        <f t="shared" ca="1" si="1"/>
        <v>-22490</v>
      </c>
      <c r="M58" s="224">
        <f t="shared" ca="1" si="1"/>
        <v>-22490</v>
      </c>
      <c r="N58" s="224">
        <f t="shared" ca="1" si="1"/>
        <v>-22490</v>
      </c>
      <c r="O58" s="224">
        <f t="shared" ca="1" si="1"/>
        <v>-22490</v>
      </c>
      <c r="P58" s="224">
        <f t="shared" ca="1" si="1"/>
        <v>-22490</v>
      </c>
      <c r="Q58" s="224">
        <f t="shared" ca="1" si="1"/>
        <v>-22490</v>
      </c>
      <c r="R58" s="224">
        <f t="shared" ca="1" si="1"/>
        <v>-22490</v>
      </c>
      <c r="S58" s="224">
        <f t="shared" ca="1" si="1"/>
        <v>-22490</v>
      </c>
      <c r="T58" s="224">
        <f t="shared" ca="1" si="1"/>
        <v>-22490</v>
      </c>
      <c r="U58" s="224">
        <f t="shared" ca="1" si="1"/>
        <v>-22490</v>
      </c>
      <c r="V58" s="224">
        <f t="shared" ca="1" si="1"/>
        <v>-22490</v>
      </c>
      <c r="W58" s="224">
        <f t="shared" ca="1" si="1"/>
        <v>-22490</v>
      </c>
      <c r="X58" s="224">
        <f t="shared" ca="1" si="1"/>
        <v>-22490</v>
      </c>
      <c r="Y58" s="224">
        <f t="shared" ca="1" si="1"/>
        <v>-22490</v>
      </c>
      <c r="Z58" s="224">
        <f t="shared" ca="1" si="1"/>
        <v>-22490</v>
      </c>
      <c r="AA58" s="224">
        <f t="shared" ca="1" si="1"/>
        <v>-22490</v>
      </c>
    </row>
    <row r="59" spans="1:27" s="53" customFormat="1">
      <c r="A59" s="150" t="s">
        <v>186</v>
      </c>
      <c r="B59" s="149">
        <f ca="1">1/(1+'Financial Data'!$C$8)^B14*B54</f>
        <v>-32891.109999999404</v>
      </c>
      <c r="C59" s="149">
        <f ca="1">1/(1+'Financial Data'!$C$8)^C14*C54</f>
        <v>-29741.27536231769</v>
      </c>
      <c r="D59" s="149">
        <f ca="1">1/(1+'Financial Data'!$C$8)^D14*D54</f>
        <v>69670.810520667394</v>
      </c>
      <c r="E59" s="149">
        <f ca="1">1/(1+'Financial Data'!$C$8)^E14*E54</f>
        <v>152922.98593093638</v>
      </c>
      <c r="F59" s="149">
        <f ca="1">1/(1+'Financial Data'!$C$8)^F14*F54</f>
        <v>208417.41897089867</v>
      </c>
      <c r="G59" s="149">
        <f ca="1">1/(1+'Financial Data'!$C$8)^G14*G54</f>
        <v>246091.1729051334</v>
      </c>
      <c r="H59" s="149">
        <f ca="1">1/(1+'Financial Data'!$C$8)^H14*H54</f>
        <v>317407.70988585707</v>
      </c>
      <c r="I59" s="149">
        <f ca="1">1/(1+'Financial Data'!$C$8)^I14*I54</f>
        <v>395409.3529010886</v>
      </c>
      <c r="J59" s="149">
        <f ca="1">1/(1+'Financial Data'!$C$8)^J14*J54</f>
        <v>399504.48791962949</v>
      </c>
      <c r="K59" s="149">
        <f ca="1">1/(1+'Financial Data'!$C$8)^K14*K54</f>
        <v>385994.67431848263</v>
      </c>
      <c r="L59" s="149">
        <f ca="1">1/(1+'Financial Data'!$C$8)^L14*L54</f>
        <v>372941.71431737457</v>
      </c>
      <c r="M59" s="149">
        <f ca="1">1/(1+'Financial Data'!$C$8)^M14*M54</f>
        <v>360330.1587607484</v>
      </c>
      <c r="N59" s="149">
        <f ca="1">1/(1+'Financial Data'!$C$8)^N14*N54</f>
        <v>348145.0809282593</v>
      </c>
      <c r="O59" s="149">
        <f ca="1">1/(1+'Financial Data'!$C$8)^O14*O54</f>
        <v>336372.05886788346</v>
      </c>
      <c r="P59" s="149">
        <f ca="1">1/(1+'Financial Data'!$C$8)^P14*P54</f>
        <v>324997.15832645743</v>
      </c>
      <c r="Q59" s="149">
        <f ca="1">1/(1+'Financial Data'!$C$8)^Q14*Q54</f>
        <v>314006.91625744686</v>
      </c>
      <c r="R59" s="149">
        <f ca="1">1/(1+'Financial Data'!$C$8)^R14*R54</f>
        <v>303388.32488642214</v>
      </c>
      <c r="S59" s="149">
        <f ca="1">1/(1+'Financial Data'!$C$8)^S14*S54</f>
        <v>293128.81631538371</v>
      </c>
      <c r="T59" s="149">
        <f ca="1">1/(1+'Financial Data'!$C$8)^T14*T54</f>
        <v>283216.24764771375</v>
      </c>
      <c r="U59" s="149">
        <f ca="1">1/(1+'Financial Data'!$C$8)^U14*U54</f>
        <v>273638.88661614858</v>
      </c>
      <c r="V59" s="149">
        <f ca="1">1/(1+'Financial Data'!$C$8)^V14*V54</f>
        <v>264385.39769676194</v>
      </c>
      <c r="W59" s="149">
        <f ca="1">1/(1+'Financial Data'!$C$8)^W14*W54</f>
        <v>255444.82869252368</v>
      </c>
      <c r="X59" s="149">
        <f ca="1">1/(1+'Financial Data'!$C$8)^X14*X54</f>
        <v>246806.59777055425</v>
      </c>
      <c r="Y59" s="149">
        <f ca="1">1/(1+'Financial Data'!$C$8)^Y14*Y54</f>
        <v>238460.48093773358</v>
      </c>
      <c r="Z59" s="149">
        <f ca="1">1/(1+'Financial Data'!$C$8)^Z14*Z54</f>
        <v>230396.59993983927</v>
      </c>
      <c r="AA59" s="149">
        <f ca="1">1/(1+'Financial Data'!$C$8)^AA14*AA54</f>
        <v>222605.41056989302</v>
      </c>
    </row>
    <row r="60" spans="1:27" s="53" customFormat="1">
      <c r="A60" s="150" t="s">
        <v>221</v>
      </c>
      <c r="B60" s="149">
        <f ca="1">B59</f>
        <v>-32891.109999999404</v>
      </c>
      <c r="C60" s="149">
        <f t="shared" ref="C60:AA60" ca="1" si="2">B60+C59</f>
        <v>-62632.385362317094</v>
      </c>
      <c r="D60" s="149">
        <f t="shared" ca="1" si="2"/>
        <v>7038.4251583502992</v>
      </c>
      <c r="E60" s="149">
        <f t="shared" ca="1" si="2"/>
        <v>159961.41108928667</v>
      </c>
      <c r="F60" s="149">
        <f t="shared" ca="1" si="2"/>
        <v>368378.83006018534</v>
      </c>
      <c r="G60" s="149">
        <f t="shared" ca="1" si="2"/>
        <v>614470.00296531874</v>
      </c>
      <c r="H60" s="149">
        <f t="shared" ca="1" si="2"/>
        <v>931877.71285117581</v>
      </c>
      <c r="I60" s="149">
        <f t="shared" ca="1" si="2"/>
        <v>1327287.0657522643</v>
      </c>
      <c r="J60" s="149">
        <f t="shared" ca="1" si="2"/>
        <v>1726791.5536718939</v>
      </c>
      <c r="K60" s="149">
        <f t="shared" ca="1" si="2"/>
        <v>2112786.2279903768</v>
      </c>
      <c r="L60" s="149">
        <f t="shared" ca="1" si="2"/>
        <v>2485727.9423077512</v>
      </c>
      <c r="M60" s="149">
        <f t="shared" ca="1" si="2"/>
        <v>2846058.1010684995</v>
      </c>
      <c r="N60" s="149">
        <f t="shared" ca="1" si="2"/>
        <v>3194203.181996759</v>
      </c>
      <c r="O60" s="149">
        <f t="shared" ca="1" si="2"/>
        <v>3530575.2408646424</v>
      </c>
      <c r="P60" s="149">
        <f t="shared" ca="1" si="2"/>
        <v>3855572.3991910997</v>
      </c>
      <c r="Q60" s="149">
        <f t="shared" ca="1" si="2"/>
        <v>4169579.3154485468</v>
      </c>
      <c r="R60" s="149">
        <f t="shared" ca="1" si="2"/>
        <v>4472967.6403349694</v>
      </c>
      <c r="S60" s="149">
        <f t="shared" ca="1" si="2"/>
        <v>4766096.456650353</v>
      </c>
      <c r="T60" s="149">
        <f t="shared" ca="1" si="2"/>
        <v>5049312.7042980669</v>
      </c>
      <c r="U60" s="149">
        <f t="shared" ca="1" si="2"/>
        <v>5322951.5909142159</v>
      </c>
      <c r="V60" s="149">
        <f t="shared" ca="1" si="2"/>
        <v>5587336.9886109782</v>
      </c>
      <c r="W60" s="149">
        <f t="shared" ca="1" si="2"/>
        <v>5842781.817303502</v>
      </c>
      <c r="X60" s="149">
        <f t="shared" ca="1" si="2"/>
        <v>6089588.415074056</v>
      </c>
      <c r="Y60" s="149">
        <f t="shared" ca="1" si="2"/>
        <v>6328048.8960117893</v>
      </c>
      <c r="Z60" s="149">
        <f t="shared" ca="1" si="2"/>
        <v>6558445.4959516283</v>
      </c>
      <c r="AA60" s="149">
        <f t="shared" ca="1" si="2"/>
        <v>6781050.9065215215</v>
      </c>
    </row>
    <row r="61" spans="1:27" s="53" customFormat="1">
      <c r="A61" s="115"/>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row>
    <row r="62" spans="1:27" s="53" customFormat="1">
      <c r="A62" s="115"/>
      <c r="B62" s="149" t="s">
        <v>29</v>
      </c>
      <c r="C62" s="149" t="str">
        <f>'Asset Info'!C10</f>
        <v>Crossrail</v>
      </c>
      <c r="D62" s="149" t="str">
        <f>'Asset Info'!D10</f>
        <v>NR Western</v>
      </c>
      <c r="E62" s="149" t="str">
        <f>'Asset Info'!E10</f>
        <v>Balfour Beatty</v>
      </c>
      <c r="F62" s="149" t="str">
        <f>'Asset Info'!F10</f>
        <v>RSSB</v>
      </c>
      <c r="G62" s="149"/>
      <c r="H62" s="149"/>
      <c r="I62" s="149"/>
      <c r="J62" s="149"/>
      <c r="K62" s="149"/>
      <c r="L62" s="149"/>
      <c r="M62" s="149"/>
      <c r="N62" s="149"/>
      <c r="O62" s="149"/>
      <c r="P62" s="149"/>
      <c r="Q62" s="149"/>
      <c r="R62" s="149"/>
      <c r="S62" s="149"/>
      <c r="T62" s="149"/>
      <c r="U62" s="149"/>
      <c r="V62" s="149"/>
      <c r="W62" s="149"/>
      <c r="X62" s="149"/>
      <c r="Y62" s="149"/>
      <c r="Z62" s="149"/>
      <c r="AA62" s="149"/>
    </row>
    <row r="63" spans="1:27">
      <c r="A63" s="22" t="s">
        <v>223</v>
      </c>
      <c r="B63" s="152">
        <f ca="1">SUMPRODUCT(B27:AA27,B19:AA19)</f>
        <v>-164280.66363987929</v>
      </c>
      <c r="C63" s="152">
        <f ca="1">SUMPRODUCT($B$28:$AA$28,$B$19:$AA$19)</f>
        <v>0</v>
      </c>
      <c r="D63" s="152">
        <f ca="1">SUMPRODUCT($B$29:$AA$29,$B$19:$AA$19)</f>
        <v>-114996.4645479155</v>
      </c>
      <c r="E63" s="152">
        <f ca="1">SUMPRODUCT($B$30:$AA$30,$B$19:$AA$19)</f>
        <v>0</v>
      </c>
      <c r="F63" s="152">
        <f ca="1">SUMPRODUCT($B$31:$AA$31,$B$19:$AA$19)</f>
        <v>-49284.199091963783</v>
      </c>
      <c r="G63" s="149"/>
      <c r="H63" s="149"/>
      <c r="I63" s="149"/>
      <c r="J63" s="149"/>
      <c r="K63" s="149"/>
      <c r="L63" s="149"/>
      <c r="M63" s="149"/>
      <c r="N63" s="149"/>
      <c r="O63" s="149"/>
      <c r="P63" s="149"/>
      <c r="Q63" s="149"/>
      <c r="R63" s="149"/>
      <c r="S63" s="149"/>
      <c r="T63" s="149"/>
      <c r="U63" s="149"/>
      <c r="V63" s="149"/>
      <c r="W63" s="149"/>
      <c r="X63" s="149"/>
      <c r="Y63" s="149"/>
      <c r="Z63" s="149"/>
      <c r="AA63" s="149"/>
    </row>
    <row r="64" spans="1:27">
      <c r="A64" s="22" t="s">
        <v>224</v>
      </c>
      <c r="B64" s="152">
        <f ca="1">SUMPRODUCT(B46:AA46,B19:AA19)</f>
        <v>2650008.6059476305</v>
      </c>
      <c r="C64" s="152">
        <f ca="1">SUMPRODUCT($B$47:$AA$47,$B$19:$AA$19)</f>
        <v>77367.493779422992</v>
      </c>
      <c r="D64" s="152">
        <f ca="1">SUMPRODUCT($B$48:$AA$48,$B$19:$AA$19)</f>
        <v>2734574.2463888354</v>
      </c>
      <c r="E64" s="152">
        <f ca="1">SUMPRODUCT($B$49:$AA$49,$B$19:$AA$19)</f>
        <v>0</v>
      </c>
      <c r="F64" s="152">
        <f ca="1">SUMPRODUCT($B$50:$AA$50,$B$19:$AA$19)</f>
        <v>-161933.13422062839</v>
      </c>
      <c r="G64" s="149"/>
      <c r="H64" s="149"/>
      <c r="I64" s="149"/>
      <c r="J64" s="149"/>
      <c r="K64" s="149"/>
      <c r="L64" s="149"/>
      <c r="M64" s="149"/>
      <c r="N64" s="149"/>
      <c r="O64" s="149"/>
      <c r="P64" s="149"/>
      <c r="Q64" s="149"/>
      <c r="R64" s="149"/>
      <c r="S64" s="149"/>
      <c r="T64" s="149"/>
      <c r="U64" s="149"/>
      <c r="V64" s="149"/>
      <c r="W64" s="149"/>
      <c r="X64" s="149"/>
      <c r="Y64" s="149"/>
      <c r="Z64" s="149"/>
      <c r="AA64" s="149"/>
    </row>
    <row r="65" spans="1:27">
      <c r="A65" s="22" t="s">
        <v>187</v>
      </c>
      <c r="B65" s="152">
        <f ca="1">B64+B63</f>
        <v>2485727.9423077512</v>
      </c>
      <c r="C65" s="152">
        <f t="shared" ref="C65:F65" ca="1" si="3">C64+C63</f>
        <v>77367.493779422992</v>
      </c>
      <c r="D65" s="152">
        <f t="shared" ca="1" si="3"/>
        <v>2619577.78184092</v>
      </c>
      <c r="E65" s="152">
        <f t="shared" ca="1" si="3"/>
        <v>0</v>
      </c>
      <c r="F65" s="152">
        <f t="shared" ca="1" si="3"/>
        <v>-211217.33331259218</v>
      </c>
      <c r="G65" s="149"/>
      <c r="H65" s="149"/>
      <c r="I65" s="149"/>
      <c r="J65" s="149"/>
      <c r="K65" s="149"/>
      <c r="L65" s="149"/>
      <c r="M65" s="149"/>
      <c r="N65" s="149"/>
      <c r="O65" s="149"/>
      <c r="P65" s="149"/>
      <c r="Q65" s="149"/>
      <c r="R65" s="149"/>
      <c r="S65" s="149"/>
      <c r="T65" s="149"/>
      <c r="U65" s="149"/>
      <c r="V65" s="149"/>
      <c r="W65" s="149"/>
      <c r="X65" s="149"/>
      <c r="Y65" s="149"/>
      <c r="Z65" s="149"/>
      <c r="AA65" s="149"/>
    </row>
    <row r="66" spans="1:27">
      <c r="A66" s="22" t="s">
        <v>222</v>
      </c>
      <c r="B66" s="153">
        <f ca="1">IF(B63&gt;=0,"n/a",B65/-B63)</f>
        <v>15.130983082444393</v>
      </c>
      <c r="C66" s="153" t="str">
        <f t="shared" ref="C66:F66" ca="1" si="4">IF(C63&gt;=0,"n/a",C65/-C63)</f>
        <v>n/a</v>
      </c>
      <c r="D66" s="153">
        <f t="shared" ca="1" si="4"/>
        <v>22.779637549199805</v>
      </c>
      <c r="E66" s="153" t="str">
        <f t="shared" ca="1" si="4"/>
        <v>n/a</v>
      </c>
      <c r="F66" s="153">
        <f t="shared" ca="1" si="4"/>
        <v>-4.2857008372696273</v>
      </c>
      <c r="G66" s="149"/>
      <c r="H66" s="149"/>
      <c r="I66" s="149"/>
      <c r="J66" s="149"/>
      <c r="K66" s="149"/>
      <c r="L66" s="149"/>
      <c r="M66" s="149"/>
      <c r="N66" s="149"/>
      <c r="O66" s="149"/>
      <c r="P66" s="149"/>
      <c r="Q66" s="149"/>
      <c r="R66" s="149"/>
      <c r="S66" s="149"/>
      <c r="T66" s="149"/>
      <c r="U66" s="149"/>
      <c r="V66" s="149"/>
      <c r="W66" s="149"/>
      <c r="X66" s="149"/>
      <c r="Y66" s="149"/>
      <c r="Z66" s="149"/>
      <c r="AA66" s="149"/>
    </row>
    <row r="67" spans="1:27">
      <c r="A67" s="22"/>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row>
    <row r="68" spans="1:27">
      <c r="A68" s="21"/>
      <c r="B68" s="154"/>
      <c r="C68" s="154"/>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7656"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7657"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7658"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7659"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AG">
    <tabColor indexed="22"/>
  </sheetPr>
  <dimension ref="A1:AA68"/>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197</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t="s">
        <v>132</v>
      </c>
      <c r="B8" s="136" t="s">
        <v>138</v>
      </c>
      <c r="C8" s="136" t="s">
        <v>138</v>
      </c>
      <c r="D8" s="137">
        <f>'Financial Data'!C17</f>
        <v>2</v>
      </c>
      <c r="E8" s="136" t="s">
        <v>111</v>
      </c>
      <c r="F8" s="21"/>
      <c r="G8" s="21"/>
      <c r="H8" s="21"/>
      <c r="I8" s="21"/>
      <c r="J8" s="21"/>
      <c r="K8" s="21"/>
      <c r="L8" s="21"/>
      <c r="M8" s="21"/>
      <c r="N8" s="21"/>
      <c r="O8" s="21"/>
      <c r="P8" s="21"/>
      <c r="Q8" s="21"/>
      <c r="R8" s="21"/>
      <c r="S8" s="21"/>
      <c r="T8" s="21"/>
      <c r="U8" s="21"/>
      <c r="V8" s="21"/>
      <c r="W8" s="21"/>
      <c r="X8" s="21"/>
      <c r="Y8" s="21"/>
      <c r="Z8" s="21"/>
      <c r="AA8" s="21"/>
    </row>
    <row r="9" spans="1:27" hidden="1">
      <c r="A9" s="138" t="s">
        <v>134</v>
      </c>
      <c r="B9" s="138" t="s">
        <v>141</v>
      </c>
      <c r="C9" s="138" t="s">
        <v>139</v>
      </c>
      <c r="D9" s="139">
        <f>'Financial Data'!C18+D8</f>
        <v>4</v>
      </c>
      <c r="E9" s="138" t="s">
        <v>117</v>
      </c>
      <c r="F9" s="21"/>
      <c r="G9" s="21"/>
      <c r="H9" s="21"/>
      <c r="I9" s="21"/>
      <c r="J9" s="21"/>
      <c r="K9" s="21"/>
      <c r="L9" s="21"/>
      <c r="M9" s="21"/>
      <c r="N9" s="21"/>
      <c r="O9" s="21"/>
      <c r="P9" s="21"/>
      <c r="Q9" s="21"/>
      <c r="R9" s="21"/>
      <c r="S9" s="21"/>
      <c r="T9" s="21"/>
      <c r="U9" s="21"/>
      <c r="V9" s="21"/>
      <c r="W9" s="21"/>
      <c r="X9" s="21"/>
      <c r="Y9" s="21"/>
      <c r="Z9" s="21"/>
      <c r="AA9" s="21"/>
    </row>
    <row r="10" spans="1:27" hidden="1">
      <c r="A10" s="138" t="s">
        <v>135</v>
      </c>
      <c r="B10" s="138" t="s">
        <v>141</v>
      </c>
      <c r="C10" s="138" t="s">
        <v>139</v>
      </c>
      <c r="D10" s="139">
        <f>'Financial Data'!C19+D9</f>
        <v>6</v>
      </c>
      <c r="E10" s="138" t="s">
        <v>118</v>
      </c>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t="s">
        <v>136</v>
      </c>
      <c r="B11" s="138" t="s">
        <v>141</v>
      </c>
      <c r="C11" s="138" t="s">
        <v>139</v>
      </c>
      <c r="D11" s="139">
        <f>'Financial Data'!C20+D10</f>
        <v>8</v>
      </c>
      <c r="E11" s="138" t="s">
        <v>112</v>
      </c>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t="s">
        <v>137</v>
      </c>
      <c r="B12" s="140" t="s">
        <v>141</v>
      </c>
      <c r="C12" s="140" t="s">
        <v>139</v>
      </c>
      <c r="D12" s="141">
        <f>'Financial Data'!C21+D11</f>
        <v>11</v>
      </c>
      <c r="E12" s="140" t="s">
        <v>113</v>
      </c>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
        <v>73</v>
      </c>
      <c r="D16" s="139" t="s">
        <v>111</v>
      </c>
      <c r="E16" s="139" t="s">
        <v>111</v>
      </c>
      <c r="F16" s="139" t="s">
        <v>117</v>
      </c>
      <c r="G16" s="139" t="s">
        <v>117</v>
      </c>
      <c r="H16" s="139" t="s">
        <v>118</v>
      </c>
      <c r="I16" s="139" t="s">
        <v>118</v>
      </c>
      <c r="J16" s="139" t="s">
        <v>112</v>
      </c>
      <c r="K16" s="139" t="s">
        <v>112</v>
      </c>
      <c r="L16" s="139" t="s">
        <v>112</v>
      </c>
      <c r="M16" s="139" t="s">
        <v>113</v>
      </c>
      <c r="N16" s="139" t="s">
        <v>113</v>
      </c>
      <c r="O16" s="139" t="s">
        <v>113</v>
      </c>
      <c r="P16" s="139" t="s">
        <v>113</v>
      </c>
      <c r="Q16" s="139" t="s">
        <v>113</v>
      </c>
      <c r="R16" s="139" t="s">
        <v>113</v>
      </c>
      <c r="S16" s="139" t="s">
        <v>113</v>
      </c>
      <c r="T16" s="139" t="s">
        <v>113</v>
      </c>
      <c r="U16" s="139" t="s">
        <v>113</v>
      </c>
      <c r="V16" s="139" t="s">
        <v>113</v>
      </c>
      <c r="W16" s="139" t="s">
        <v>113</v>
      </c>
      <c r="X16" s="139" t="s">
        <v>113</v>
      </c>
      <c r="Y16" s="139" t="s">
        <v>113</v>
      </c>
      <c r="Z16" s="139" t="s">
        <v>113</v>
      </c>
      <c r="AA16" s="139" t="s">
        <v>113</v>
      </c>
    </row>
    <row r="17" spans="1:27" hidden="1">
      <c r="A17" s="75" t="s">
        <v>190</v>
      </c>
      <c r="B17" s="139" t="s">
        <v>111</v>
      </c>
      <c r="C17" s="139" t="s">
        <v>111</v>
      </c>
      <c r="D17" s="139" t="s">
        <v>117</v>
      </c>
      <c r="E17" s="139" t="s">
        <v>117</v>
      </c>
      <c r="F17" s="139" t="s">
        <v>118</v>
      </c>
      <c r="G17" s="139" t="s">
        <v>118</v>
      </c>
      <c r="H17" s="139" t="s">
        <v>112</v>
      </c>
      <c r="I17" s="139" t="s">
        <v>112</v>
      </c>
      <c r="J17" s="139" t="s">
        <v>113</v>
      </c>
      <c r="K17" s="139" t="s">
        <v>113</v>
      </c>
      <c r="L17" s="139" t="s">
        <v>113</v>
      </c>
      <c r="M17" s="139" t="s">
        <v>113</v>
      </c>
      <c r="N17" s="139" t="s">
        <v>113</v>
      </c>
      <c r="O17" s="139" t="s">
        <v>113</v>
      </c>
      <c r="P17" s="139" t="s">
        <v>113</v>
      </c>
      <c r="Q17" s="139" t="s">
        <v>113</v>
      </c>
      <c r="R17" s="139" t="s">
        <v>113</v>
      </c>
      <c r="S17" s="139" t="s">
        <v>113</v>
      </c>
      <c r="T17" s="139" t="s">
        <v>113</v>
      </c>
      <c r="U17" s="139" t="s">
        <v>113</v>
      </c>
      <c r="V17" s="139" t="s">
        <v>113</v>
      </c>
      <c r="W17" s="139" t="s">
        <v>113</v>
      </c>
      <c r="X17" s="139" t="s">
        <v>113</v>
      </c>
      <c r="Y17" s="139" t="s">
        <v>113</v>
      </c>
      <c r="Z17" s="139" t="s">
        <v>113</v>
      </c>
      <c r="AA17" s="139" t="s">
        <v>113</v>
      </c>
    </row>
    <row r="18" spans="1:27" hidden="1">
      <c r="A18" s="75" t="s">
        <v>191</v>
      </c>
      <c r="B18" s="144">
        <f ca="1">IF(INDEX($D$8:$D$12,MATCH(B17,$E$8:$E$12,FALSE))&lt;=B14,0,
IF(SUMIF('Financial Data'!$B$16:$B$21,"="&amp;'AG-CF'!B16,'Financial Data'!$C$17:$C$21)=0,1,1/SUMIF('Financial Data'!$B$16:$B$21,"="&amp;'AG-CF'!B16,'Financial Data'!$C$17:$C$21)))</f>
        <v>0.5</v>
      </c>
      <c r="C18" s="144">
        <f ca="1">IF(INDEX($D$8:$D$12,MATCH(C17,$E$8:$E$12,FALSE))&lt;=C14,0,
IF(SUMIF('Financial Data'!$B$16:$B$21,"="&amp;'AG-CF'!C16,'Financial Data'!$C$17:$C$21)=0,1,1/SUMIF('Financial Data'!$B$16:$B$21,"="&amp;'AG-CF'!C16,'Financial Data'!$C$17:$C$21)))</f>
        <v>0.5</v>
      </c>
      <c r="D18" s="144">
        <f ca="1">IF(INDEX($D$8:$D$12,MATCH(D17,$E$8:$E$12,FALSE))&lt;=D14,0,
IF(SUMIF('Financial Data'!$B$16:$B$21,"="&amp;'AG-CF'!D16,'Financial Data'!$C$17:$C$21)=0,1,1/SUMIF('Financial Data'!$B$16:$B$21,"="&amp;'AG-CF'!D16,'Financial Data'!$C$17:$C$21)))</f>
        <v>0.5</v>
      </c>
      <c r="E18" s="144">
        <f ca="1">IF(INDEX($D$8:$D$12,MATCH(E17,$E$8:$E$12,FALSE))&lt;=E14,0,
IF(SUMIF('Financial Data'!$B$16:$B$21,"="&amp;'AG-CF'!E16,'Financial Data'!$C$17:$C$21)=0,1,1/SUMIF('Financial Data'!$B$16:$B$21,"="&amp;'AG-CF'!E16,'Financial Data'!$C$17:$C$21)))</f>
        <v>0.5</v>
      </c>
      <c r="F18" s="144">
        <f ca="1">IF(INDEX($D$8:$D$12,MATCH(F17,$E$8:$E$12,FALSE))&lt;=F14,0,
IF(SUMIF('Financial Data'!$B$16:$B$21,"="&amp;'AG-CF'!F16,'Financial Data'!$C$17:$C$21)=0,1,1/SUMIF('Financial Data'!$B$16:$B$21,"="&amp;'AG-CF'!F16,'Financial Data'!$C$17:$C$21)))</f>
        <v>0.5</v>
      </c>
      <c r="G18" s="144">
        <f ca="1">IF(INDEX($D$8:$D$12,MATCH(G17,$E$8:$E$12,FALSE))&lt;=G14,0,
IF(SUMIF('Financial Data'!$B$16:$B$21,"="&amp;'AG-CF'!G16,'Financial Data'!$C$17:$C$21)=0,1,1/SUMIF('Financial Data'!$B$16:$B$21,"="&amp;'AG-CF'!G16,'Financial Data'!$C$17:$C$21)))</f>
        <v>0.5</v>
      </c>
      <c r="H18" s="144">
        <f ca="1">IF(INDEX($D$8:$D$12,MATCH(H17,$E$8:$E$12,FALSE))&lt;=H14,0,
IF(SUMIF('Financial Data'!$B$16:$B$21,"="&amp;'AG-CF'!H16,'Financial Data'!$C$17:$C$21)=0,1,1/SUMIF('Financial Data'!$B$16:$B$21,"="&amp;'AG-CF'!H16,'Financial Data'!$C$17:$C$21)))</f>
        <v>0.5</v>
      </c>
      <c r="I18" s="144">
        <f ca="1">IF(INDEX($D$8:$D$12,MATCH(I17,$E$8:$E$12,FALSE))&lt;=I14,0,
IF(SUMIF('Financial Data'!$B$16:$B$21,"="&amp;'AG-CF'!I16,'Financial Data'!$C$17:$C$21)=0,1,1/SUMIF('Financial Data'!$B$16:$B$21,"="&amp;'AG-CF'!I16,'Financial Data'!$C$17:$C$21)))</f>
        <v>0.5</v>
      </c>
      <c r="J18" s="144">
        <f ca="1">IF(INDEX($D$8:$D$12,MATCH(J17,$E$8:$E$12,FALSE))&lt;=J14,0,
IF(SUMIF('Financial Data'!$B$16:$B$21,"="&amp;'AG-CF'!J16,'Financial Data'!$C$17:$C$21)=0,1,1/SUMIF('Financial Data'!$B$16:$B$21,"="&amp;'AG-CF'!J16,'Financial Data'!$C$17:$C$21)))</f>
        <v>0.33333333333333331</v>
      </c>
      <c r="K18" s="144">
        <f ca="1">IF(INDEX($D$8:$D$12,MATCH(K17,$E$8:$E$12,FALSE))&lt;=K14,0,
IF(SUMIF('Financial Data'!$B$16:$B$21,"="&amp;'AG-CF'!K16,'Financial Data'!$C$17:$C$21)=0,1,1/SUMIF('Financial Data'!$B$16:$B$21,"="&amp;'AG-CF'!K16,'Financial Data'!$C$17:$C$21)))</f>
        <v>0.33333333333333331</v>
      </c>
      <c r="L18" s="144">
        <f ca="1">IF(INDEX($D$8:$D$12,MATCH(L17,$E$8:$E$12,FALSE))&lt;=L14,0,
IF(SUMIF('Financial Data'!$B$16:$B$21,"="&amp;'AG-CF'!L16,'Financial Data'!$C$17:$C$21)=0,1,1/SUMIF('Financial Data'!$B$16:$B$21,"="&amp;'AG-CF'!L16,'Financial Data'!$C$17:$C$21)))</f>
        <v>0.33333333333333331</v>
      </c>
      <c r="M18" s="144">
        <f>IF(INDEX($D$8:$D$12,MATCH(M17,$E$8:$E$12,FALSE))&lt;=M14,0,
IF(SUMIF('Financial Data'!$B$16:$B$21,"="&amp;'AG-CF'!M16,'Financial Data'!$C$17:$C$21)=0,1,1/SUMIF('Financial Data'!$B$16:$B$21,"="&amp;'AG-CF'!M16,'Financial Data'!$C$17:$C$21)))</f>
        <v>0</v>
      </c>
      <c r="N18" s="144">
        <f>IF(INDEX($D$8:$D$12,MATCH(N17,$E$8:$E$12,FALSE))&lt;=N14,0,
IF(SUMIF('Financial Data'!$B$16:$B$21,"="&amp;'AG-CF'!N16,'Financial Data'!$C$17:$C$21)=0,1,1/SUMIF('Financial Data'!$B$16:$B$21,"="&amp;'AG-CF'!N16,'Financial Data'!$C$17:$C$21)))</f>
        <v>0</v>
      </c>
      <c r="O18" s="144">
        <f>IF(INDEX($D$8:$D$12,MATCH(O17,$E$8:$E$12,FALSE))&lt;=O14,0,
IF(SUMIF('Financial Data'!$B$16:$B$21,"="&amp;'AG-CF'!O16,'Financial Data'!$C$17:$C$21)=0,1,1/SUMIF('Financial Data'!$B$16:$B$21,"="&amp;'AG-CF'!O16,'Financial Data'!$C$17:$C$21)))</f>
        <v>0</v>
      </c>
      <c r="P18" s="144">
        <f>IF(INDEX($D$8:$D$12,MATCH(P17,$E$8:$E$12,FALSE))&lt;=P14,0,
IF(SUMIF('Financial Data'!$B$16:$B$21,"="&amp;'AG-CF'!P16,'Financial Data'!$C$17:$C$21)=0,1,1/SUMIF('Financial Data'!$B$16:$B$21,"="&amp;'AG-CF'!P16,'Financial Data'!$C$17:$C$21)))</f>
        <v>0</v>
      </c>
      <c r="Q18" s="144">
        <f>IF(INDEX($D$8:$D$12,MATCH(Q17,$E$8:$E$12,FALSE))&lt;=Q14,0,
IF(SUMIF('Financial Data'!$B$16:$B$21,"="&amp;'AG-CF'!Q16,'Financial Data'!$C$17:$C$21)=0,1,1/SUMIF('Financial Data'!$B$16:$B$21,"="&amp;'AG-CF'!Q16,'Financial Data'!$C$17:$C$21)))</f>
        <v>0</v>
      </c>
      <c r="R18" s="144">
        <f>IF(INDEX($D$8:$D$12,MATCH(R17,$E$8:$E$12,FALSE))&lt;=R14,0,
IF(SUMIF('Financial Data'!$B$16:$B$21,"="&amp;'AG-CF'!R16,'Financial Data'!$C$17:$C$21)=0,1,1/SUMIF('Financial Data'!$B$16:$B$21,"="&amp;'AG-CF'!R16,'Financial Data'!$C$17:$C$21)))</f>
        <v>0</v>
      </c>
      <c r="S18" s="144">
        <f>IF(INDEX($D$8:$D$12,MATCH(S17,$E$8:$E$12,FALSE))&lt;=S14,0,
IF(SUMIF('Financial Data'!$B$16:$B$21,"="&amp;'AG-CF'!S16,'Financial Data'!$C$17:$C$21)=0,1,1/SUMIF('Financial Data'!$B$16:$B$21,"="&amp;'AG-CF'!S16,'Financial Data'!$C$17:$C$21)))</f>
        <v>0</v>
      </c>
      <c r="T18" s="144">
        <f>IF(INDEX($D$8:$D$12,MATCH(T17,$E$8:$E$12,FALSE))&lt;=T14,0,
IF(SUMIF('Financial Data'!$B$16:$B$21,"="&amp;'AG-CF'!T16,'Financial Data'!$C$17:$C$21)=0,1,1/SUMIF('Financial Data'!$B$16:$B$21,"="&amp;'AG-CF'!T16,'Financial Data'!$C$17:$C$21)))</f>
        <v>0</v>
      </c>
      <c r="U18" s="144">
        <f>IF(INDEX($D$8:$D$12,MATCH(U17,$E$8:$E$12,FALSE))&lt;=U14,0,
IF(SUMIF('Financial Data'!$B$16:$B$21,"="&amp;'AG-CF'!U16,'Financial Data'!$C$17:$C$21)=0,1,1/SUMIF('Financial Data'!$B$16:$B$21,"="&amp;'AG-CF'!U16,'Financial Data'!$C$17:$C$21)))</f>
        <v>0</v>
      </c>
      <c r="V18" s="144">
        <f>IF(INDEX($D$8:$D$12,MATCH(V17,$E$8:$E$12,FALSE))&lt;=V14,0,
IF(SUMIF('Financial Data'!$B$16:$B$21,"="&amp;'AG-CF'!V16,'Financial Data'!$C$17:$C$21)=0,1,1/SUMIF('Financial Data'!$B$16:$B$21,"="&amp;'AG-CF'!V16,'Financial Data'!$C$17:$C$21)))</f>
        <v>0</v>
      </c>
      <c r="W18" s="144">
        <f>IF(INDEX($D$8:$D$12,MATCH(W17,$E$8:$E$12,FALSE))&lt;=W14,0,
IF(SUMIF('Financial Data'!$B$16:$B$21,"="&amp;'AG-CF'!W16,'Financial Data'!$C$17:$C$21)=0,1,1/SUMIF('Financial Data'!$B$16:$B$21,"="&amp;'AG-CF'!W16,'Financial Data'!$C$17:$C$21)))</f>
        <v>0</v>
      </c>
      <c r="X18" s="144">
        <f>IF(INDEX($D$8:$D$12,MATCH(X17,$E$8:$E$12,FALSE))&lt;=X14,0,
IF(SUMIF('Financial Data'!$B$16:$B$21,"="&amp;'AG-CF'!X16,'Financial Data'!$C$17:$C$21)=0,1,1/SUMIF('Financial Data'!$B$16:$B$21,"="&amp;'AG-CF'!X16,'Financial Data'!$C$17:$C$21)))</f>
        <v>0</v>
      </c>
      <c r="Y18" s="144">
        <f>IF(INDEX($D$8:$D$12,MATCH(Y17,$E$8:$E$12,FALSE))&lt;=Y14,0,
IF(SUMIF('Financial Data'!$B$16:$B$21,"="&amp;'AG-CF'!Y16,'Financial Data'!$C$17:$C$21)=0,1,1/SUMIF('Financial Data'!$B$16:$B$21,"="&amp;'AG-CF'!Y16,'Financial Data'!$C$17:$C$21)))</f>
        <v>0</v>
      </c>
      <c r="Z18" s="144">
        <f>IF(INDEX($D$8:$D$12,MATCH(Z17,$E$8:$E$12,FALSE))&lt;=Z14,0,
IF(SUMIF('Financial Data'!$B$16:$B$21,"="&amp;'AG-CF'!Z16,'Financial Data'!$C$17:$C$21)=0,1,1/SUMIF('Financial Data'!$B$16:$B$21,"="&amp;'AG-CF'!Z16,'Financial Data'!$C$17:$C$21)))</f>
        <v>0</v>
      </c>
      <c r="AA18" s="144">
        <f>IF(INDEX($D$8:$D$12,MATCH(AA17,$E$8:$E$12,FALSE))&lt;=AA14,0,
IF(SUMIF('Financial Data'!$B$16:$B$21,"="&amp;'AG-CF'!AA16,'Financial Data'!$C$17:$C$21)=0,1,1/SUMIF('Financial Data'!$B$16:$B$21,"="&amp;'AG-CF'!AA16,'Financial Data'!$C$17:$C$21)))</f>
        <v>0</v>
      </c>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f ca="1">-B18*SUMIF('Annual WLC by Maturity Level '!$E$9:$I$9,B17,'Annual WLC by Maturity Level '!$E$40:$I$40)</f>
        <v>-35000</v>
      </c>
      <c r="C22" s="149">
        <f ca="1">-C18*SUMIF('Annual WLC by Maturity Level '!$E$9:$I$9,C17,'Annual WLC by Maturity Level '!$E$40:$I$40)</f>
        <v>-35000</v>
      </c>
      <c r="D22" s="149">
        <f ca="1">-D18*SUMIF('Annual WLC by Maturity Level '!$E$9:$I$9,D17,'Annual WLC by Maturity Level '!$E$40:$I$40)</f>
        <v>-24500</v>
      </c>
      <c r="E22" s="149">
        <f ca="1">-E18*SUMIF('Annual WLC by Maturity Level '!$E$9:$I$9,E17,'Annual WLC by Maturity Level '!$E$40:$I$40)</f>
        <v>-24500</v>
      </c>
      <c r="F22" s="149">
        <f ca="1">-F18*SUMIF('Annual WLC by Maturity Level '!$E$9:$I$9,F17,'Annual WLC by Maturity Level '!$E$40:$I$40)</f>
        <v>-8000</v>
      </c>
      <c r="G22" s="149">
        <f ca="1">-G18*SUMIF('Annual WLC by Maturity Level '!$E$9:$I$9,G17,'Annual WLC by Maturity Level '!$E$40:$I$40)</f>
        <v>-8000</v>
      </c>
      <c r="H22" s="149">
        <f ca="1">-H18*SUMIF('Annual WLC by Maturity Level '!$E$9:$I$9,H17,'Annual WLC by Maturity Level '!$E$40:$I$40)</f>
        <v>-23000</v>
      </c>
      <c r="I22" s="149">
        <f ca="1">-I18*SUMIF('Annual WLC by Maturity Level '!$E$9:$I$9,I17,'Annual WLC by Maturity Level '!$E$40:$I$40)</f>
        <v>-23000</v>
      </c>
      <c r="J22" s="149">
        <f ca="1">-J18*SUMIF('Annual WLC by Maturity Level '!$E$9:$I$9,J17,'Annual WLC by Maturity Level '!$E$40:$I$40)</f>
        <v>-13000</v>
      </c>
      <c r="K22" s="149">
        <f ca="1">-K18*SUMIF('Annual WLC by Maturity Level '!$E$9:$I$9,K17,'Annual WLC by Maturity Level '!$E$40:$I$40)</f>
        <v>-13000</v>
      </c>
      <c r="L22" s="149">
        <f ca="1">-L18*SUMIF('Annual WLC by Maturity Level '!$E$9:$I$9,L17,'Annual WLC by Maturity Level '!$E$40:$I$40)</f>
        <v>-13000</v>
      </c>
      <c r="M22" s="149">
        <f>-M18*SUMIF('Annual WLC by Maturity Level '!$E$9:$I$9,M17,'Annual WLC by Maturity Level '!$E$40:$I$40)</f>
        <v>0</v>
      </c>
      <c r="N22" s="149">
        <f>-N18*SUMIF('Annual WLC by Maturity Level '!$E$9:$I$9,N17,'Annual WLC by Maturity Level '!$E$40:$I$40)</f>
        <v>0</v>
      </c>
      <c r="O22" s="149">
        <f>-O18*SUMIF('Annual WLC by Maturity Level '!$E$9:$I$9,O17,'Annual WLC by Maturity Level '!$E$40:$I$40)</f>
        <v>0</v>
      </c>
      <c r="P22" s="149">
        <f>-P18*SUMIF('Annual WLC by Maturity Level '!$E$9:$I$9,P17,'Annual WLC by Maturity Level '!$E$40:$I$40)</f>
        <v>0</v>
      </c>
      <c r="Q22" s="149">
        <f>-Q18*SUMIF('Annual WLC by Maturity Level '!$E$9:$I$9,Q17,'Annual WLC by Maturity Level '!$E$40:$I$40)</f>
        <v>0</v>
      </c>
      <c r="R22" s="149">
        <f>-R18*SUMIF('Annual WLC by Maturity Level '!$E$9:$I$9,R17,'Annual WLC by Maturity Level '!$E$40:$I$40)</f>
        <v>0</v>
      </c>
      <c r="S22" s="149">
        <f>-S18*SUMIF('Annual WLC by Maturity Level '!$E$9:$I$9,S17,'Annual WLC by Maturity Level '!$E$40:$I$40)</f>
        <v>0</v>
      </c>
      <c r="T22" s="149">
        <f>-T18*SUMIF('Annual WLC by Maturity Level '!$E$9:$I$9,T17,'Annual WLC by Maturity Level '!$E$40:$I$40)</f>
        <v>0</v>
      </c>
      <c r="U22" s="149">
        <f>-U18*SUMIF('Annual WLC by Maturity Level '!$E$9:$I$9,U17,'Annual WLC by Maturity Level '!$E$40:$I$40)</f>
        <v>0</v>
      </c>
      <c r="V22" s="149">
        <f>-V18*SUMIF('Annual WLC by Maturity Level '!$E$9:$I$9,V17,'Annual WLC by Maturity Level '!$E$40:$I$40)</f>
        <v>0</v>
      </c>
      <c r="W22" s="149">
        <f>-W18*SUMIF('Annual WLC by Maturity Level '!$E$9:$I$9,W17,'Annual WLC by Maturity Level '!$E$40:$I$40)</f>
        <v>0</v>
      </c>
      <c r="X22" s="149">
        <f>-X18*SUMIF('Annual WLC by Maturity Level '!$E$9:$I$9,X17,'Annual WLC by Maturity Level '!$E$40:$I$40)</f>
        <v>0</v>
      </c>
      <c r="Y22" s="149">
        <f>-Y18*SUMIF('Annual WLC by Maturity Level '!$E$9:$I$9,Y17,'Annual WLC by Maturity Level '!$E$40:$I$40)</f>
        <v>0</v>
      </c>
      <c r="Z22" s="149">
        <f>-Z18*SUMIF('Annual WLC by Maturity Level '!$E$9:$I$9,Z17,'Annual WLC by Maturity Level '!$E$40:$I$40)</f>
        <v>0</v>
      </c>
      <c r="AA22" s="149">
        <f>-AA18*SUMIF('Annual WLC by Maturity Level '!$E$9:$I$9,AA17,'Annual WLC by Maturity Level '!$E$40:$I$40)</f>
        <v>0</v>
      </c>
    </row>
    <row r="23" spans="1:27" s="225" customFormat="1">
      <c r="A23" s="223" t="str">
        <f>'Asset Info'!$C$10</f>
        <v>Crossrail</v>
      </c>
      <c r="B23" s="224">
        <f ca="1">-B$18*SUMIF('Annual WLC by Maturity Level '!$E$9:$I$9,B$17,'Annual WLC by Maturity Level '!$E41:$I41)</f>
        <v>0</v>
      </c>
      <c r="C23" s="224">
        <f ca="1">-C$18*SUMIF('Annual WLC by Maturity Level '!$E$9:$I$9,C$17,'Annual WLC by Maturity Level '!$E41:$I41)</f>
        <v>0</v>
      </c>
      <c r="D23" s="224">
        <f ca="1">-D$18*SUMIF('Annual WLC by Maturity Level '!$E$9:$I$9,D$17,'Annual WLC by Maturity Level '!$E41:$I41)</f>
        <v>0</v>
      </c>
      <c r="E23" s="224">
        <f ca="1">-E$18*SUMIF('Annual WLC by Maturity Level '!$E$9:$I$9,E$17,'Annual WLC by Maturity Level '!$E41:$I41)</f>
        <v>0</v>
      </c>
      <c r="F23" s="224">
        <f ca="1">-F$18*SUMIF('Annual WLC by Maturity Level '!$E$9:$I$9,F$17,'Annual WLC by Maturity Level '!$E41:$I41)</f>
        <v>0</v>
      </c>
      <c r="G23" s="224">
        <f ca="1">-G$18*SUMIF('Annual WLC by Maturity Level '!$E$9:$I$9,G$17,'Annual WLC by Maturity Level '!$E41:$I41)</f>
        <v>0</v>
      </c>
      <c r="H23" s="224">
        <f ca="1">-H$18*SUMIF('Annual WLC by Maturity Level '!$E$9:$I$9,H$17,'Annual WLC by Maturity Level '!$E41:$I41)</f>
        <v>0</v>
      </c>
      <c r="I23" s="224">
        <f ca="1">-I$18*SUMIF('Annual WLC by Maturity Level '!$E$9:$I$9,I$17,'Annual WLC by Maturity Level '!$E41:$I41)</f>
        <v>0</v>
      </c>
      <c r="J23" s="224">
        <f ca="1">-J$18*SUMIF('Annual WLC by Maturity Level '!$E$9:$I$9,J$17,'Annual WLC by Maturity Level '!$E41:$I41)</f>
        <v>0</v>
      </c>
      <c r="K23" s="224">
        <f ca="1">-K$18*SUMIF('Annual WLC by Maturity Level '!$E$9:$I$9,K$17,'Annual WLC by Maturity Level '!$E41:$I41)</f>
        <v>0</v>
      </c>
      <c r="L23" s="224">
        <f ca="1">-L$18*SUMIF('Annual WLC by Maturity Level '!$E$9:$I$9,L$17,'Annual WLC by Maturity Level '!$E41:$I41)</f>
        <v>0</v>
      </c>
      <c r="M23" s="224">
        <f>-M$18*SUMIF('Annual WLC by Maturity Level '!$E$9:$I$9,M$17,'Annual WLC by Maturity Level '!$E41:$I41)</f>
        <v>0</v>
      </c>
      <c r="N23" s="224">
        <f>-N$18*SUMIF('Annual WLC by Maturity Level '!$E$9:$I$9,N$17,'Annual WLC by Maturity Level '!$E41:$I41)</f>
        <v>0</v>
      </c>
      <c r="O23" s="224">
        <f>-O$18*SUMIF('Annual WLC by Maturity Level '!$E$9:$I$9,O$17,'Annual WLC by Maturity Level '!$E41:$I41)</f>
        <v>0</v>
      </c>
      <c r="P23" s="224">
        <f>-P$18*SUMIF('Annual WLC by Maturity Level '!$E$9:$I$9,P$17,'Annual WLC by Maturity Level '!$E41:$I41)</f>
        <v>0</v>
      </c>
      <c r="Q23" s="224">
        <f>-Q$18*SUMIF('Annual WLC by Maturity Level '!$E$9:$I$9,Q$17,'Annual WLC by Maturity Level '!$E41:$I41)</f>
        <v>0</v>
      </c>
      <c r="R23" s="224">
        <f>-R$18*SUMIF('Annual WLC by Maturity Level '!$E$9:$I$9,R$17,'Annual WLC by Maturity Level '!$E41:$I41)</f>
        <v>0</v>
      </c>
      <c r="S23" s="224">
        <f>-S$18*SUMIF('Annual WLC by Maturity Level '!$E$9:$I$9,S$17,'Annual WLC by Maturity Level '!$E41:$I41)</f>
        <v>0</v>
      </c>
      <c r="T23" s="224">
        <f>-T$18*SUMIF('Annual WLC by Maturity Level '!$E$9:$I$9,T$17,'Annual WLC by Maturity Level '!$E41:$I41)</f>
        <v>0</v>
      </c>
      <c r="U23" s="224">
        <f>-U$18*SUMIF('Annual WLC by Maturity Level '!$E$9:$I$9,U$17,'Annual WLC by Maturity Level '!$E41:$I41)</f>
        <v>0</v>
      </c>
      <c r="V23" s="224">
        <f>-V$18*SUMIF('Annual WLC by Maturity Level '!$E$9:$I$9,V$17,'Annual WLC by Maturity Level '!$E41:$I41)</f>
        <v>0</v>
      </c>
      <c r="W23" s="224">
        <f>-W$18*SUMIF('Annual WLC by Maturity Level '!$E$9:$I$9,W$17,'Annual WLC by Maturity Level '!$E41:$I41)</f>
        <v>0</v>
      </c>
      <c r="X23" s="224">
        <f>-X$18*SUMIF('Annual WLC by Maturity Level '!$E$9:$I$9,X$17,'Annual WLC by Maturity Level '!$E41:$I41)</f>
        <v>0</v>
      </c>
      <c r="Y23" s="224">
        <f>-Y$18*SUMIF('Annual WLC by Maturity Level '!$E$9:$I$9,Y$17,'Annual WLC by Maturity Level '!$E41:$I41)</f>
        <v>0</v>
      </c>
      <c r="Z23" s="224">
        <f>-Z$18*SUMIF('Annual WLC by Maturity Level '!$E$9:$I$9,Z$17,'Annual WLC by Maturity Level '!$E41:$I41)</f>
        <v>0</v>
      </c>
      <c r="AA23" s="224">
        <f>-AA$18*SUMIF('Annual WLC by Maturity Level '!$E$9:$I$9,AA$17,'Annual WLC by Maturity Level '!$E41:$I41)</f>
        <v>0</v>
      </c>
    </row>
    <row r="24" spans="1:27" s="225" customFormat="1">
      <c r="A24" s="223" t="str">
        <f>'Asset Info'!$D$10</f>
        <v>NR Western</v>
      </c>
      <c r="B24" s="224">
        <f ca="1">-B$18*SUMIF('Annual WLC by Maturity Level '!$E$9:$I$9,B$17,'Annual WLC by Maturity Level '!$E42:$I42)</f>
        <v>-24500</v>
      </c>
      <c r="C24" s="224">
        <f ca="1">-C$18*SUMIF('Annual WLC by Maturity Level '!$E$9:$I$9,C$17,'Annual WLC by Maturity Level '!$E42:$I42)</f>
        <v>-24500</v>
      </c>
      <c r="D24" s="224">
        <f ca="1">-D$18*SUMIF('Annual WLC by Maturity Level '!$E$9:$I$9,D$17,'Annual WLC by Maturity Level '!$E42:$I42)</f>
        <v>-17150</v>
      </c>
      <c r="E24" s="224">
        <f ca="1">-E$18*SUMIF('Annual WLC by Maturity Level '!$E$9:$I$9,E$17,'Annual WLC by Maturity Level '!$E42:$I42)</f>
        <v>-17150</v>
      </c>
      <c r="F24" s="224">
        <f ca="1">-F$18*SUMIF('Annual WLC by Maturity Level '!$E$9:$I$9,F$17,'Annual WLC by Maturity Level '!$E42:$I42)</f>
        <v>-5600</v>
      </c>
      <c r="G24" s="224">
        <f ca="1">-G$18*SUMIF('Annual WLC by Maturity Level '!$E$9:$I$9,G$17,'Annual WLC by Maturity Level '!$E42:$I42)</f>
        <v>-5600</v>
      </c>
      <c r="H24" s="224">
        <f ca="1">-H$18*SUMIF('Annual WLC by Maturity Level '!$E$9:$I$9,H$17,'Annual WLC by Maturity Level '!$E42:$I42)</f>
        <v>-16099.999999999998</v>
      </c>
      <c r="I24" s="224">
        <f ca="1">-I$18*SUMIF('Annual WLC by Maturity Level '!$E$9:$I$9,I$17,'Annual WLC by Maturity Level '!$E42:$I42)</f>
        <v>-16099.999999999998</v>
      </c>
      <c r="J24" s="224">
        <f ca="1">-J$18*SUMIF('Annual WLC by Maturity Level '!$E$9:$I$9,J$17,'Annual WLC by Maturity Level '!$E42:$I42)</f>
        <v>-9100</v>
      </c>
      <c r="K24" s="224">
        <f ca="1">-K$18*SUMIF('Annual WLC by Maturity Level '!$E$9:$I$9,K$17,'Annual WLC by Maturity Level '!$E42:$I42)</f>
        <v>-9100</v>
      </c>
      <c r="L24" s="224">
        <f ca="1">-L$18*SUMIF('Annual WLC by Maturity Level '!$E$9:$I$9,L$17,'Annual WLC by Maturity Level '!$E42:$I42)</f>
        <v>-9100</v>
      </c>
      <c r="M24" s="224">
        <f>-M$18*SUMIF('Annual WLC by Maturity Level '!$E$9:$I$9,M$17,'Annual WLC by Maturity Level '!$E42:$I42)</f>
        <v>0</v>
      </c>
      <c r="N24" s="224">
        <f>-N$18*SUMIF('Annual WLC by Maturity Level '!$E$9:$I$9,N$17,'Annual WLC by Maturity Level '!$E42:$I42)</f>
        <v>0</v>
      </c>
      <c r="O24" s="224">
        <f>-O$18*SUMIF('Annual WLC by Maturity Level '!$E$9:$I$9,O$17,'Annual WLC by Maturity Level '!$E42:$I42)</f>
        <v>0</v>
      </c>
      <c r="P24" s="224">
        <f>-P$18*SUMIF('Annual WLC by Maturity Level '!$E$9:$I$9,P$17,'Annual WLC by Maturity Level '!$E42:$I42)</f>
        <v>0</v>
      </c>
      <c r="Q24" s="224">
        <f>-Q$18*SUMIF('Annual WLC by Maturity Level '!$E$9:$I$9,Q$17,'Annual WLC by Maturity Level '!$E42:$I42)</f>
        <v>0</v>
      </c>
      <c r="R24" s="224">
        <f>-R$18*SUMIF('Annual WLC by Maturity Level '!$E$9:$I$9,R$17,'Annual WLC by Maturity Level '!$E42:$I42)</f>
        <v>0</v>
      </c>
      <c r="S24" s="224">
        <f>-S$18*SUMIF('Annual WLC by Maturity Level '!$E$9:$I$9,S$17,'Annual WLC by Maturity Level '!$E42:$I42)</f>
        <v>0</v>
      </c>
      <c r="T24" s="224">
        <f>-T$18*SUMIF('Annual WLC by Maturity Level '!$E$9:$I$9,T$17,'Annual WLC by Maturity Level '!$E42:$I42)</f>
        <v>0</v>
      </c>
      <c r="U24" s="224">
        <f>-U$18*SUMIF('Annual WLC by Maturity Level '!$E$9:$I$9,U$17,'Annual WLC by Maturity Level '!$E42:$I42)</f>
        <v>0</v>
      </c>
      <c r="V24" s="224">
        <f>-V$18*SUMIF('Annual WLC by Maturity Level '!$E$9:$I$9,V$17,'Annual WLC by Maturity Level '!$E42:$I42)</f>
        <v>0</v>
      </c>
      <c r="W24" s="224">
        <f>-W$18*SUMIF('Annual WLC by Maturity Level '!$E$9:$I$9,W$17,'Annual WLC by Maturity Level '!$E42:$I42)</f>
        <v>0</v>
      </c>
      <c r="X24" s="224">
        <f>-X$18*SUMIF('Annual WLC by Maturity Level '!$E$9:$I$9,X$17,'Annual WLC by Maturity Level '!$E42:$I42)</f>
        <v>0</v>
      </c>
      <c r="Y24" s="224">
        <f>-Y$18*SUMIF('Annual WLC by Maturity Level '!$E$9:$I$9,Y$17,'Annual WLC by Maturity Level '!$E42:$I42)</f>
        <v>0</v>
      </c>
      <c r="Z24" s="224">
        <f>-Z$18*SUMIF('Annual WLC by Maturity Level '!$E$9:$I$9,Z$17,'Annual WLC by Maturity Level '!$E42:$I42)</f>
        <v>0</v>
      </c>
      <c r="AA24" s="224">
        <f>-AA$18*SUMIF('Annual WLC by Maturity Level '!$E$9:$I$9,AA$17,'Annual WLC by Maturity Level '!$E42:$I42)</f>
        <v>0</v>
      </c>
    </row>
    <row r="25" spans="1:27" s="225" customFormat="1">
      <c r="A25" s="223" t="str">
        <f>'Asset Info'!$E$10</f>
        <v>Balfour Beatty</v>
      </c>
      <c r="B25" s="224">
        <f ca="1">-B$18*SUMIF('Annual WLC by Maturity Level '!$E$9:$I$9,B$17,'Annual WLC by Maturity Level '!$E43:$I43)</f>
        <v>0</v>
      </c>
      <c r="C25" s="224">
        <f ca="1">-C$18*SUMIF('Annual WLC by Maturity Level '!$E$9:$I$9,C$17,'Annual WLC by Maturity Level '!$E43:$I43)</f>
        <v>0</v>
      </c>
      <c r="D25" s="224">
        <f ca="1">-D$18*SUMIF('Annual WLC by Maturity Level '!$E$9:$I$9,D$17,'Annual WLC by Maturity Level '!$E43:$I43)</f>
        <v>0</v>
      </c>
      <c r="E25" s="224">
        <f ca="1">-E$18*SUMIF('Annual WLC by Maturity Level '!$E$9:$I$9,E$17,'Annual WLC by Maturity Level '!$E43:$I43)</f>
        <v>0</v>
      </c>
      <c r="F25" s="224">
        <f ca="1">-F$18*SUMIF('Annual WLC by Maturity Level '!$E$9:$I$9,F$17,'Annual WLC by Maturity Level '!$E43:$I43)</f>
        <v>0</v>
      </c>
      <c r="G25" s="224">
        <f ca="1">-G$18*SUMIF('Annual WLC by Maturity Level '!$E$9:$I$9,G$17,'Annual WLC by Maturity Level '!$E43:$I43)</f>
        <v>0</v>
      </c>
      <c r="H25" s="224">
        <f ca="1">-H$18*SUMIF('Annual WLC by Maturity Level '!$E$9:$I$9,H$17,'Annual WLC by Maturity Level '!$E43:$I43)</f>
        <v>0</v>
      </c>
      <c r="I25" s="224">
        <f ca="1">-I$18*SUMIF('Annual WLC by Maturity Level '!$E$9:$I$9,I$17,'Annual WLC by Maturity Level '!$E43:$I43)</f>
        <v>0</v>
      </c>
      <c r="J25" s="224">
        <f ca="1">-J$18*SUMIF('Annual WLC by Maturity Level '!$E$9:$I$9,J$17,'Annual WLC by Maturity Level '!$E43:$I43)</f>
        <v>0</v>
      </c>
      <c r="K25" s="224">
        <f ca="1">-K$18*SUMIF('Annual WLC by Maturity Level '!$E$9:$I$9,K$17,'Annual WLC by Maturity Level '!$E43:$I43)</f>
        <v>0</v>
      </c>
      <c r="L25" s="224">
        <f ca="1">-L$18*SUMIF('Annual WLC by Maturity Level '!$E$9:$I$9,L$17,'Annual WLC by Maturity Level '!$E43:$I43)</f>
        <v>0</v>
      </c>
      <c r="M25" s="224">
        <f>-M$18*SUMIF('Annual WLC by Maturity Level '!$E$9:$I$9,M$17,'Annual WLC by Maturity Level '!$E43:$I43)</f>
        <v>0</v>
      </c>
      <c r="N25" s="224">
        <f>-N$18*SUMIF('Annual WLC by Maturity Level '!$E$9:$I$9,N$17,'Annual WLC by Maturity Level '!$E43:$I43)</f>
        <v>0</v>
      </c>
      <c r="O25" s="224">
        <f>-O$18*SUMIF('Annual WLC by Maturity Level '!$E$9:$I$9,O$17,'Annual WLC by Maturity Level '!$E43:$I43)</f>
        <v>0</v>
      </c>
      <c r="P25" s="224">
        <f>-P$18*SUMIF('Annual WLC by Maturity Level '!$E$9:$I$9,P$17,'Annual WLC by Maturity Level '!$E43:$I43)</f>
        <v>0</v>
      </c>
      <c r="Q25" s="224">
        <f>-Q$18*SUMIF('Annual WLC by Maturity Level '!$E$9:$I$9,Q$17,'Annual WLC by Maturity Level '!$E43:$I43)</f>
        <v>0</v>
      </c>
      <c r="R25" s="224">
        <f>-R$18*SUMIF('Annual WLC by Maturity Level '!$E$9:$I$9,R$17,'Annual WLC by Maturity Level '!$E43:$I43)</f>
        <v>0</v>
      </c>
      <c r="S25" s="224">
        <f>-S$18*SUMIF('Annual WLC by Maturity Level '!$E$9:$I$9,S$17,'Annual WLC by Maturity Level '!$E43:$I43)</f>
        <v>0</v>
      </c>
      <c r="T25" s="224">
        <f>-T$18*SUMIF('Annual WLC by Maturity Level '!$E$9:$I$9,T$17,'Annual WLC by Maturity Level '!$E43:$I43)</f>
        <v>0</v>
      </c>
      <c r="U25" s="224">
        <f>-U$18*SUMIF('Annual WLC by Maturity Level '!$E$9:$I$9,U$17,'Annual WLC by Maturity Level '!$E43:$I43)</f>
        <v>0</v>
      </c>
      <c r="V25" s="224">
        <f>-V$18*SUMIF('Annual WLC by Maturity Level '!$E$9:$I$9,V$17,'Annual WLC by Maturity Level '!$E43:$I43)</f>
        <v>0</v>
      </c>
      <c r="W25" s="224">
        <f>-W$18*SUMIF('Annual WLC by Maturity Level '!$E$9:$I$9,W$17,'Annual WLC by Maturity Level '!$E43:$I43)</f>
        <v>0</v>
      </c>
      <c r="X25" s="224">
        <f>-X$18*SUMIF('Annual WLC by Maturity Level '!$E$9:$I$9,X$17,'Annual WLC by Maturity Level '!$E43:$I43)</f>
        <v>0</v>
      </c>
      <c r="Y25" s="224">
        <f>-Y$18*SUMIF('Annual WLC by Maturity Level '!$E$9:$I$9,Y$17,'Annual WLC by Maturity Level '!$E43:$I43)</f>
        <v>0</v>
      </c>
      <c r="Z25" s="224">
        <f>-Z$18*SUMIF('Annual WLC by Maturity Level '!$E$9:$I$9,Z$17,'Annual WLC by Maturity Level '!$E43:$I43)</f>
        <v>0</v>
      </c>
      <c r="AA25" s="224">
        <f>-AA$18*SUMIF('Annual WLC by Maturity Level '!$E$9:$I$9,AA$17,'Annual WLC by Maturity Level '!$E43:$I43)</f>
        <v>0</v>
      </c>
    </row>
    <row r="26" spans="1:27" s="225" customFormat="1">
      <c r="A26" s="223" t="str">
        <f>'Asset Info'!$F$10</f>
        <v>RSSB</v>
      </c>
      <c r="B26" s="224">
        <f ca="1">-B$18*SUMIF('Annual WLC by Maturity Level '!$E$9:$I$9,B$17,'Annual WLC by Maturity Level '!$E44:$I44)</f>
        <v>-10500</v>
      </c>
      <c r="C26" s="224">
        <f ca="1">-C$18*SUMIF('Annual WLC by Maturity Level '!$E$9:$I$9,C$17,'Annual WLC by Maturity Level '!$E44:$I44)</f>
        <v>-10500</v>
      </c>
      <c r="D26" s="224">
        <f ca="1">-D$18*SUMIF('Annual WLC by Maturity Level '!$E$9:$I$9,D$17,'Annual WLC by Maturity Level '!$E44:$I44)</f>
        <v>-7350</v>
      </c>
      <c r="E26" s="224">
        <f ca="1">-E$18*SUMIF('Annual WLC by Maturity Level '!$E$9:$I$9,E$17,'Annual WLC by Maturity Level '!$E44:$I44)</f>
        <v>-7350</v>
      </c>
      <c r="F26" s="224">
        <f ca="1">-F$18*SUMIF('Annual WLC by Maturity Level '!$E$9:$I$9,F$17,'Annual WLC by Maturity Level '!$E44:$I44)</f>
        <v>-2400</v>
      </c>
      <c r="G26" s="224">
        <f ca="1">-G$18*SUMIF('Annual WLC by Maturity Level '!$E$9:$I$9,G$17,'Annual WLC by Maturity Level '!$E44:$I44)</f>
        <v>-2400</v>
      </c>
      <c r="H26" s="224">
        <f ca="1">-H$18*SUMIF('Annual WLC by Maturity Level '!$E$9:$I$9,H$17,'Annual WLC by Maturity Level '!$E44:$I44)</f>
        <v>-6900</v>
      </c>
      <c r="I26" s="224">
        <f ca="1">-I$18*SUMIF('Annual WLC by Maturity Level '!$E$9:$I$9,I$17,'Annual WLC by Maturity Level '!$E44:$I44)</f>
        <v>-6900</v>
      </c>
      <c r="J26" s="224">
        <f ca="1">-J$18*SUMIF('Annual WLC by Maturity Level '!$E$9:$I$9,J$17,'Annual WLC by Maturity Level '!$E44:$I44)</f>
        <v>-3900</v>
      </c>
      <c r="K26" s="224">
        <f ca="1">-K$18*SUMIF('Annual WLC by Maturity Level '!$E$9:$I$9,K$17,'Annual WLC by Maturity Level '!$E44:$I44)</f>
        <v>-3900</v>
      </c>
      <c r="L26" s="224">
        <f ca="1">-L$18*SUMIF('Annual WLC by Maturity Level '!$E$9:$I$9,L$17,'Annual WLC by Maturity Level '!$E44:$I44)</f>
        <v>-3900</v>
      </c>
      <c r="M26" s="224">
        <f>-M$18*SUMIF('Annual WLC by Maturity Level '!$E$9:$I$9,M$17,'Annual WLC by Maturity Level '!$E44:$I44)</f>
        <v>0</v>
      </c>
      <c r="N26" s="224">
        <f>-N$18*SUMIF('Annual WLC by Maturity Level '!$E$9:$I$9,N$17,'Annual WLC by Maturity Level '!$E44:$I44)</f>
        <v>0</v>
      </c>
      <c r="O26" s="224">
        <f>-O$18*SUMIF('Annual WLC by Maturity Level '!$E$9:$I$9,O$17,'Annual WLC by Maturity Level '!$E44:$I44)</f>
        <v>0</v>
      </c>
      <c r="P26" s="224">
        <f>-P$18*SUMIF('Annual WLC by Maturity Level '!$E$9:$I$9,P$17,'Annual WLC by Maturity Level '!$E44:$I44)</f>
        <v>0</v>
      </c>
      <c r="Q26" s="224">
        <f>-Q$18*SUMIF('Annual WLC by Maturity Level '!$E$9:$I$9,Q$17,'Annual WLC by Maturity Level '!$E44:$I44)</f>
        <v>0</v>
      </c>
      <c r="R26" s="224">
        <f>-R$18*SUMIF('Annual WLC by Maturity Level '!$E$9:$I$9,R$17,'Annual WLC by Maturity Level '!$E44:$I44)</f>
        <v>0</v>
      </c>
      <c r="S26" s="224">
        <f>-S$18*SUMIF('Annual WLC by Maturity Level '!$E$9:$I$9,S$17,'Annual WLC by Maturity Level '!$E44:$I44)</f>
        <v>0</v>
      </c>
      <c r="T26" s="224">
        <f>-T$18*SUMIF('Annual WLC by Maturity Level '!$E$9:$I$9,T$17,'Annual WLC by Maturity Level '!$E44:$I44)</f>
        <v>0</v>
      </c>
      <c r="U26" s="224">
        <f>-U$18*SUMIF('Annual WLC by Maturity Level '!$E$9:$I$9,U$17,'Annual WLC by Maturity Level '!$E44:$I44)</f>
        <v>0</v>
      </c>
      <c r="V26" s="224">
        <f>-V$18*SUMIF('Annual WLC by Maturity Level '!$E$9:$I$9,V$17,'Annual WLC by Maturity Level '!$E44:$I44)</f>
        <v>0</v>
      </c>
      <c r="W26" s="224">
        <f>-W$18*SUMIF('Annual WLC by Maturity Level '!$E$9:$I$9,W$17,'Annual WLC by Maturity Level '!$E44:$I44)</f>
        <v>0</v>
      </c>
      <c r="X26" s="224">
        <f>-X$18*SUMIF('Annual WLC by Maturity Level '!$E$9:$I$9,X$17,'Annual WLC by Maturity Level '!$E44:$I44)</f>
        <v>0</v>
      </c>
      <c r="Y26" s="224">
        <f>-Y$18*SUMIF('Annual WLC by Maturity Level '!$E$9:$I$9,Y$17,'Annual WLC by Maturity Level '!$E44:$I44)</f>
        <v>0</v>
      </c>
      <c r="Z26" s="224">
        <f>-Z$18*SUMIF('Annual WLC by Maturity Level '!$E$9:$I$9,Z$17,'Annual WLC by Maturity Level '!$E44:$I44)</f>
        <v>0</v>
      </c>
      <c r="AA26" s="224">
        <f>-AA$18*SUMIF('Annual WLC by Maturity Level '!$E$9:$I$9,AA$17,'Annual WLC by Maturity Level '!$E44:$I44)</f>
        <v>0</v>
      </c>
    </row>
    <row r="27" spans="1:27" s="53" customFormat="1">
      <c r="A27" s="150" t="s">
        <v>178</v>
      </c>
      <c r="B27" s="149">
        <f ca="1">1/(1+'Financial Data'!$C$8)^B14*B22</f>
        <v>-35000</v>
      </c>
      <c r="C27" s="149">
        <f ca="1">1/(1+'Financial Data'!$C$8)^C14*C22</f>
        <v>-33816.425120772947</v>
      </c>
      <c r="D27" s="149">
        <f ca="1">1/(1+'Financial Data'!$C$8)^D14*D22</f>
        <v>-22871.012158976875</v>
      </c>
      <c r="E27" s="149">
        <f ca="1">1/(1+'Financial Data'!$C$8)^E14*E22</f>
        <v>-22097.596288866549</v>
      </c>
      <c r="F27" s="149">
        <f ca="1">1/(1+'Financial Data'!$C$8)^F14*F22</f>
        <v>-6971.5378215885794</v>
      </c>
      <c r="G27" s="149">
        <f ca="1">1/(1+'Financial Data'!$C$8)^G14*G22</f>
        <v>-6735.7853348681938</v>
      </c>
      <c r="H27" s="149">
        <f ca="1">1/(1+'Financial Data'!$C$8)^H14*H22</f>
        <v>-18710.514819078315</v>
      </c>
      <c r="I27" s="149">
        <f ca="1">1/(1+'Financial Data'!$C$8)^I14*I22</f>
        <v>-18077.79209572784</v>
      </c>
      <c r="J27" s="149">
        <f ca="1">1/(1+'Financial Data'!$C$8)^J14*J22</f>
        <v>-9872.3502308112566</v>
      </c>
      <c r="K27" s="149">
        <f ca="1">1/(1+'Financial Data'!$C$8)^K14*K22</f>
        <v>-9538.5026384649846</v>
      </c>
      <c r="L27" s="149">
        <f ca="1">1/(1+'Financial Data'!$C$8)^L14*L22</f>
        <v>-9215.9445782270377</v>
      </c>
      <c r="M27" s="149">
        <f>1/(1+'Financial Data'!$C$8)^M14*M22</f>
        <v>0</v>
      </c>
      <c r="N27" s="149">
        <f>1/(1+'Financial Data'!$C$8)^N14*N22</f>
        <v>0</v>
      </c>
      <c r="O27" s="149">
        <f>1/(1+'Financial Data'!$C$8)^O14*O22</f>
        <v>0</v>
      </c>
      <c r="P27" s="149">
        <f>1/(1+'Financial Data'!$C$8)^P14*P22</f>
        <v>0</v>
      </c>
      <c r="Q27" s="149">
        <f>1/(1+'Financial Data'!$C$8)^Q14*Q22</f>
        <v>0</v>
      </c>
      <c r="R27" s="149">
        <f>1/(1+'Financial Data'!$C$8)^R14*R22</f>
        <v>0</v>
      </c>
      <c r="S27" s="149">
        <f>1/(1+'Financial Data'!$C$8)^S14*S22</f>
        <v>0</v>
      </c>
      <c r="T27" s="149">
        <f>1/(1+'Financial Data'!$C$8)^T14*T22</f>
        <v>0</v>
      </c>
      <c r="U27" s="149">
        <f>1/(1+'Financial Data'!$C$8)^U14*U22</f>
        <v>0</v>
      </c>
      <c r="V27" s="149">
        <f>1/(1+'Financial Data'!$C$8)^V14*V22</f>
        <v>0</v>
      </c>
      <c r="W27" s="149">
        <f>1/(1+'Financial Data'!$C$8)^W14*W22</f>
        <v>0</v>
      </c>
      <c r="X27" s="149">
        <f>1/(1+'Financial Data'!$C$8)^X14*X22</f>
        <v>0</v>
      </c>
      <c r="Y27" s="149">
        <f>1/(1+'Financial Data'!$C$8)^Y14*Y22</f>
        <v>0</v>
      </c>
      <c r="Z27" s="149">
        <f>1/(1+'Financial Data'!$C$8)^Z14*Z22</f>
        <v>0</v>
      </c>
      <c r="AA27" s="149">
        <f>1/(1+'Financial Data'!$C$8)^AA14*AA22</f>
        <v>0</v>
      </c>
    </row>
    <row r="28" spans="1:27" s="225" customFormat="1">
      <c r="A28" s="223" t="str">
        <f>'Asset Info'!$C$10</f>
        <v>Crossrail</v>
      </c>
      <c r="B28" s="224">
        <f ca="1">-B$18*SUMIF('Annual WLC by Maturity Level '!$E$9:$I$9,B$17,'Annual WLC by Maturity Level '!$E41:$I41)</f>
        <v>0</v>
      </c>
      <c r="C28" s="224">
        <f ca="1">1/(1+'Financial Data'!$C$8)^C$14*C23</f>
        <v>0</v>
      </c>
      <c r="D28" s="224">
        <f ca="1">1/(1+'Financial Data'!$C$8)^D$14*D23</f>
        <v>0</v>
      </c>
      <c r="E28" s="224">
        <f ca="1">1/(1+'Financial Data'!$C$8)^E$14*E23</f>
        <v>0</v>
      </c>
      <c r="F28" s="224">
        <f ca="1">1/(1+'Financial Data'!$C$8)^F$14*F23</f>
        <v>0</v>
      </c>
      <c r="G28" s="224">
        <f ca="1">1/(1+'Financial Data'!$C$8)^G$14*G23</f>
        <v>0</v>
      </c>
      <c r="H28" s="224">
        <f ca="1">1/(1+'Financial Data'!$C$8)^H$14*H23</f>
        <v>0</v>
      </c>
      <c r="I28" s="224">
        <f ca="1">1/(1+'Financial Data'!$C$8)^I$14*I23</f>
        <v>0</v>
      </c>
      <c r="J28" s="224">
        <f ca="1">1/(1+'Financial Data'!$C$8)^J$14*J23</f>
        <v>0</v>
      </c>
      <c r="K28" s="224">
        <f ca="1">1/(1+'Financial Data'!$C$8)^K$14*K23</f>
        <v>0</v>
      </c>
      <c r="L28" s="224">
        <f ca="1">1/(1+'Financial Data'!$C$8)^L$14*L23</f>
        <v>0</v>
      </c>
      <c r="M28" s="224">
        <f>1/(1+'Financial Data'!$C$8)^M$14*M23</f>
        <v>0</v>
      </c>
      <c r="N28" s="224">
        <f>1/(1+'Financial Data'!$C$8)^N$14*N23</f>
        <v>0</v>
      </c>
      <c r="O28" s="224">
        <f>1/(1+'Financial Data'!$C$8)^O$14*O23</f>
        <v>0</v>
      </c>
      <c r="P28" s="224">
        <f>1/(1+'Financial Data'!$C$8)^P$14*P23</f>
        <v>0</v>
      </c>
      <c r="Q28" s="224">
        <f>1/(1+'Financial Data'!$C$8)^Q$14*Q23</f>
        <v>0</v>
      </c>
      <c r="R28" s="224">
        <f>1/(1+'Financial Data'!$C$8)^R$14*R23</f>
        <v>0</v>
      </c>
      <c r="S28" s="224">
        <f>1/(1+'Financial Data'!$C$8)^S$14*S23</f>
        <v>0</v>
      </c>
      <c r="T28" s="224">
        <f>1/(1+'Financial Data'!$C$8)^T$14*T23</f>
        <v>0</v>
      </c>
      <c r="U28" s="224">
        <f>1/(1+'Financial Data'!$C$8)^U$14*U23</f>
        <v>0</v>
      </c>
      <c r="V28" s="224">
        <f>1/(1+'Financial Data'!$C$8)^V$14*V23</f>
        <v>0</v>
      </c>
      <c r="W28" s="224">
        <f>1/(1+'Financial Data'!$C$8)^W$14*W23</f>
        <v>0</v>
      </c>
      <c r="X28" s="224">
        <f>1/(1+'Financial Data'!$C$8)^X$14*X23</f>
        <v>0</v>
      </c>
      <c r="Y28" s="224">
        <f>1/(1+'Financial Data'!$C$8)^Y$14*Y23</f>
        <v>0</v>
      </c>
      <c r="Z28" s="224">
        <f>1/(1+'Financial Data'!$C$8)^Z$14*Z23</f>
        <v>0</v>
      </c>
      <c r="AA28" s="224">
        <f>1/(1+'Financial Data'!$C$8)^AA$14*AA23</f>
        <v>0</v>
      </c>
    </row>
    <row r="29" spans="1:27" s="225" customFormat="1">
      <c r="A29" s="223" t="str">
        <f>'Asset Info'!$D$10</f>
        <v>NR Western</v>
      </c>
      <c r="B29" s="224">
        <f ca="1">-B$18*SUMIF('Annual WLC by Maturity Level '!$E$9:$I$9,B$17,'Annual WLC by Maturity Level '!$E42:$I42)</f>
        <v>-24500</v>
      </c>
      <c r="C29" s="224">
        <f ca="1">1/(1+'Financial Data'!$C$8)^C$14*C24</f>
        <v>-23671.497584541066</v>
      </c>
      <c r="D29" s="224">
        <f ca="1">1/(1+'Financial Data'!$C$8)^D$14*D24</f>
        <v>-16009.708511283812</v>
      </c>
      <c r="E29" s="224">
        <f ca="1">1/(1+'Financial Data'!$C$8)^E$14*E24</f>
        <v>-15468.317402206583</v>
      </c>
      <c r="F29" s="224">
        <f ca="1">1/(1+'Financial Data'!$C$8)^F$14*F24</f>
        <v>-4880.076475112005</v>
      </c>
      <c r="G29" s="224">
        <f ca="1">1/(1+'Financial Data'!$C$8)^G$14*G24</f>
        <v>-4715.0497344077357</v>
      </c>
      <c r="H29" s="224">
        <f ca="1">1/(1+'Financial Data'!$C$8)^H$14*H24</f>
        <v>-13097.360373354819</v>
      </c>
      <c r="I29" s="224">
        <f ca="1">1/(1+'Financial Data'!$C$8)^I$14*I24</f>
        <v>-12654.454467009487</v>
      </c>
      <c r="J29" s="224">
        <f ca="1">1/(1+'Financial Data'!$C$8)^J$14*J24</f>
        <v>-6910.6451615678798</v>
      </c>
      <c r="K29" s="224">
        <f ca="1">1/(1+'Financial Data'!$C$8)^K$14*K24</f>
        <v>-6676.951846925489</v>
      </c>
      <c r="L29" s="224">
        <f ca="1">1/(1+'Financial Data'!$C$8)^L$14*L24</f>
        <v>-6451.1612047589269</v>
      </c>
      <c r="M29" s="224">
        <f>1/(1+'Financial Data'!$C$8)^M$14*M24</f>
        <v>0</v>
      </c>
      <c r="N29" s="224">
        <f>1/(1+'Financial Data'!$C$8)^N$14*N24</f>
        <v>0</v>
      </c>
      <c r="O29" s="224">
        <f>1/(1+'Financial Data'!$C$8)^O$14*O24</f>
        <v>0</v>
      </c>
      <c r="P29" s="224">
        <f>1/(1+'Financial Data'!$C$8)^P$14*P24</f>
        <v>0</v>
      </c>
      <c r="Q29" s="224">
        <f>1/(1+'Financial Data'!$C$8)^Q$14*Q24</f>
        <v>0</v>
      </c>
      <c r="R29" s="224">
        <f>1/(1+'Financial Data'!$C$8)^R$14*R24</f>
        <v>0</v>
      </c>
      <c r="S29" s="224">
        <f>1/(1+'Financial Data'!$C$8)^S$14*S24</f>
        <v>0</v>
      </c>
      <c r="T29" s="224">
        <f>1/(1+'Financial Data'!$C$8)^T$14*T24</f>
        <v>0</v>
      </c>
      <c r="U29" s="224">
        <f>1/(1+'Financial Data'!$C$8)^U$14*U24</f>
        <v>0</v>
      </c>
      <c r="V29" s="224">
        <f>1/(1+'Financial Data'!$C$8)^V$14*V24</f>
        <v>0</v>
      </c>
      <c r="W29" s="224">
        <f>1/(1+'Financial Data'!$C$8)^W$14*W24</f>
        <v>0</v>
      </c>
      <c r="X29" s="224">
        <f>1/(1+'Financial Data'!$C$8)^X$14*X24</f>
        <v>0</v>
      </c>
      <c r="Y29" s="224">
        <f>1/(1+'Financial Data'!$C$8)^Y$14*Y24</f>
        <v>0</v>
      </c>
      <c r="Z29" s="224">
        <f>1/(1+'Financial Data'!$C$8)^Z$14*Z24</f>
        <v>0</v>
      </c>
      <c r="AA29" s="224">
        <f>1/(1+'Financial Data'!$C$8)^AA$14*AA24</f>
        <v>0</v>
      </c>
    </row>
    <row r="30" spans="1:27" s="225" customFormat="1">
      <c r="A30" s="223" t="str">
        <f>'Asset Info'!$E$10</f>
        <v>Balfour Beatty</v>
      </c>
      <c r="B30" s="224">
        <f ca="1">-B$18*SUMIF('Annual WLC by Maturity Level '!$E$9:$I$9,B$17,'Annual WLC by Maturity Level '!$E43:$I43)</f>
        <v>0</v>
      </c>
      <c r="C30" s="224">
        <f ca="1">1/(1+'Financial Data'!$C$8)^C$14*C25</f>
        <v>0</v>
      </c>
      <c r="D30" s="224">
        <f ca="1">1/(1+'Financial Data'!$C$8)^D$14*D25</f>
        <v>0</v>
      </c>
      <c r="E30" s="224">
        <f ca="1">1/(1+'Financial Data'!$C$8)^E$14*E25</f>
        <v>0</v>
      </c>
      <c r="F30" s="224">
        <f ca="1">1/(1+'Financial Data'!$C$8)^F$14*F25</f>
        <v>0</v>
      </c>
      <c r="G30" s="224">
        <f ca="1">1/(1+'Financial Data'!$C$8)^G$14*G25</f>
        <v>0</v>
      </c>
      <c r="H30" s="224">
        <f ca="1">1/(1+'Financial Data'!$C$8)^H$14*H25</f>
        <v>0</v>
      </c>
      <c r="I30" s="224">
        <f ca="1">1/(1+'Financial Data'!$C$8)^I$14*I25</f>
        <v>0</v>
      </c>
      <c r="J30" s="224">
        <f ca="1">1/(1+'Financial Data'!$C$8)^J$14*J25</f>
        <v>0</v>
      </c>
      <c r="K30" s="224">
        <f ca="1">1/(1+'Financial Data'!$C$8)^K$14*K25</f>
        <v>0</v>
      </c>
      <c r="L30" s="224">
        <f ca="1">1/(1+'Financial Data'!$C$8)^L$14*L25</f>
        <v>0</v>
      </c>
      <c r="M30" s="224">
        <f>1/(1+'Financial Data'!$C$8)^M$14*M25</f>
        <v>0</v>
      </c>
      <c r="N30" s="224">
        <f>1/(1+'Financial Data'!$C$8)^N$14*N25</f>
        <v>0</v>
      </c>
      <c r="O30" s="224">
        <f>1/(1+'Financial Data'!$C$8)^O$14*O25</f>
        <v>0</v>
      </c>
      <c r="P30" s="224">
        <f>1/(1+'Financial Data'!$C$8)^P$14*P25</f>
        <v>0</v>
      </c>
      <c r="Q30" s="224">
        <f>1/(1+'Financial Data'!$C$8)^Q$14*Q25</f>
        <v>0</v>
      </c>
      <c r="R30" s="224">
        <f>1/(1+'Financial Data'!$C$8)^R$14*R25</f>
        <v>0</v>
      </c>
      <c r="S30" s="224">
        <f>1/(1+'Financial Data'!$C$8)^S$14*S25</f>
        <v>0</v>
      </c>
      <c r="T30" s="224">
        <f>1/(1+'Financial Data'!$C$8)^T$14*T25</f>
        <v>0</v>
      </c>
      <c r="U30" s="224">
        <f>1/(1+'Financial Data'!$C$8)^U$14*U25</f>
        <v>0</v>
      </c>
      <c r="V30" s="224">
        <f>1/(1+'Financial Data'!$C$8)^V$14*V25</f>
        <v>0</v>
      </c>
      <c r="W30" s="224">
        <f>1/(1+'Financial Data'!$C$8)^W$14*W25</f>
        <v>0</v>
      </c>
      <c r="X30" s="224">
        <f>1/(1+'Financial Data'!$C$8)^X$14*X25</f>
        <v>0</v>
      </c>
      <c r="Y30" s="224">
        <f>1/(1+'Financial Data'!$C$8)^Y$14*Y25</f>
        <v>0</v>
      </c>
      <c r="Z30" s="224">
        <f>1/(1+'Financial Data'!$C$8)^Z$14*Z25</f>
        <v>0</v>
      </c>
      <c r="AA30" s="224">
        <f>1/(1+'Financial Data'!$C$8)^AA$14*AA25</f>
        <v>0</v>
      </c>
    </row>
    <row r="31" spans="1:27" s="225" customFormat="1">
      <c r="A31" s="223" t="str">
        <f>'Asset Info'!$F$10</f>
        <v>RSSB</v>
      </c>
      <c r="B31" s="224">
        <f ca="1">-B$18*SUMIF('Annual WLC by Maturity Level '!$E$9:$I$9,B$17,'Annual WLC by Maturity Level '!$E44:$I44)</f>
        <v>-10500</v>
      </c>
      <c r="C31" s="224">
        <f ca="1">1/(1+'Financial Data'!$C$8)^C$14*C26</f>
        <v>-10144.927536231884</v>
      </c>
      <c r="D31" s="224">
        <f ca="1">1/(1+'Financial Data'!$C$8)^D$14*D26</f>
        <v>-6861.303647693062</v>
      </c>
      <c r="E31" s="224">
        <f ca="1">1/(1+'Financial Data'!$C$8)^E$14*E26</f>
        <v>-6629.278886659964</v>
      </c>
      <c r="F31" s="224">
        <f ca="1">1/(1+'Financial Data'!$C$8)^F$14*F26</f>
        <v>-2091.4613464765739</v>
      </c>
      <c r="G31" s="224">
        <f ca="1">1/(1+'Financial Data'!$C$8)^G$14*G26</f>
        <v>-2020.735600460458</v>
      </c>
      <c r="H31" s="224">
        <f ca="1">1/(1+'Financial Data'!$C$8)^H$14*H26</f>
        <v>-5613.1544457234941</v>
      </c>
      <c r="I31" s="224">
        <f ca="1">1/(1+'Financial Data'!$C$8)^I$14*I26</f>
        <v>-5423.3376287183519</v>
      </c>
      <c r="J31" s="224">
        <f ca="1">1/(1+'Financial Data'!$C$8)^J$14*J26</f>
        <v>-2961.7050692433772</v>
      </c>
      <c r="K31" s="224">
        <f ca="1">1/(1+'Financial Data'!$C$8)^K$14*K26</f>
        <v>-2861.5507915394951</v>
      </c>
      <c r="L31" s="224">
        <f ca="1">1/(1+'Financial Data'!$C$8)^L$14*L26</f>
        <v>-2764.7833734681117</v>
      </c>
      <c r="M31" s="224">
        <f>1/(1+'Financial Data'!$C$8)^M$14*M26</f>
        <v>0</v>
      </c>
      <c r="N31" s="224">
        <f>1/(1+'Financial Data'!$C$8)^N$14*N26</f>
        <v>0</v>
      </c>
      <c r="O31" s="224">
        <f>1/(1+'Financial Data'!$C$8)^O$14*O26</f>
        <v>0</v>
      </c>
      <c r="P31" s="224">
        <f>1/(1+'Financial Data'!$C$8)^P$14*P26</f>
        <v>0</v>
      </c>
      <c r="Q31" s="224">
        <f>1/(1+'Financial Data'!$C$8)^Q$14*Q26</f>
        <v>0</v>
      </c>
      <c r="R31" s="224">
        <f>1/(1+'Financial Data'!$C$8)^R$14*R26</f>
        <v>0</v>
      </c>
      <c r="S31" s="224">
        <f>1/(1+'Financial Data'!$C$8)^S$14*S26</f>
        <v>0</v>
      </c>
      <c r="T31" s="224">
        <f>1/(1+'Financial Data'!$C$8)^T$14*T26</f>
        <v>0</v>
      </c>
      <c r="U31" s="224">
        <f>1/(1+'Financial Data'!$C$8)^U$14*U26</f>
        <v>0</v>
      </c>
      <c r="V31" s="224">
        <f>1/(1+'Financial Data'!$C$8)^V$14*V26</f>
        <v>0</v>
      </c>
      <c r="W31" s="224">
        <f>1/(1+'Financial Data'!$C$8)^W$14*W26</f>
        <v>0</v>
      </c>
      <c r="X31" s="224">
        <f>1/(1+'Financial Data'!$C$8)^X$14*X26</f>
        <v>0</v>
      </c>
      <c r="Y31" s="224">
        <f>1/(1+'Financial Data'!$C$8)^Y$14*Y26</f>
        <v>0</v>
      </c>
      <c r="Z31" s="224">
        <f>1/(1+'Financial Data'!$C$8)^Z$14*Z26</f>
        <v>0</v>
      </c>
      <c r="AA31" s="224">
        <f>1/(1+'Financial Data'!$C$8)^AA$14*AA26</f>
        <v>0</v>
      </c>
    </row>
    <row r="32" spans="1:27">
      <c r="A32" s="22"/>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s="53" customFormat="1">
      <c r="A33" s="151" t="s">
        <v>143</v>
      </c>
      <c r="B33" s="149">
        <f ca="1">-'Annual WLC by Maturity Level '!$C$34
+B18*INDEX('Annual WLC by Maturity Level '!$E$84:$I$84,MATCH(B17,'Annual WLC by Maturity Level '!$E$9:$I$9,FALSE))</f>
        <v>-9947253.459999999</v>
      </c>
      <c r="C33" s="149">
        <f ca="1">B33
+C18*INDEX('Annual WLC by Maturity Level '!$E$84:$I$84,MATCH(C17,'Annual WLC by Maturity Level '!$E$9:$I$9,FALSE))</f>
        <v>-9945144.5699999984</v>
      </c>
      <c r="D33" s="149">
        <f ca="1">C33
+D18*INDEX('Annual WLC by Maturity Level '!$E$84:$I$84,MATCH(D17,'Annual WLC by Maturity Level '!$E$9:$I$9,FALSE))</f>
        <v>-9850229.2359999977</v>
      </c>
      <c r="E33" s="149">
        <f ca="1">D33
+E18*INDEX('Annual WLC by Maturity Level '!$E$84:$I$84,MATCH(E17,'Annual WLC by Maturity Level '!$E$9:$I$9,FALSE))</f>
        <v>-9755313.901999997</v>
      </c>
      <c r="F33" s="149">
        <f ca="1">E33
+F18*INDEX('Annual WLC by Maturity Level '!$E$84:$I$84,MATCH(F17,'Annual WLC by Maturity Level '!$E$9:$I$9,FALSE))</f>
        <v>-9702198.5679999962</v>
      </c>
      <c r="G33" s="149">
        <f ca="1">F33
+G18*INDEX('Annual WLC by Maturity Level '!$E$84:$I$84,MATCH(G17,'Annual WLC by Maturity Level '!$E$9:$I$9,FALSE))</f>
        <v>-9649083.2339999955</v>
      </c>
      <c r="H33" s="149">
        <f ca="1">G33
+H18*INDEX('Annual WLC by Maturity Level '!$E$84:$I$84,MATCH(H17,'Annual WLC by Maturity Level '!$E$9:$I$9,FALSE))</f>
        <v>-9536187.2319999952</v>
      </c>
      <c r="I33" s="149">
        <f ca="1">H33
+I18*INDEX('Annual WLC by Maturity Level '!$E$84:$I$84,MATCH(I17,'Annual WLC by Maturity Level '!$E$9:$I$9,FALSE))</f>
        <v>-9423291.2299999949</v>
      </c>
      <c r="J33" s="149">
        <f ca="1">I33
+J18*INDEX('Annual WLC by Maturity Level '!$E$84:$I$84,MATCH(J17,'Annual WLC by Maturity Level '!$E$9:$I$9,FALSE))</f>
        <v>-9271357.8966666609</v>
      </c>
      <c r="K33" s="149">
        <f ca="1">J33
+K18*INDEX('Annual WLC by Maturity Level '!$E$84:$I$84,MATCH(K17,'Annual WLC by Maturity Level '!$E$9:$I$9,FALSE))</f>
        <v>-9119424.563333327</v>
      </c>
      <c r="L33" s="149">
        <f ca="1">K33
+L18*INDEX('Annual WLC by Maturity Level '!$E$84:$I$84,MATCH(L17,'Annual WLC by Maturity Level '!$E$9:$I$9,FALSE))</f>
        <v>-8967491.229999993</v>
      </c>
      <c r="M33" s="149">
        <f ca="1">L33
+M18*INDEX('Annual WLC by Maturity Level '!$E$84:$I$84,MATCH(M17,'Annual WLC by Maturity Level '!$E$9:$I$9,FALSE))</f>
        <v>-8967491.229999993</v>
      </c>
      <c r="N33" s="149">
        <f ca="1">M33
+N18*INDEX('Annual WLC by Maturity Level '!$E$84:$I$84,MATCH(N17,'Annual WLC by Maturity Level '!$E$9:$I$9,FALSE))</f>
        <v>-8967491.229999993</v>
      </c>
      <c r="O33" s="149">
        <f ca="1">N33
+O18*INDEX('Annual WLC by Maturity Level '!$E$84:$I$84,MATCH(O17,'Annual WLC by Maturity Level '!$E$9:$I$9,FALSE))</f>
        <v>-8967491.229999993</v>
      </c>
      <c r="P33" s="149">
        <f ca="1">O33
+P18*INDEX('Annual WLC by Maturity Level '!$E$84:$I$84,MATCH(P17,'Annual WLC by Maturity Level '!$E$9:$I$9,FALSE))</f>
        <v>-8967491.229999993</v>
      </c>
      <c r="Q33" s="149">
        <f ca="1">P33
+Q18*INDEX('Annual WLC by Maturity Level '!$E$84:$I$84,MATCH(Q17,'Annual WLC by Maturity Level '!$E$9:$I$9,FALSE))</f>
        <v>-8967491.229999993</v>
      </c>
      <c r="R33" s="149">
        <f ca="1">Q33
+R18*INDEX('Annual WLC by Maturity Level '!$E$84:$I$84,MATCH(R17,'Annual WLC by Maturity Level '!$E$9:$I$9,FALSE))</f>
        <v>-8967491.229999993</v>
      </c>
      <c r="S33" s="149">
        <f ca="1">R33
+S18*INDEX('Annual WLC by Maturity Level '!$E$84:$I$84,MATCH(S17,'Annual WLC by Maturity Level '!$E$9:$I$9,FALSE))</f>
        <v>-8967491.229999993</v>
      </c>
      <c r="T33" s="149">
        <f ca="1">S33
+T18*INDEX('Annual WLC by Maturity Level '!$E$84:$I$84,MATCH(T17,'Annual WLC by Maturity Level '!$E$9:$I$9,FALSE))</f>
        <v>-8967491.229999993</v>
      </c>
      <c r="U33" s="149">
        <f ca="1">T33
+U18*INDEX('Annual WLC by Maturity Level '!$E$84:$I$84,MATCH(U17,'Annual WLC by Maturity Level '!$E$9:$I$9,FALSE))</f>
        <v>-8967491.229999993</v>
      </c>
      <c r="V33" s="149">
        <f ca="1">U33
+V18*INDEX('Annual WLC by Maturity Level '!$E$84:$I$84,MATCH(V17,'Annual WLC by Maturity Level '!$E$9:$I$9,FALSE))</f>
        <v>-8967491.229999993</v>
      </c>
      <c r="W33" s="149">
        <f ca="1">V33
+W18*INDEX('Annual WLC by Maturity Level '!$E$84:$I$84,MATCH(W17,'Annual WLC by Maturity Level '!$E$9:$I$9,FALSE))</f>
        <v>-8967491.229999993</v>
      </c>
      <c r="X33" s="149">
        <f ca="1">W33
+X18*INDEX('Annual WLC by Maturity Level '!$E$84:$I$84,MATCH(X17,'Annual WLC by Maturity Level '!$E$9:$I$9,FALSE))</f>
        <v>-8967491.229999993</v>
      </c>
      <c r="Y33" s="149">
        <f ca="1">X33
+Y18*INDEX('Annual WLC by Maturity Level '!$E$84:$I$84,MATCH(Y17,'Annual WLC by Maturity Level '!$E$9:$I$9,FALSE))</f>
        <v>-8967491.229999993</v>
      </c>
      <c r="Z33" s="149">
        <f ca="1">Y33
+Z18*INDEX('Annual WLC by Maturity Level '!$E$84:$I$84,MATCH(Z17,'Annual WLC by Maturity Level '!$E$9:$I$9,FALSE))</f>
        <v>-8967491.229999993</v>
      </c>
      <c r="AA33" s="149">
        <f ca="1">Z33
+AA18*INDEX('Annual WLC by Maturity Level '!$E$84:$I$84,MATCH(AA17,'Annual WLC by Maturity Level '!$E$9:$I$9,FALSE))</f>
        <v>-8967491.229999993</v>
      </c>
    </row>
    <row r="34" spans="1:27" s="225" customFormat="1">
      <c r="A34" s="223" t="str">
        <f>'Asset Info'!$C$10</f>
        <v>Crossrail</v>
      </c>
      <c r="B34" s="224">
        <f ca="1">-'Annual WLC by Maturity Level '!$C35
+B$18*INDEX('Annual WLC by Maturity Level '!$E85:$I85,MATCH(B$17,'Annual WLC by Maturity Level '!$E$9:$I$9,FALSE))</f>
        <v>-68256.75</v>
      </c>
      <c r="C34" s="224">
        <f ca="1">B34
+C$18*INDEX('Annual WLC by Maturity Level '!$E85:$I85,MATCH(C$17,'Annual WLC by Maturity Level '!$E$9:$I$9,FALSE))</f>
        <v>-66506.75</v>
      </c>
      <c r="D34" s="224">
        <f ca="1">C34
+D$18*INDEX('Annual WLC by Maturity Level '!$E85:$I85,MATCH(D$17,'Annual WLC by Maturity Level '!$E$9:$I$9,FALSE))</f>
        <v>-65456.75</v>
      </c>
      <c r="E34" s="224">
        <f ca="1">D34
+E$18*INDEX('Annual WLC by Maturity Level '!$E85:$I85,MATCH(E$17,'Annual WLC by Maturity Level '!$E$9:$I$9,FALSE))</f>
        <v>-64406.75</v>
      </c>
      <c r="F34" s="224">
        <f ca="1">E34
+F$18*INDEX('Annual WLC by Maturity Level '!$E85:$I85,MATCH(F$17,'Annual WLC by Maturity Level '!$E$9:$I$9,FALSE))</f>
        <v>-63356.75</v>
      </c>
      <c r="G34" s="224">
        <f ca="1">F34
+G$18*INDEX('Annual WLC by Maturity Level '!$E85:$I85,MATCH(G$17,'Annual WLC by Maturity Level '!$E$9:$I$9,FALSE))</f>
        <v>-62306.75</v>
      </c>
      <c r="H34" s="224">
        <f ca="1">G34
+H$18*INDEX('Annual WLC by Maturity Level '!$E85:$I85,MATCH(H$17,'Annual WLC by Maturity Level '!$E$9:$I$9,FALSE))</f>
        <v>-59156.75</v>
      </c>
      <c r="I34" s="224">
        <f ca="1">H34
+I$18*INDEX('Annual WLC by Maturity Level '!$E85:$I85,MATCH(I$17,'Annual WLC by Maturity Level '!$E$9:$I$9,FALSE))</f>
        <v>-56006.75</v>
      </c>
      <c r="J34" s="224">
        <f ca="1">I34
+J$18*INDEX('Annual WLC by Maturity Level '!$E85:$I85,MATCH(J$17,'Annual WLC by Maturity Level '!$E$9:$I$9,FALSE))</f>
        <v>-56006.75</v>
      </c>
      <c r="K34" s="224">
        <f ca="1">J34
+K$18*INDEX('Annual WLC by Maturity Level '!$E85:$I85,MATCH(K$17,'Annual WLC by Maturity Level '!$E$9:$I$9,FALSE))</f>
        <v>-56006.75</v>
      </c>
      <c r="L34" s="224">
        <f ca="1">K34
+L$18*INDEX('Annual WLC by Maturity Level '!$E85:$I85,MATCH(L$17,'Annual WLC by Maturity Level '!$E$9:$I$9,FALSE))</f>
        <v>-56006.75</v>
      </c>
      <c r="M34" s="224">
        <f ca="1">L34
+M$18*INDEX('Annual WLC by Maturity Level '!$E85:$I85,MATCH(M$17,'Annual WLC by Maturity Level '!$E$9:$I$9,FALSE))</f>
        <v>-56006.75</v>
      </c>
      <c r="N34" s="224">
        <f ca="1">M34
+N$18*INDEX('Annual WLC by Maturity Level '!$E85:$I85,MATCH(N$17,'Annual WLC by Maturity Level '!$E$9:$I$9,FALSE))</f>
        <v>-56006.75</v>
      </c>
      <c r="O34" s="224">
        <f ca="1">N34
+O$18*INDEX('Annual WLC by Maturity Level '!$E85:$I85,MATCH(O$17,'Annual WLC by Maturity Level '!$E$9:$I$9,FALSE))</f>
        <v>-56006.75</v>
      </c>
      <c r="P34" s="224">
        <f ca="1">O34
+P$18*INDEX('Annual WLC by Maturity Level '!$E85:$I85,MATCH(P$17,'Annual WLC by Maturity Level '!$E$9:$I$9,FALSE))</f>
        <v>-56006.75</v>
      </c>
      <c r="Q34" s="224">
        <f ca="1">P34
+Q$18*INDEX('Annual WLC by Maturity Level '!$E85:$I85,MATCH(Q$17,'Annual WLC by Maturity Level '!$E$9:$I$9,FALSE))</f>
        <v>-56006.75</v>
      </c>
      <c r="R34" s="224">
        <f ca="1">Q34
+R$18*INDEX('Annual WLC by Maturity Level '!$E85:$I85,MATCH(R$17,'Annual WLC by Maturity Level '!$E$9:$I$9,FALSE))</f>
        <v>-56006.75</v>
      </c>
      <c r="S34" s="224">
        <f ca="1">R34
+S$18*INDEX('Annual WLC by Maturity Level '!$E85:$I85,MATCH(S$17,'Annual WLC by Maturity Level '!$E$9:$I$9,FALSE))</f>
        <v>-56006.75</v>
      </c>
      <c r="T34" s="224">
        <f ca="1">S34
+T$18*INDEX('Annual WLC by Maturity Level '!$E85:$I85,MATCH(T$17,'Annual WLC by Maturity Level '!$E$9:$I$9,FALSE))</f>
        <v>-56006.75</v>
      </c>
      <c r="U34" s="224">
        <f ca="1">T34
+U$18*INDEX('Annual WLC by Maturity Level '!$E85:$I85,MATCH(U$17,'Annual WLC by Maturity Level '!$E$9:$I$9,FALSE))</f>
        <v>-56006.75</v>
      </c>
      <c r="V34" s="224">
        <f ca="1">U34
+V$18*INDEX('Annual WLC by Maturity Level '!$E85:$I85,MATCH(V$17,'Annual WLC by Maturity Level '!$E$9:$I$9,FALSE))</f>
        <v>-56006.75</v>
      </c>
      <c r="W34" s="224">
        <f ca="1">V34
+W$18*INDEX('Annual WLC by Maturity Level '!$E85:$I85,MATCH(W$17,'Annual WLC by Maturity Level '!$E$9:$I$9,FALSE))</f>
        <v>-56006.75</v>
      </c>
      <c r="X34" s="224">
        <f ca="1">W34
+X$18*INDEX('Annual WLC by Maturity Level '!$E85:$I85,MATCH(X$17,'Annual WLC by Maturity Level '!$E$9:$I$9,FALSE))</f>
        <v>-56006.75</v>
      </c>
      <c r="Y34" s="224">
        <f ca="1">X34
+Y$18*INDEX('Annual WLC by Maturity Level '!$E85:$I85,MATCH(Y$17,'Annual WLC by Maturity Level '!$E$9:$I$9,FALSE))</f>
        <v>-56006.75</v>
      </c>
      <c r="Z34" s="224">
        <f ca="1">Y34
+Z$18*INDEX('Annual WLC by Maturity Level '!$E85:$I85,MATCH(Z$17,'Annual WLC by Maturity Level '!$E$9:$I$9,FALSE))</f>
        <v>-56006.75</v>
      </c>
      <c r="AA34" s="224">
        <f ca="1">Z34
+AA$18*INDEX('Annual WLC by Maturity Level '!$E85:$I85,MATCH(AA$17,'Annual WLC by Maturity Level '!$E$9:$I$9,FALSE))</f>
        <v>-56006.75</v>
      </c>
    </row>
    <row r="35" spans="1:27" s="225" customFormat="1">
      <c r="A35" s="223" t="str">
        <f>'Asset Info'!$D$10</f>
        <v>NR Western</v>
      </c>
      <c r="B35" s="224">
        <f ca="1">-'Annual WLC by Maturity Level '!$C36
+B$18*INDEX('Annual WLC by Maturity Level '!$E86:$I86,MATCH(B$17,'Annual WLC by Maturity Level '!$E$9:$I$9,FALSE))</f>
        <v>-9872746.709999999</v>
      </c>
      <c r="C35" s="224">
        <f ca="1">B35
+C$18*INDEX('Annual WLC by Maturity Level '!$E86:$I86,MATCH(C$17,'Annual WLC by Maturity Level '!$E$9:$I$9,FALSE))</f>
        <v>-9866137.8199999984</v>
      </c>
      <c r="D35" s="224">
        <f ca="1">C35
+D$18*INDEX('Annual WLC by Maturity Level '!$E86:$I86,MATCH(D$17,'Annual WLC by Maturity Level '!$E$9:$I$9,FALSE))</f>
        <v>-9770067.4859999977</v>
      </c>
      <c r="E35" s="224">
        <f ca="1">D35
+E$18*INDEX('Annual WLC by Maturity Level '!$E86:$I86,MATCH(E$17,'Annual WLC by Maturity Level '!$E$9:$I$9,FALSE))</f>
        <v>-9673997.151999997</v>
      </c>
      <c r="F35" s="224">
        <f ca="1">E35
+F$18*INDEX('Annual WLC by Maturity Level '!$E86:$I86,MATCH(F$17,'Annual WLC by Maturity Level '!$E$9:$I$9,FALSE))</f>
        <v>-9621211.8179999962</v>
      </c>
      <c r="G35" s="224">
        <f ca="1">F35
+G$18*INDEX('Annual WLC by Maturity Level '!$E86:$I86,MATCH(G$17,'Annual WLC by Maturity Level '!$E$9:$I$9,FALSE))</f>
        <v>-9568426.4839999955</v>
      </c>
      <c r="H35" s="224">
        <f ca="1">G35
+H$18*INDEX('Annual WLC by Maturity Level '!$E86:$I86,MATCH(H$17,'Annual WLC by Maturity Level '!$E$9:$I$9,FALSE))</f>
        <v>-9456610.4819999952</v>
      </c>
      <c r="I35" s="224">
        <f ca="1">H35
+I$18*INDEX('Annual WLC by Maturity Level '!$E86:$I86,MATCH(I$17,'Annual WLC by Maturity Level '!$E$9:$I$9,FALSE))</f>
        <v>-9344794.4799999949</v>
      </c>
      <c r="J35" s="224">
        <f ca="1">I35
+J$18*INDEX('Annual WLC by Maturity Level '!$E86:$I86,MATCH(J$17,'Annual WLC by Maturity Level '!$E$9:$I$9,FALSE))</f>
        <v>-9191691.1466666609</v>
      </c>
      <c r="K35" s="224">
        <f ca="1">J35
+K$18*INDEX('Annual WLC by Maturity Level '!$E86:$I86,MATCH(K$17,'Annual WLC by Maturity Level '!$E$9:$I$9,FALSE))</f>
        <v>-9038587.813333327</v>
      </c>
      <c r="L35" s="224">
        <f ca="1">K35
+L$18*INDEX('Annual WLC by Maturity Level '!$E86:$I86,MATCH(L$17,'Annual WLC by Maturity Level '!$E$9:$I$9,FALSE))</f>
        <v>-8885484.479999993</v>
      </c>
      <c r="M35" s="224">
        <f ca="1">L35
+M$18*INDEX('Annual WLC by Maturity Level '!$E86:$I86,MATCH(M$17,'Annual WLC by Maturity Level '!$E$9:$I$9,FALSE))</f>
        <v>-8885484.479999993</v>
      </c>
      <c r="N35" s="224">
        <f ca="1">M35
+N$18*INDEX('Annual WLC by Maturity Level '!$E86:$I86,MATCH(N$17,'Annual WLC by Maturity Level '!$E$9:$I$9,FALSE))</f>
        <v>-8885484.479999993</v>
      </c>
      <c r="O35" s="224">
        <f ca="1">N35
+O$18*INDEX('Annual WLC by Maturity Level '!$E86:$I86,MATCH(O$17,'Annual WLC by Maturity Level '!$E$9:$I$9,FALSE))</f>
        <v>-8885484.479999993</v>
      </c>
      <c r="P35" s="224">
        <f ca="1">O35
+P$18*INDEX('Annual WLC by Maturity Level '!$E86:$I86,MATCH(P$17,'Annual WLC by Maturity Level '!$E$9:$I$9,FALSE))</f>
        <v>-8885484.479999993</v>
      </c>
      <c r="Q35" s="224">
        <f ca="1">P35
+Q$18*INDEX('Annual WLC by Maturity Level '!$E86:$I86,MATCH(Q$17,'Annual WLC by Maturity Level '!$E$9:$I$9,FALSE))</f>
        <v>-8885484.479999993</v>
      </c>
      <c r="R35" s="224">
        <f ca="1">Q35
+R$18*INDEX('Annual WLC by Maturity Level '!$E86:$I86,MATCH(R$17,'Annual WLC by Maturity Level '!$E$9:$I$9,FALSE))</f>
        <v>-8885484.479999993</v>
      </c>
      <c r="S35" s="224">
        <f ca="1">R35
+S$18*INDEX('Annual WLC by Maturity Level '!$E86:$I86,MATCH(S$17,'Annual WLC by Maturity Level '!$E$9:$I$9,FALSE))</f>
        <v>-8885484.479999993</v>
      </c>
      <c r="T35" s="224">
        <f ca="1">S35
+T$18*INDEX('Annual WLC by Maturity Level '!$E86:$I86,MATCH(T$17,'Annual WLC by Maturity Level '!$E$9:$I$9,FALSE))</f>
        <v>-8885484.479999993</v>
      </c>
      <c r="U35" s="224">
        <f ca="1">T35
+U$18*INDEX('Annual WLC by Maturity Level '!$E86:$I86,MATCH(U$17,'Annual WLC by Maturity Level '!$E$9:$I$9,FALSE))</f>
        <v>-8885484.479999993</v>
      </c>
      <c r="V35" s="224">
        <f ca="1">U35
+V$18*INDEX('Annual WLC by Maturity Level '!$E86:$I86,MATCH(V$17,'Annual WLC by Maturity Level '!$E$9:$I$9,FALSE))</f>
        <v>-8885484.479999993</v>
      </c>
      <c r="W35" s="224">
        <f ca="1">V35
+W$18*INDEX('Annual WLC by Maturity Level '!$E86:$I86,MATCH(W$17,'Annual WLC by Maturity Level '!$E$9:$I$9,FALSE))</f>
        <v>-8885484.479999993</v>
      </c>
      <c r="X35" s="224">
        <f ca="1">W35
+X$18*INDEX('Annual WLC by Maturity Level '!$E86:$I86,MATCH(X$17,'Annual WLC by Maturity Level '!$E$9:$I$9,FALSE))</f>
        <v>-8885484.479999993</v>
      </c>
      <c r="Y35" s="224">
        <f ca="1">X35
+Y$18*INDEX('Annual WLC by Maturity Level '!$E86:$I86,MATCH(Y$17,'Annual WLC by Maturity Level '!$E$9:$I$9,FALSE))</f>
        <v>-8885484.479999993</v>
      </c>
      <c r="Z35" s="224">
        <f ca="1">Y35
+Z$18*INDEX('Annual WLC by Maturity Level '!$E86:$I86,MATCH(Z$17,'Annual WLC by Maturity Level '!$E$9:$I$9,FALSE))</f>
        <v>-8885484.479999993</v>
      </c>
      <c r="AA35" s="224">
        <f ca="1">Z35
+AA$18*INDEX('Annual WLC by Maturity Level '!$E86:$I86,MATCH(AA$17,'Annual WLC by Maturity Level '!$E$9:$I$9,FALSE))</f>
        <v>-8885484.479999993</v>
      </c>
    </row>
    <row r="36" spans="1:27" s="225" customFormat="1">
      <c r="A36" s="223" t="str">
        <f>'Asset Info'!$E$10</f>
        <v>Balfour Beatty</v>
      </c>
      <c r="B36" s="224">
        <f ca="1">-'Annual WLC by Maturity Level '!$C37
+B$18*INDEX('Annual WLC by Maturity Level '!$E87:$I87,MATCH(B$17,'Annual WLC by Maturity Level '!$E$9:$I$9,FALSE))</f>
        <v>0</v>
      </c>
      <c r="C36" s="224">
        <f ca="1">B36
+C$18*INDEX('Annual WLC by Maturity Level '!$E87:$I87,MATCH(C$17,'Annual WLC by Maturity Level '!$E$9:$I$9,FALSE))</f>
        <v>0</v>
      </c>
      <c r="D36" s="224">
        <f ca="1">C36
+D$18*INDEX('Annual WLC by Maturity Level '!$E87:$I87,MATCH(D$17,'Annual WLC by Maturity Level '!$E$9:$I$9,FALSE))</f>
        <v>0</v>
      </c>
      <c r="E36" s="224">
        <f ca="1">D36
+E$18*INDEX('Annual WLC by Maturity Level '!$E87:$I87,MATCH(E$17,'Annual WLC by Maturity Level '!$E$9:$I$9,FALSE))</f>
        <v>0</v>
      </c>
      <c r="F36" s="224">
        <f ca="1">E36
+F$18*INDEX('Annual WLC by Maturity Level '!$E87:$I87,MATCH(F$17,'Annual WLC by Maturity Level '!$E$9:$I$9,FALSE))</f>
        <v>0</v>
      </c>
      <c r="G36" s="224">
        <f ca="1">F36
+G$18*INDEX('Annual WLC by Maturity Level '!$E87:$I87,MATCH(G$17,'Annual WLC by Maturity Level '!$E$9:$I$9,FALSE))</f>
        <v>0</v>
      </c>
      <c r="H36" s="224">
        <f ca="1">G36
+H$18*INDEX('Annual WLC by Maturity Level '!$E87:$I87,MATCH(H$17,'Annual WLC by Maturity Level '!$E$9:$I$9,FALSE))</f>
        <v>0</v>
      </c>
      <c r="I36" s="224">
        <f ca="1">H36
+I$18*INDEX('Annual WLC by Maturity Level '!$E87:$I87,MATCH(I$17,'Annual WLC by Maturity Level '!$E$9:$I$9,FALSE))</f>
        <v>0</v>
      </c>
      <c r="J36" s="224">
        <f ca="1">I36
+J$18*INDEX('Annual WLC by Maturity Level '!$E87:$I87,MATCH(J$17,'Annual WLC by Maturity Level '!$E$9:$I$9,FALSE))</f>
        <v>0</v>
      </c>
      <c r="K36" s="224">
        <f ca="1">J36
+K$18*INDEX('Annual WLC by Maturity Level '!$E87:$I87,MATCH(K$17,'Annual WLC by Maturity Level '!$E$9:$I$9,FALSE))</f>
        <v>0</v>
      </c>
      <c r="L36" s="224">
        <f ca="1">K36
+L$18*INDEX('Annual WLC by Maturity Level '!$E87:$I87,MATCH(L$17,'Annual WLC by Maturity Level '!$E$9:$I$9,FALSE))</f>
        <v>0</v>
      </c>
      <c r="M36" s="224">
        <f ca="1">L36
+M$18*INDEX('Annual WLC by Maturity Level '!$E87:$I87,MATCH(M$17,'Annual WLC by Maturity Level '!$E$9:$I$9,FALSE))</f>
        <v>0</v>
      </c>
      <c r="N36" s="224">
        <f ca="1">M36
+N$18*INDEX('Annual WLC by Maturity Level '!$E87:$I87,MATCH(N$17,'Annual WLC by Maturity Level '!$E$9:$I$9,FALSE))</f>
        <v>0</v>
      </c>
      <c r="O36" s="224">
        <f ca="1">N36
+O$18*INDEX('Annual WLC by Maturity Level '!$E87:$I87,MATCH(O$17,'Annual WLC by Maturity Level '!$E$9:$I$9,FALSE))</f>
        <v>0</v>
      </c>
      <c r="P36" s="224">
        <f ca="1">O36
+P$18*INDEX('Annual WLC by Maturity Level '!$E87:$I87,MATCH(P$17,'Annual WLC by Maturity Level '!$E$9:$I$9,FALSE))</f>
        <v>0</v>
      </c>
      <c r="Q36" s="224">
        <f ca="1">P36
+Q$18*INDEX('Annual WLC by Maturity Level '!$E87:$I87,MATCH(Q$17,'Annual WLC by Maturity Level '!$E$9:$I$9,FALSE))</f>
        <v>0</v>
      </c>
      <c r="R36" s="224">
        <f ca="1">Q36
+R$18*INDEX('Annual WLC by Maturity Level '!$E87:$I87,MATCH(R$17,'Annual WLC by Maturity Level '!$E$9:$I$9,FALSE))</f>
        <v>0</v>
      </c>
      <c r="S36" s="224">
        <f ca="1">R36
+S$18*INDEX('Annual WLC by Maturity Level '!$E87:$I87,MATCH(S$17,'Annual WLC by Maturity Level '!$E$9:$I$9,FALSE))</f>
        <v>0</v>
      </c>
      <c r="T36" s="224">
        <f ca="1">S36
+T$18*INDEX('Annual WLC by Maturity Level '!$E87:$I87,MATCH(T$17,'Annual WLC by Maturity Level '!$E$9:$I$9,FALSE))</f>
        <v>0</v>
      </c>
      <c r="U36" s="224">
        <f ca="1">T36
+U$18*INDEX('Annual WLC by Maturity Level '!$E87:$I87,MATCH(U$17,'Annual WLC by Maturity Level '!$E$9:$I$9,FALSE))</f>
        <v>0</v>
      </c>
      <c r="V36" s="224">
        <f ca="1">U36
+V$18*INDEX('Annual WLC by Maturity Level '!$E87:$I87,MATCH(V$17,'Annual WLC by Maturity Level '!$E$9:$I$9,FALSE))</f>
        <v>0</v>
      </c>
      <c r="W36" s="224">
        <f ca="1">V36
+W$18*INDEX('Annual WLC by Maturity Level '!$E87:$I87,MATCH(W$17,'Annual WLC by Maturity Level '!$E$9:$I$9,FALSE))</f>
        <v>0</v>
      </c>
      <c r="X36" s="224">
        <f ca="1">W36
+X$18*INDEX('Annual WLC by Maturity Level '!$E87:$I87,MATCH(X$17,'Annual WLC by Maturity Level '!$E$9:$I$9,FALSE))</f>
        <v>0</v>
      </c>
      <c r="Y36" s="224">
        <f ca="1">X36
+Y$18*INDEX('Annual WLC by Maturity Level '!$E87:$I87,MATCH(Y$17,'Annual WLC by Maturity Level '!$E$9:$I$9,FALSE))</f>
        <v>0</v>
      </c>
      <c r="Z36" s="224">
        <f ca="1">Y36
+Z$18*INDEX('Annual WLC by Maturity Level '!$E87:$I87,MATCH(Z$17,'Annual WLC by Maturity Level '!$E$9:$I$9,FALSE))</f>
        <v>0</v>
      </c>
      <c r="AA36" s="224">
        <f ca="1">Z36
+AA$18*INDEX('Annual WLC by Maturity Level '!$E87:$I87,MATCH(AA$17,'Annual WLC by Maturity Level '!$E$9:$I$9,FALSE))</f>
        <v>0</v>
      </c>
    </row>
    <row r="37" spans="1:27" s="225" customFormat="1">
      <c r="A37" s="223" t="str">
        <f>'Asset Info'!$F$10</f>
        <v>RSSB</v>
      </c>
      <c r="B37" s="224">
        <f ca="1">-'Annual WLC by Maturity Level '!$C38
+B$18*INDEX('Annual WLC by Maturity Level '!$E88:$I88,MATCH(B$17,'Annual WLC by Maturity Level '!$E$9:$I$9,FALSE))</f>
        <v>-6250</v>
      </c>
      <c r="C37" s="224">
        <f ca="1">B37
+C$18*INDEX('Annual WLC by Maturity Level '!$E88:$I88,MATCH(C$17,'Annual WLC by Maturity Level '!$E$9:$I$9,FALSE))</f>
        <v>-12500</v>
      </c>
      <c r="D37" s="224">
        <f ca="1">C37
+D$18*INDEX('Annual WLC by Maturity Level '!$E88:$I88,MATCH(D$17,'Annual WLC by Maturity Level '!$E$9:$I$9,FALSE))</f>
        <v>-14705</v>
      </c>
      <c r="E37" s="224">
        <f ca="1">D37
+E$18*INDEX('Annual WLC by Maturity Level '!$E88:$I88,MATCH(E$17,'Annual WLC by Maturity Level '!$E$9:$I$9,FALSE))</f>
        <v>-16910</v>
      </c>
      <c r="F37" s="224">
        <f ca="1">E37
+F$18*INDEX('Annual WLC by Maturity Level '!$E88:$I88,MATCH(F$17,'Annual WLC by Maturity Level '!$E$9:$I$9,FALSE))</f>
        <v>-17630</v>
      </c>
      <c r="G37" s="224">
        <f ca="1">F37
+G$18*INDEX('Annual WLC by Maturity Level '!$E88:$I88,MATCH(G$17,'Annual WLC by Maturity Level '!$E$9:$I$9,FALSE))</f>
        <v>-18350</v>
      </c>
      <c r="H37" s="224">
        <f ca="1">G37
+H$18*INDEX('Annual WLC by Maturity Level '!$E88:$I88,MATCH(H$17,'Annual WLC by Maturity Level '!$E$9:$I$9,FALSE))</f>
        <v>-20420</v>
      </c>
      <c r="I37" s="224">
        <f ca="1">H37
+I$18*INDEX('Annual WLC by Maturity Level '!$E88:$I88,MATCH(I$17,'Annual WLC by Maturity Level '!$E$9:$I$9,FALSE))</f>
        <v>-22490</v>
      </c>
      <c r="J37" s="224">
        <f ca="1">I37
+J$18*INDEX('Annual WLC by Maturity Level '!$E88:$I88,MATCH(J$17,'Annual WLC by Maturity Level '!$E$9:$I$9,FALSE))</f>
        <v>-23660</v>
      </c>
      <c r="K37" s="224">
        <f ca="1">J37
+K$18*INDEX('Annual WLC by Maturity Level '!$E88:$I88,MATCH(K$17,'Annual WLC by Maturity Level '!$E$9:$I$9,FALSE))</f>
        <v>-24830</v>
      </c>
      <c r="L37" s="224">
        <f ca="1">K37
+L$18*INDEX('Annual WLC by Maturity Level '!$E88:$I88,MATCH(L$17,'Annual WLC by Maturity Level '!$E$9:$I$9,FALSE))</f>
        <v>-26000</v>
      </c>
      <c r="M37" s="224">
        <f ca="1">L37
+M$18*INDEX('Annual WLC by Maturity Level '!$E88:$I88,MATCH(M$17,'Annual WLC by Maturity Level '!$E$9:$I$9,FALSE))</f>
        <v>-26000</v>
      </c>
      <c r="N37" s="224">
        <f ca="1">M37
+N$18*INDEX('Annual WLC by Maturity Level '!$E88:$I88,MATCH(N$17,'Annual WLC by Maturity Level '!$E$9:$I$9,FALSE))</f>
        <v>-26000</v>
      </c>
      <c r="O37" s="224">
        <f ca="1">N37
+O$18*INDEX('Annual WLC by Maturity Level '!$E88:$I88,MATCH(O$17,'Annual WLC by Maturity Level '!$E$9:$I$9,FALSE))</f>
        <v>-26000</v>
      </c>
      <c r="P37" s="224">
        <f ca="1">O37
+P$18*INDEX('Annual WLC by Maturity Level '!$E88:$I88,MATCH(P$17,'Annual WLC by Maturity Level '!$E$9:$I$9,FALSE))</f>
        <v>-26000</v>
      </c>
      <c r="Q37" s="224">
        <f ca="1">P37
+Q$18*INDEX('Annual WLC by Maturity Level '!$E88:$I88,MATCH(Q$17,'Annual WLC by Maturity Level '!$E$9:$I$9,FALSE))</f>
        <v>-26000</v>
      </c>
      <c r="R37" s="224">
        <f ca="1">Q37
+R$18*INDEX('Annual WLC by Maturity Level '!$E88:$I88,MATCH(R$17,'Annual WLC by Maturity Level '!$E$9:$I$9,FALSE))</f>
        <v>-26000</v>
      </c>
      <c r="S37" s="224">
        <f ca="1">R37
+S$18*INDEX('Annual WLC by Maturity Level '!$E88:$I88,MATCH(S$17,'Annual WLC by Maturity Level '!$E$9:$I$9,FALSE))</f>
        <v>-26000</v>
      </c>
      <c r="T37" s="224">
        <f ca="1">S37
+T$18*INDEX('Annual WLC by Maturity Level '!$E88:$I88,MATCH(T$17,'Annual WLC by Maturity Level '!$E$9:$I$9,FALSE))</f>
        <v>-26000</v>
      </c>
      <c r="U37" s="224">
        <f ca="1">T37
+U$18*INDEX('Annual WLC by Maturity Level '!$E88:$I88,MATCH(U$17,'Annual WLC by Maturity Level '!$E$9:$I$9,FALSE))</f>
        <v>-26000</v>
      </c>
      <c r="V37" s="224">
        <f ca="1">U37
+V$18*INDEX('Annual WLC by Maturity Level '!$E88:$I88,MATCH(V$17,'Annual WLC by Maturity Level '!$E$9:$I$9,FALSE))</f>
        <v>-26000</v>
      </c>
      <c r="W37" s="224">
        <f ca="1">V37
+W$18*INDEX('Annual WLC by Maturity Level '!$E88:$I88,MATCH(W$17,'Annual WLC by Maturity Level '!$E$9:$I$9,FALSE))</f>
        <v>-26000</v>
      </c>
      <c r="X37" s="224">
        <f ca="1">W37
+X$18*INDEX('Annual WLC by Maturity Level '!$E88:$I88,MATCH(X$17,'Annual WLC by Maturity Level '!$E$9:$I$9,FALSE))</f>
        <v>-26000</v>
      </c>
      <c r="Y37" s="224">
        <f ca="1">X37
+Y$18*INDEX('Annual WLC by Maturity Level '!$E88:$I88,MATCH(Y$17,'Annual WLC by Maturity Level '!$E$9:$I$9,FALSE))</f>
        <v>-26000</v>
      </c>
      <c r="Z37" s="224">
        <f ca="1">Y37
+Z$18*INDEX('Annual WLC by Maturity Level '!$E88:$I88,MATCH(Z$17,'Annual WLC by Maturity Level '!$E$9:$I$9,FALSE))</f>
        <v>-26000</v>
      </c>
      <c r="AA37" s="224">
        <f ca="1">Z37
+AA$18*INDEX('Annual WLC by Maturity Level '!$E88:$I88,MATCH(AA$17,'Annual WLC by Maturity Level '!$E$9:$I$9,FALSE))</f>
        <v>-26000</v>
      </c>
    </row>
    <row r="38" spans="1:27" s="53" customFormat="1">
      <c r="A38" s="148"/>
      <c r="B38" s="149"/>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126</v>
      </c>
      <c r="B39" s="149"/>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s="53" customFormat="1">
      <c r="A40" s="148" t="s">
        <v>182</v>
      </c>
      <c r="B40" s="149">
        <f ca="1">B33+'Annual WLC by Maturity Level '!$C$34</f>
        <v>2108.890000000596</v>
      </c>
      <c r="C40" s="149">
        <f ca="1">C33+'Annual WLC by Maturity Level '!$C$34</f>
        <v>4217.7800000011921</v>
      </c>
      <c r="D40" s="149">
        <f ca="1">D33+'Annual WLC by Maturity Level '!$C$34</f>
        <v>99133.114000001922</v>
      </c>
      <c r="E40" s="149">
        <f ca="1">E33+'Annual WLC by Maturity Level '!$C$34</f>
        <v>194048.44800000265</v>
      </c>
      <c r="F40" s="149">
        <f ca="1">F33+'Annual WLC by Maturity Level '!$C$34</f>
        <v>247163.78200000338</v>
      </c>
      <c r="G40" s="149">
        <f ca="1">G33+'Annual WLC by Maturity Level '!$C$34</f>
        <v>300279.11600000411</v>
      </c>
      <c r="H40" s="149">
        <f ca="1">H33+'Annual WLC by Maturity Level '!$C$34</f>
        <v>413175.11800000444</v>
      </c>
      <c r="I40" s="149">
        <f ca="1">I33+'Annual WLC by Maturity Level '!$C$34</f>
        <v>526071.12000000477</v>
      </c>
      <c r="J40" s="149">
        <f ca="1">J33+'Annual WLC by Maturity Level '!$C$34</f>
        <v>678004.45333333872</v>
      </c>
      <c r="K40" s="149">
        <f ca="1">K33+'Annual WLC by Maturity Level '!$C$34</f>
        <v>829937.78666667268</v>
      </c>
      <c r="L40" s="149">
        <f ca="1">L33+'Annual WLC by Maturity Level '!$C$34</f>
        <v>981871.12000000663</v>
      </c>
      <c r="M40" s="149">
        <f ca="1">M33+'Annual WLC by Maturity Level '!$C$34</f>
        <v>981871.12000000663</v>
      </c>
      <c r="N40" s="149">
        <f ca="1">N33+'Annual WLC by Maturity Level '!$C$34</f>
        <v>981871.12000000663</v>
      </c>
      <c r="O40" s="149">
        <f ca="1">O33+'Annual WLC by Maturity Level '!$C$34</f>
        <v>981871.12000000663</v>
      </c>
      <c r="P40" s="149">
        <f ca="1">P33+'Annual WLC by Maturity Level '!$C$34</f>
        <v>981871.12000000663</v>
      </c>
      <c r="Q40" s="149">
        <f ca="1">Q33+'Annual WLC by Maturity Level '!$C$34</f>
        <v>981871.12000000663</v>
      </c>
      <c r="R40" s="149">
        <f ca="1">R33+'Annual WLC by Maturity Level '!$C$34</f>
        <v>981871.12000000663</v>
      </c>
      <c r="S40" s="149">
        <f ca="1">S33+'Annual WLC by Maturity Level '!$C$34</f>
        <v>981871.12000000663</v>
      </c>
      <c r="T40" s="149">
        <f ca="1">T33+'Annual WLC by Maturity Level '!$C$34</f>
        <v>981871.12000000663</v>
      </c>
      <c r="U40" s="149">
        <f ca="1">U33+'Annual WLC by Maturity Level '!$C$34</f>
        <v>981871.12000000663</v>
      </c>
      <c r="V40" s="149">
        <f ca="1">V33+'Annual WLC by Maturity Level '!$C$34</f>
        <v>981871.12000000663</v>
      </c>
      <c r="W40" s="149">
        <f ca="1">W33+'Annual WLC by Maturity Level '!$C$34</f>
        <v>981871.12000000663</v>
      </c>
      <c r="X40" s="149">
        <f ca="1">X33+'Annual WLC by Maturity Level '!$C$34</f>
        <v>981871.12000000663</v>
      </c>
      <c r="Y40" s="149">
        <f ca="1">Y33+'Annual WLC by Maturity Level '!$C$34</f>
        <v>981871.12000000663</v>
      </c>
      <c r="Z40" s="149">
        <f ca="1">Z33+'Annual WLC by Maturity Level '!$C$34</f>
        <v>981871.12000000663</v>
      </c>
      <c r="AA40" s="149">
        <f ca="1">AA33+'Annual WLC by Maturity Level '!$C$34</f>
        <v>981871.12000000663</v>
      </c>
    </row>
    <row r="41" spans="1:27" s="225" customFormat="1">
      <c r="A41" s="223" t="str">
        <f>'Asset Info'!$C$10</f>
        <v>Crossrail</v>
      </c>
      <c r="B41" s="224">
        <f ca="1">B34+'Annual WLC by Maturity Level '!$C35</f>
        <v>1750</v>
      </c>
      <c r="C41" s="224">
        <f ca="1">C34+'Annual WLC by Maturity Level '!$C35</f>
        <v>3500</v>
      </c>
      <c r="D41" s="224">
        <f ca="1">D34+'Annual WLC by Maturity Level '!$C35</f>
        <v>4550</v>
      </c>
      <c r="E41" s="224">
        <f ca="1">E34+'Annual WLC by Maturity Level '!$C35</f>
        <v>5600</v>
      </c>
      <c r="F41" s="224">
        <f ca="1">F34+'Annual WLC by Maturity Level '!$C35</f>
        <v>6650</v>
      </c>
      <c r="G41" s="224">
        <f ca="1">G34+'Annual WLC by Maturity Level '!$C35</f>
        <v>7700</v>
      </c>
      <c r="H41" s="224">
        <f ca="1">H34+'Annual WLC by Maturity Level '!$C35</f>
        <v>10850</v>
      </c>
      <c r="I41" s="224">
        <f ca="1">I34+'Annual WLC by Maturity Level '!$C35</f>
        <v>14000</v>
      </c>
      <c r="J41" s="224">
        <f ca="1">J34+'Annual WLC by Maturity Level '!$C35</f>
        <v>14000</v>
      </c>
      <c r="K41" s="224">
        <f ca="1">K34+'Annual WLC by Maturity Level '!$C35</f>
        <v>14000</v>
      </c>
      <c r="L41" s="224">
        <f ca="1">L34+'Annual WLC by Maturity Level '!$C35</f>
        <v>14000</v>
      </c>
      <c r="M41" s="224">
        <f ca="1">M34+'Annual WLC by Maturity Level '!$C35</f>
        <v>14000</v>
      </c>
      <c r="N41" s="224">
        <f ca="1">N34+'Annual WLC by Maturity Level '!$C35</f>
        <v>14000</v>
      </c>
      <c r="O41" s="224">
        <f ca="1">O34+'Annual WLC by Maturity Level '!$C35</f>
        <v>14000</v>
      </c>
      <c r="P41" s="224">
        <f ca="1">P34+'Annual WLC by Maturity Level '!$C35</f>
        <v>14000</v>
      </c>
      <c r="Q41" s="224">
        <f ca="1">Q34+'Annual WLC by Maturity Level '!$C35</f>
        <v>14000</v>
      </c>
      <c r="R41" s="224">
        <f ca="1">R34+'Annual WLC by Maturity Level '!$C35</f>
        <v>14000</v>
      </c>
      <c r="S41" s="224">
        <f ca="1">S34+'Annual WLC by Maturity Level '!$C35</f>
        <v>14000</v>
      </c>
      <c r="T41" s="224">
        <f ca="1">T34+'Annual WLC by Maturity Level '!$C35</f>
        <v>14000</v>
      </c>
      <c r="U41" s="224">
        <f ca="1">U34+'Annual WLC by Maturity Level '!$C35</f>
        <v>14000</v>
      </c>
      <c r="V41" s="224">
        <f ca="1">V34+'Annual WLC by Maturity Level '!$C35</f>
        <v>14000</v>
      </c>
      <c r="W41" s="224">
        <f ca="1">W34+'Annual WLC by Maturity Level '!$C35</f>
        <v>14000</v>
      </c>
      <c r="X41" s="224">
        <f ca="1">X34+'Annual WLC by Maturity Level '!$C35</f>
        <v>14000</v>
      </c>
      <c r="Y41" s="224">
        <f ca="1">Y34+'Annual WLC by Maturity Level '!$C35</f>
        <v>14000</v>
      </c>
      <c r="Z41" s="224">
        <f ca="1">Z34+'Annual WLC by Maturity Level '!$C35</f>
        <v>14000</v>
      </c>
      <c r="AA41" s="224">
        <f ca="1">AA34+'Annual WLC by Maturity Level '!$C35</f>
        <v>14000</v>
      </c>
    </row>
    <row r="42" spans="1:27" s="225" customFormat="1">
      <c r="A42" s="223" t="str">
        <f>'Asset Info'!$D$10</f>
        <v>NR Western</v>
      </c>
      <c r="B42" s="224">
        <f ca="1">B35+'Annual WLC by Maturity Level '!$C36</f>
        <v>6608.890000000596</v>
      </c>
      <c r="C42" s="224">
        <f ca="1">C35+'Annual WLC by Maturity Level '!$C36</f>
        <v>13217.780000001192</v>
      </c>
      <c r="D42" s="224">
        <f ca="1">D35+'Annual WLC by Maturity Level '!$C36</f>
        <v>109288.11400000192</v>
      </c>
      <c r="E42" s="224">
        <f ca="1">E35+'Annual WLC by Maturity Level '!$C36</f>
        <v>205358.44800000265</v>
      </c>
      <c r="F42" s="224">
        <f ca="1">F35+'Annual WLC by Maturity Level '!$C36</f>
        <v>258143.78200000338</v>
      </c>
      <c r="G42" s="224">
        <f ca="1">G35+'Annual WLC by Maturity Level '!$C36</f>
        <v>310929.11600000411</v>
      </c>
      <c r="H42" s="224">
        <f ca="1">H35+'Annual WLC by Maturity Level '!$C36</f>
        <v>422745.11800000444</v>
      </c>
      <c r="I42" s="224">
        <f ca="1">I35+'Annual WLC by Maturity Level '!$C36</f>
        <v>534561.12000000477</v>
      </c>
      <c r="J42" s="224">
        <f ca="1">J35+'Annual WLC by Maturity Level '!$C36</f>
        <v>687664.45333333872</v>
      </c>
      <c r="K42" s="224">
        <f ca="1">K35+'Annual WLC by Maturity Level '!$C36</f>
        <v>840767.78666667268</v>
      </c>
      <c r="L42" s="224">
        <f ca="1">L35+'Annual WLC by Maturity Level '!$C36</f>
        <v>993871.12000000663</v>
      </c>
      <c r="M42" s="224">
        <f ca="1">M35+'Annual WLC by Maturity Level '!$C36</f>
        <v>993871.12000000663</v>
      </c>
      <c r="N42" s="224">
        <f ca="1">N35+'Annual WLC by Maturity Level '!$C36</f>
        <v>993871.12000000663</v>
      </c>
      <c r="O42" s="224">
        <f ca="1">O35+'Annual WLC by Maturity Level '!$C36</f>
        <v>993871.12000000663</v>
      </c>
      <c r="P42" s="224">
        <f ca="1">P35+'Annual WLC by Maturity Level '!$C36</f>
        <v>993871.12000000663</v>
      </c>
      <c r="Q42" s="224">
        <f ca="1">Q35+'Annual WLC by Maturity Level '!$C36</f>
        <v>993871.12000000663</v>
      </c>
      <c r="R42" s="224">
        <f ca="1">R35+'Annual WLC by Maturity Level '!$C36</f>
        <v>993871.12000000663</v>
      </c>
      <c r="S42" s="224">
        <f ca="1">S35+'Annual WLC by Maturity Level '!$C36</f>
        <v>993871.12000000663</v>
      </c>
      <c r="T42" s="224">
        <f ca="1">T35+'Annual WLC by Maturity Level '!$C36</f>
        <v>993871.12000000663</v>
      </c>
      <c r="U42" s="224">
        <f ca="1">U35+'Annual WLC by Maturity Level '!$C36</f>
        <v>993871.12000000663</v>
      </c>
      <c r="V42" s="224">
        <f ca="1">V35+'Annual WLC by Maturity Level '!$C36</f>
        <v>993871.12000000663</v>
      </c>
      <c r="W42" s="224">
        <f ca="1">W35+'Annual WLC by Maturity Level '!$C36</f>
        <v>993871.12000000663</v>
      </c>
      <c r="X42" s="224">
        <f ca="1">X35+'Annual WLC by Maturity Level '!$C36</f>
        <v>993871.12000000663</v>
      </c>
      <c r="Y42" s="224">
        <f ca="1">Y35+'Annual WLC by Maturity Level '!$C36</f>
        <v>993871.12000000663</v>
      </c>
      <c r="Z42" s="224">
        <f ca="1">Z35+'Annual WLC by Maturity Level '!$C36</f>
        <v>993871.12000000663</v>
      </c>
      <c r="AA42" s="224">
        <f ca="1">AA35+'Annual WLC by Maturity Level '!$C36</f>
        <v>993871.12000000663</v>
      </c>
    </row>
    <row r="43" spans="1:27" s="225" customFormat="1">
      <c r="A43" s="223" t="str">
        <f>'Asset Info'!$E$10</f>
        <v>Balfour Beatty</v>
      </c>
      <c r="B43" s="224">
        <f ca="1">B36+'Annual WLC by Maturity Level '!$C37</f>
        <v>0</v>
      </c>
      <c r="C43" s="224">
        <f ca="1">C36+'Annual WLC by Maturity Level '!$C37</f>
        <v>0</v>
      </c>
      <c r="D43" s="224">
        <f ca="1">D36+'Annual WLC by Maturity Level '!$C37</f>
        <v>0</v>
      </c>
      <c r="E43" s="224">
        <f ca="1">E36+'Annual WLC by Maturity Level '!$C37</f>
        <v>0</v>
      </c>
      <c r="F43" s="224">
        <f ca="1">F36+'Annual WLC by Maturity Level '!$C37</f>
        <v>0</v>
      </c>
      <c r="G43" s="224">
        <f ca="1">G36+'Annual WLC by Maturity Level '!$C37</f>
        <v>0</v>
      </c>
      <c r="H43" s="224">
        <f ca="1">H36+'Annual WLC by Maturity Level '!$C37</f>
        <v>0</v>
      </c>
      <c r="I43" s="224">
        <f ca="1">I36+'Annual WLC by Maturity Level '!$C37</f>
        <v>0</v>
      </c>
      <c r="J43" s="224">
        <f ca="1">J36+'Annual WLC by Maturity Level '!$C37</f>
        <v>0</v>
      </c>
      <c r="K43" s="224">
        <f ca="1">K36+'Annual WLC by Maturity Level '!$C37</f>
        <v>0</v>
      </c>
      <c r="L43" s="224">
        <f ca="1">L36+'Annual WLC by Maturity Level '!$C37</f>
        <v>0</v>
      </c>
      <c r="M43" s="224">
        <f ca="1">M36+'Annual WLC by Maturity Level '!$C37</f>
        <v>0</v>
      </c>
      <c r="N43" s="224">
        <f ca="1">N36+'Annual WLC by Maturity Level '!$C37</f>
        <v>0</v>
      </c>
      <c r="O43" s="224">
        <f ca="1">O36+'Annual WLC by Maturity Level '!$C37</f>
        <v>0</v>
      </c>
      <c r="P43" s="224">
        <f ca="1">P36+'Annual WLC by Maturity Level '!$C37</f>
        <v>0</v>
      </c>
      <c r="Q43" s="224">
        <f ca="1">Q36+'Annual WLC by Maturity Level '!$C37</f>
        <v>0</v>
      </c>
      <c r="R43" s="224">
        <f ca="1">R36+'Annual WLC by Maturity Level '!$C37</f>
        <v>0</v>
      </c>
      <c r="S43" s="224">
        <f ca="1">S36+'Annual WLC by Maturity Level '!$C37</f>
        <v>0</v>
      </c>
      <c r="T43" s="224">
        <f ca="1">T36+'Annual WLC by Maturity Level '!$C37</f>
        <v>0</v>
      </c>
      <c r="U43" s="224">
        <f ca="1">U36+'Annual WLC by Maturity Level '!$C37</f>
        <v>0</v>
      </c>
      <c r="V43" s="224">
        <f ca="1">V36+'Annual WLC by Maturity Level '!$C37</f>
        <v>0</v>
      </c>
      <c r="W43" s="224">
        <f ca="1">W36+'Annual WLC by Maturity Level '!$C37</f>
        <v>0</v>
      </c>
      <c r="X43" s="224">
        <f ca="1">X36+'Annual WLC by Maturity Level '!$C37</f>
        <v>0</v>
      </c>
      <c r="Y43" s="224">
        <f ca="1">Y36+'Annual WLC by Maturity Level '!$C37</f>
        <v>0</v>
      </c>
      <c r="Z43" s="224">
        <f ca="1">Z36+'Annual WLC by Maturity Level '!$C37</f>
        <v>0</v>
      </c>
      <c r="AA43" s="224">
        <f ca="1">AA36+'Annual WLC by Maturity Level '!$C37</f>
        <v>0</v>
      </c>
    </row>
    <row r="44" spans="1:27" s="225" customFormat="1">
      <c r="A44" s="223" t="str">
        <f>'Asset Info'!$F$10</f>
        <v>RSSB</v>
      </c>
      <c r="B44" s="224">
        <f ca="1">B37+'Annual WLC by Maturity Level '!$C38</f>
        <v>-6250</v>
      </c>
      <c r="C44" s="224">
        <f ca="1">C37+'Annual WLC by Maturity Level '!$C38</f>
        <v>-12500</v>
      </c>
      <c r="D44" s="224">
        <f ca="1">D37+'Annual WLC by Maturity Level '!$C38</f>
        <v>-14705</v>
      </c>
      <c r="E44" s="224">
        <f ca="1">E37+'Annual WLC by Maturity Level '!$C38</f>
        <v>-16910</v>
      </c>
      <c r="F44" s="224">
        <f ca="1">F37+'Annual WLC by Maturity Level '!$C38</f>
        <v>-17630</v>
      </c>
      <c r="G44" s="224">
        <f ca="1">G37+'Annual WLC by Maturity Level '!$C38</f>
        <v>-18350</v>
      </c>
      <c r="H44" s="224">
        <f ca="1">H37+'Annual WLC by Maturity Level '!$C38</f>
        <v>-20420</v>
      </c>
      <c r="I44" s="224">
        <f ca="1">I37+'Annual WLC by Maturity Level '!$C38</f>
        <v>-22490</v>
      </c>
      <c r="J44" s="224">
        <f ca="1">J37+'Annual WLC by Maturity Level '!$C38</f>
        <v>-23660</v>
      </c>
      <c r="K44" s="224">
        <f ca="1">K37+'Annual WLC by Maturity Level '!$C38</f>
        <v>-24830</v>
      </c>
      <c r="L44" s="224">
        <f ca="1">L37+'Annual WLC by Maturity Level '!$C38</f>
        <v>-26000</v>
      </c>
      <c r="M44" s="224">
        <f ca="1">M37+'Annual WLC by Maturity Level '!$C38</f>
        <v>-26000</v>
      </c>
      <c r="N44" s="224">
        <f ca="1">N37+'Annual WLC by Maturity Level '!$C38</f>
        <v>-26000</v>
      </c>
      <c r="O44" s="224">
        <f ca="1">O37+'Annual WLC by Maturity Level '!$C38</f>
        <v>-26000</v>
      </c>
      <c r="P44" s="224">
        <f ca="1">P37+'Annual WLC by Maturity Level '!$C38</f>
        <v>-26000</v>
      </c>
      <c r="Q44" s="224">
        <f ca="1">Q37+'Annual WLC by Maturity Level '!$C38</f>
        <v>-26000</v>
      </c>
      <c r="R44" s="224">
        <f ca="1">R37+'Annual WLC by Maturity Level '!$C38</f>
        <v>-26000</v>
      </c>
      <c r="S44" s="224">
        <f ca="1">S37+'Annual WLC by Maturity Level '!$C38</f>
        <v>-26000</v>
      </c>
      <c r="T44" s="224">
        <f ca="1">T37+'Annual WLC by Maturity Level '!$C38</f>
        <v>-26000</v>
      </c>
      <c r="U44" s="224">
        <f ca="1">U37+'Annual WLC by Maturity Level '!$C38</f>
        <v>-26000</v>
      </c>
      <c r="V44" s="224">
        <f ca="1">V37+'Annual WLC by Maturity Level '!$C38</f>
        <v>-26000</v>
      </c>
      <c r="W44" s="224">
        <f ca="1">W37+'Annual WLC by Maturity Level '!$C38</f>
        <v>-26000</v>
      </c>
      <c r="X44" s="224">
        <f ca="1">X37+'Annual WLC by Maturity Level '!$C38</f>
        <v>-26000</v>
      </c>
      <c r="Y44" s="224">
        <f ca="1">Y37+'Annual WLC by Maturity Level '!$C38</f>
        <v>-26000</v>
      </c>
      <c r="Z44" s="224">
        <f ca="1">Z37+'Annual WLC by Maturity Level '!$C38</f>
        <v>-26000</v>
      </c>
      <c r="AA44" s="224">
        <f ca="1">AA37+'Annual WLC by Maturity Level '!$C38</f>
        <v>-26000</v>
      </c>
    </row>
    <row r="45" spans="1:27" s="53" customFormat="1">
      <c r="A45" s="148" t="s">
        <v>183</v>
      </c>
      <c r="B45" s="149">
        <f ca="1">B40</f>
        <v>2108.890000000596</v>
      </c>
      <c r="C45" s="149">
        <f ca="1">C40-B40</f>
        <v>2108.890000000596</v>
      </c>
      <c r="D45" s="149">
        <f t="shared" ref="D45:AA45" ca="1" si="0">D40-C40</f>
        <v>94915.33400000073</v>
      </c>
      <c r="E45" s="149">
        <f t="shared" ca="1" si="0"/>
        <v>94915.33400000073</v>
      </c>
      <c r="F45" s="149">
        <f t="shared" ca="1" si="0"/>
        <v>53115.33400000073</v>
      </c>
      <c r="G45" s="149">
        <f t="shared" ca="1" si="0"/>
        <v>53115.33400000073</v>
      </c>
      <c r="H45" s="149">
        <f t="shared" ca="1" si="0"/>
        <v>112896.00200000033</v>
      </c>
      <c r="I45" s="149">
        <f t="shared" ca="1" si="0"/>
        <v>112896.00200000033</v>
      </c>
      <c r="J45" s="149">
        <f t="shared" ca="1" si="0"/>
        <v>151933.33333333395</v>
      </c>
      <c r="K45" s="149">
        <f t="shared" ca="1" si="0"/>
        <v>151933.33333333395</v>
      </c>
      <c r="L45" s="149">
        <f t="shared" ca="1" si="0"/>
        <v>151933.33333333395</v>
      </c>
      <c r="M45" s="149">
        <f t="shared" ca="1" si="0"/>
        <v>0</v>
      </c>
      <c r="N45" s="149">
        <f t="shared" ca="1" si="0"/>
        <v>0</v>
      </c>
      <c r="O45" s="149">
        <f t="shared" ca="1" si="0"/>
        <v>0</v>
      </c>
      <c r="P45" s="149">
        <f t="shared" ca="1" si="0"/>
        <v>0</v>
      </c>
      <c r="Q45" s="149">
        <f t="shared" ca="1" si="0"/>
        <v>0</v>
      </c>
      <c r="R45" s="149">
        <f t="shared" ca="1" si="0"/>
        <v>0</v>
      </c>
      <c r="S45" s="149">
        <f t="shared" ca="1" si="0"/>
        <v>0</v>
      </c>
      <c r="T45" s="149">
        <f t="shared" ca="1" si="0"/>
        <v>0</v>
      </c>
      <c r="U45" s="149">
        <f t="shared" ca="1" si="0"/>
        <v>0</v>
      </c>
      <c r="V45" s="149">
        <f t="shared" ca="1" si="0"/>
        <v>0</v>
      </c>
      <c r="W45" s="149">
        <f t="shared" ca="1" si="0"/>
        <v>0</v>
      </c>
      <c r="X45" s="149">
        <f t="shared" ca="1" si="0"/>
        <v>0</v>
      </c>
      <c r="Y45" s="149">
        <f t="shared" ca="1" si="0"/>
        <v>0</v>
      </c>
      <c r="Z45" s="149">
        <f t="shared" ca="1" si="0"/>
        <v>0</v>
      </c>
      <c r="AA45" s="149">
        <f t="shared" ca="1" si="0"/>
        <v>0</v>
      </c>
    </row>
    <row r="46" spans="1:27" s="53" customFormat="1">
      <c r="A46" s="150" t="s">
        <v>184</v>
      </c>
      <c r="B46" s="149">
        <f ca="1">1/(1+'Financial Data'!$C$8)^B14*B40</f>
        <v>2108.890000000596</v>
      </c>
      <c r="C46" s="149">
        <f ca="1">1/(1+'Financial Data'!$C$8)^C14*C40</f>
        <v>4075.1497584552585</v>
      </c>
      <c r="D46" s="149">
        <f ca="1">1/(1+'Financial Data'!$C$8)^D14*D40</f>
        <v>92541.822679644276</v>
      </c>
      <c r="E46" s="149">
        <f ca="1">1/(1+'Financial Data'!$C$8)^E14*E40</f>
        <v>175020.58221980295</v>
      </c>
      <c r="F46" s="149">
        <f ca="1">1/(1+'Financial Data'!$C$8)^F14*F40</f>
        <v>215388.95679248724</v>
      </c>
      <c r="G46" s="149">
        <f ca="1">1/(1+'Financial Data'!$C$8)^G14*G40</f>
        <v>252826.95824000161</v>
      </c>
      <c r="H46" s="149">
        <f ca="1">1/(1+'Financial Data'!$C$8)^H14*H40</f>
        <v>336118.22470493539</v>
      </c>
      <c r="I46" s="149">
        <f ca="1">1/(1+'Financial Data'!$C$8)^I14*I40</f>
        <v>413487.14499681647</v>
      </c>
      <c r="J46" s="149">
        <f ca="1">1/(1+'Financial Data'!$C$8)^J14*J40</f>
        <v>514884.41702741897</v>
      </c>
      <c r="K46" s="149">
        <f ca="1">1/(1+'Financial Data'!$C$8)^K14*K40</f>
        <v>608951.05906783429</v>
      </c>
      <c r="L46" s="149">
        <f ca="1">1/(1+'Financial Data'!$C$8)^L14*L40</f>
        <v>696066.90960629005</v>
      </c>
      <c r="M46" s="149">
        <f ca="1">1/(1+'Financial Data'!$C$8)^M14*M40</f>
        <v>672528.41507854115</v>
      </c>
      <c r="N46" s="149">
        <f ca="1">1/(1+'Financial Data'!$C$8)^N14*N40</f>
        <v>649785.90828844556</v>
      </c>
      <c r="O46" s="149">
        <f ca="1">1/(1+'Financial Data'!$C$8)^O14*O40</f>
        <v>627812.47177627601</v>
      </c>
      <c r="P46" s="149">
        <f ca="1">1/(1+'Financial Data'!$C$8)^P14*P40</f>
        <v>606582.09833456611</v>
      </c>
      <c r="Q46" s="149">
        <f ca="1">1/(1+'Financial Data'!$C$8)^Q14*Q40</f>
        <v>586069.66022663412</v>
      </c>
      <c r="R46" s="149">
        <f ca="1">1/(1+'Financial Data'!$C$8)^R14*R40</f>
        <v>566250.87944602326</v>
      </c>
      <c r="S46" s="149">
        <f ca="1">1/(1+'Financial Data'!$C$8)^S14*S40</f>
        <v>547102.29898166505</v>
      </c>
      <c r="T46" s="149">
        <f ca="1">1/(1+'Financial Data'!$C$8)^T14*T40</f>
        <v>528601.25505474897</v>
      </c>
      <c r="U46" s="149">
        <f ca="1">1/(1+'Financial Data'!$C$8)^U14*U40</f>
        <v>510725.85029444349</v>
      </c>
      <c r="V46" s="149">
        <f ca="1">1/(1+'Financial Data'!$C$8)^V14*V40</f>
        <v>493454.92782071832</v>
      </c>
      <c r="W46" s="149">
        <f ca="1">1/(1+'Financial Data'!$C$8)^W14*W40</f>
        <v>476768.04620359273</v>
      </c>
      <c r="X46" s="149">
        <f ca="1">1/(1+'Financial Data'!$C$8)^X14*X40</f>
        <v>460645.45526917168</v>
      </c>
      <c r="Y46" s="149">
        <f ca="1">1/(1+'Financial Data'!$C$8)^Y14*Y40</f>
        <v>445068.07272383739</v>
      </c>
      <c r="Z46" s="149">
        <f ca="1">1/(1+'Financial Data'!$C$8)^Z14*Z40</f>
        <v>430017.46156892512</v>
      </c>
      <c r="AA46" s="149">
        <f ca="1">1/(1+'Financial Data'!$C$8)^AA14*AA40</f>
        <v>415475.80827915471</v>
      </c>
    </row>
    <row r="47" spans="1:27" s="225" customFormat="1">
      <c r="A47" s="223" t="str">
        <f>'Asset Info'!$C$10</f>
        <v>Crossrail</v>
      </c>
      <c r="B47" s="224">
        <f ca="1">1/(1+'Financial Data'!$C$8)^B$14*B41</f>
        <v>1750</v>
      </c>
      <c r="C47" s="224">
        <f ca="1">1/(1+'Financial Data'!$C$8)^C$14*C41</f>
        <v>3381.6425120772951</v>
      </c>
      <c r="D47" s="224">
        <f ca="1">1/(1+'Financial Data'!$C$8)^D$14*D41</f>
        <v>4247.4736866671337</v>
      </c>
      <c r="E47" s="224">
        <f ca="1">1/(1+'Financial Data'!$C$8)^E$14*E41</f>
        <v>5050.8791517409254</v>
      </c>
      <c r="F47" s="224">
        <f ca="1">1/(1+'Financial Data'!$C$8)^F$14*F41</f>
        <v>5795.090814195506</v>
      </c>
      <c r="G47" s="224">
        <f ca="1">1/(1+'Financial Data'!$C$8)^G$14*G41</f>
        <v>6483.1933848106364</v>
      </c>
      <c r="H47" s="224">
        <f ca="1">1/(1+'Financial Data'!$C$8)^H$14*H41</f>
        <v>8826.4819907391175</v>
      </c>
      <c r="I47" s="224">
        <f ca="1">1/(1+'Financial Data'!$C$8)^I$14*I41</f>
        <v>11003.873449573468</v>
      </c>
      <c r="J47" s="224">
        <f ca="1">1/(1+'Financial Data'!$C$8)^J$14*J41</f>
        <v>10631.761787027508</v>
      </c>
      <c r="K47" s="224">
        <f ca="1">1/(1+'Financial Data'!$C$8)^K$14*K41</f>
        <v>10272.233610654597</v>
      </c>
      <c r="L47" s="224">
        <f ca="1">1/(1+'Financial Data'!$C$8)^L$14*L41</f>
        <v>9924.8633919368112</v>
      </c>
      <c r="M47" s="224">
        <f ca="1">1/(1+'Financial Data'!$C$8)^M$14*M41</f>
        <v>9589.2399922094792</v>
      </c>
      <c r="N47" s="224">
        <f ca="1">1/(1+'Financial Data'!$C$8)^N$14*N41</f>
        <v>9264.9661760478048</v>
      </c>
      <c r="O47" s="224">
        <f ca="1">1/(1+'Financial Data'!$C$8)^O$14*O41</f>
        <v>8951.6581411089937</v>
      </c>
      <c r="P47" s="224">
        <f ca="1">1/(1+'Financial Data'!$C$8)^P$14*P41</f>
        <v>8648.9450638734215</v>
      </c>
      <c r="Q47" s="224">
        <f ca="1">1/(1+'Financial Data'!$C$8)^Q$14*Q41</f>
        <v>8356.4686607472704</v>
      </c>
      <c r="R47" s="224">
        <f ca="1">1/(1+'Financial Data'!$C$8)^R$14*R41</f>
        <v>8073.8827640070249</v>
      </c>
      <c r="S47" s="224">
        <f ca="1">1/(1+'Financial Data'!$C$8)^S$14*S41</f>
        <v>7800.8529120840822</v>
      </c>
      <c r="T47" s="224">
        <f ca="1">1/(1+'Financial Data'!$C$8)^T$14*T41</f>
        <v>7537.0559537044282</v>
      </c>
      <c r="U47" s="224">
        <f ca="1">1/(1+'Financial Data'!$C$8)^U$14*U41</f>
        <v>7282.1796654149075</v>
      </c>
      <c r="V47" s="224">
        <f ca="1">1/(1+'Financial Data'!$C$8)^V$14*V41</f>
        <v>7035.9223820433881</v>
      </c>
      <c r="W47" s="224">
        <f ca="1">1/(1+'Financial Data'!$C$8)^W$14*W41</f>
        <v>6797.9926396554501</v>
      </c>
      <c r="X47" s="224">
        <f ca="1">1/(1+'Financial Data'!$C$8)^X$14*X41</f>
        <v>6568.1088305849753</v>
      </c>
      <c r="Y47" s="224">
        <f ca="1">1/(1+'Financial Data'!$C$8)^Y$14*Y41</f>
        <v>6345.998870130411</v>
      </c>
      <c r="Z47" s="224">
        <f ca="1">1/(1+'Financial Data'!$C$8)^Z$14*Z41</f>
        <v>6131.3998745221379</v>
      </c>
      <c r="AA47" s="224">
        <f ca="1">1/(1+'Financial Data'!$C$8)^AA$14*AA41</f>
        <v>5924.0578497798433</v>
      </c>
    </row>
    <row r="48" spans="1:27" s="225" customFormat="1">
      <c r="A48" s="223" t="str">
        <f>'Asset Info'!$D$10</f>
        <v>NR Western</v>
      </c>
      <c r="B48" s="224">
        <f ca="1">1/(1+'Financial Data'!$C$8)^B$14*B42</f>
        <v>6608.890000000596</v>
      </c>
      <c r="C48" s="224">
        <f ca="1">1/(1+'Financial Data'!$C$8)^C$14*C42</f>
        <v>12770.801932368302</v>
      </c>
      <c r="D48" s="224">
        <f ca="1">1/(1+'Financial Data'!$C$8)^D$14*D42</f>
        <v>102021.62384186509</v>
      </c>
      <c r="E48" s="224">
        <f ca="1">1/(1+'Financial Data'!$C$8)^E$14*E42</f>
        <v>185221.55422090826</v>
      </c>
      <c r="F48" s="224">
        <f ca="1">1/(1+'Financial Data'!$C$8)^F$14*F42</f>
        <v>224957.39245261758</v>
      </c>
      <c r="G48" s="224">
        <f ca="1">1/(1+'Financial Data'!$C$8)^G$14*G42</f>
        <v>261793.97246704489</v>
      </c>
      <c r="H48" s="224">
        <f ca="1">1/(1+'Financial Data'!$C$8)^H$14*H42</f>
        <v>343903.42587096058</v>
      </c>
      <c r="I48" s="224">
        <f ca="1">1/(1+'Financial Data'!$C$8)^I$14*I42</f>
        <v>420160.20825302205</v>
      </c>
      <c r="J48" s="224">
        <f ca="1">1/(1+'Financial Data'!$C$8)^J$14*J42</f>
        <v>522220.33266046795</v>
      </c>
      <c r="K48" s="224">
        <f ca="1">1/(1+'Financial Data'!$C$8)^K$14*K42</f>
        <v>616897.36549664789</v>
      </c>
      <c r="L48" s="224">
        <f ca="1">1/(1+'Financial Data'!$C$8)^L$14*L42</f>
        <v>704573.9353708073</v>
      </c>
      <c r="M48" s="224">
        <f ca="1">1/(1+'Financial Data'!$C$8)^M$14*M42</f>
        <v>680747.76364329213</v>
      </c>
      <c r="N48" s="224">
        <f ca="1">1/(1+'Financial Data'!$C$8)^N$14*N42</f>
        <v>657727.30786791502</v>
      </c>
      <c r="O48" s="224">
        <f ca="1">1/(1+'Financial Data'!$C$8)^O$14*O42</f>
        <v>635485.32161151234</v>
      </c>
      <c r="P48" s="224">
        <f ca="1">1/(1+'Financial Data'!$C$8)^P$14*P42</f>
        <v>613995.47981788625</v>
      </c>
      <c r="Q48" s="224">
        <f ca="1">1/(1+'Financial Data'!$C$8)^Q$14*Q42</f>
        <v>593232.34765013168</v>
      </c>
      <c r="R48" s="224">
        <f ca="1">1/(1+'Financial Data'!$C$8)^R$14*R42</f>
        <v>573171.35038660071</v>
      </c>
      <c r="S48" s="224">
        <f ca="1">1/(1+'Financial Data'!$C$8)^S$14*S42</f>
        <v>553788.74433488003</v>
      </c>
      <c r="T48" s="224">
        <f ca="1">1/(1+'Financial Data'!$C$8)^T$14*T42</f>
        <v>535061.58872935269</v>
      </c>
      <c r="U48" s="224">
        <f ca="1">1/(1+'Financial Data'!$C$8)^U$14*U42</f>
        <v>516967.71857908485</v>
      </c>
      <c r="V48" s="224">
        <f ca="1">1/(1+'Financial Data'!$C$8)^V$14*V42</f>
        <v>499485.71843389835</v>
      </c>
      <c r="W48" s="224">
        <f ca="1">1/(1+'Financial Data'!$C$8)^W$14*W42</f>
        <v>482594.89703758311</v>
      </c>
      <c r="X48" s="224">
        <f ca="1">1/(1+'Financial Data'!$C$8)^X$14*X42</f>
        <v>466275.2628382445</v>
      </c>
      <c r="Y48" s="224">
        <f ca="1">1/(1+'Financial Data'!$C$8)^Y$14*Y42</f>
        <v>450507.50032680627</v>
      </c>
      <c r="Z48" s="224">
        <f ca="1">1/(1+'Financial Data'!$C$8)^Z$14*Z42</f>
        <v>435272.94717565837</v>
      </c>
      <c r="AA48" s="224">
        <f ca="1">1/(1+'Financial Data'!$C$8)^AA$14*AA42</f>
        <v>420553.57215039461</v>
      </c>
    </row>
    <row r="49" spans="1:27" s="225" customFormat="1">
      <c r="A49" s="223" t="str">
        <f>'Asset Info'!$E$10</f>
        <v>Balfour Beatty</v>
      </c>
      <c r="B49" s="224">
        <f ca="1">1/(1+'Financial Data'!$C$8)^B$14*B43</f>
        <v>0</v>
      </c>
      <c r="C49" s="224">
        <f ca="1">1/(1+'Financial Data'!$C$8)^C$14*C43</f>
        <v>0</v>
      </c>
      <c r="D49" s="224">
        <f ca="1">1/(1+'Financial Data'!$C$8)^D$14*D43</f>
        <v>0</v>
      </c>
      <c r="E49" s="224">
        <f ca="1">1/(1+'Financial Data'!$C$8)^E$14*E43</f>
        <v>0</v>
      </c>
      <c r="F49" s="224">
        <f ca="1">1/(1+'Financial Data'!$C$8)^F$14*F43</f>
        <v>0</v>
      </c>
      <c r="G49" s="224">
        <f ca="1">1/(1+'Financial Data'!$C$8)^G$14*G43</f>
        <v>0</v>
      </c>
      <c r="H49" s="224">
        <f ca="1">1/(1+'Financial Data'!$C$8)^H$14*H43</f>
        <v>0</v>
      </c>
      <c r="I49" s="224">
        <f ca="1">1/(1+'Financial Data'!$C$8)^I$14*I43</f>
        <v>0</v>
      </c>
      <c r="J49" s="224">
        <f ca="1">1/(1+'Financial Data'!$C$8)^J$14*J43</f>
        <v>0</v>
      </c>
      <c r="K49" s="224">
        <f ca="1">1/(1+'Financial Data'!$C$8)^K$14*K43</f>
        <v>0</v>
      </c>
      <c r="L49" s="224">
        <f ca="1">1/(1+'Financial Data'!$C$8)^L$14*L43</f>
        <v>0</v>
      </c>
      <c r="M49" s="224">
        <f ca="1">1/(1+'Financial Data'!$C$8)^M$14*M43</f>
        <v>0</v>
      </c>
      <c r="N49" s="224">
        <f ca="1">1/(1+'Financial Data'!$C$8)^N$14*N43</f>
        <v>0</v>
      </c>
      <c r="O49" s="224">
        <f ca="1">1/(1+'Financial Data'!$C$8)^O$14*O43</f>
        <v>0</v>
      </c>
      <c r="P49" s="224">
        <f ca="1">1/(1+'Financial Data'!$C$8)^P$14*P43</f>
        <v>0</v>
      </c>
      <c r="Q49" s="224">
        <f ca="1">1/(1+'Financial Data'!$C$8)^Q$14*Q43</f>
        <v>0</v>
      </c>
      <c r="R49" s="224">
        <f ca="1">1/(1+'Financial Data'!$C$8)^R$14*R43</f>
        <v>0</v>
      </c>
      <c r="S49" s="224">
        <f ca="1">1/(1+'Financial Data'!$C$8)^S$14*S43</f>
        <v>0</v>
      </c>
      <c r="T49" s="224">
        <f ca="1">1/(1+'Financial Data'!$C$8)^T$14*T43</f>
        <v>0</v>
      </c>
      <c r="U49" s="224">
        <f ca="1">1/(1+'Financial Data'!$C$8)^U$14*U43</f>
        <v>0</v>
      </c>
      <c r="V49" s="224">
        <f ca="1">1/(1+'Financial Data'!$C$8)^V$14*V43</f>
        <v>0</v>
      </c>
      <c r="W49" s="224">
        <f ca="1">1/(1+'Financial Data'!$C$8)^W$14*W43</f>
        <v>0</v>
      </c>
      <c r="X49" s="224">
        <f ca="1">1/(1+'Financial Data'!$C$8)^X$14*X43</f>
        <v>0</v>
      </c>
      <c r="Y49" s="224">
        <f ca="1">1/(1+'Financial Data'!$C$8)^Y$14*Y43</f>
        <v>0</v>
      </c>
      <c r="Z49" s="224">
        <f ca="1">1/(1+'Financial Data'!$C$8)^Z$14*Z43</f>
        <v>0</v>
      </c>
      <c r="AA49" s="224">
        <f ca="1">1/(1+'Financial Data'!$C$8)^AA$14*AA43</f>
        <v>0</v>
      </c>
    </row>
    <row r="50" spans="1:27" s="225" customFormat="1">
      <c r="A50" s="223" t="str">
        <f>'Asset Info'!$F$10</f>
        <v>RSSB</v>
      </c>
      <c r="B50" s="224">
        <f ca="1">1/(1+'Financial Data'!$C$8)^B$14*B44</f>
        <v>-6250</v>
      </c>
      <c r="C50" s="224">
        <f ca="1">1/(1+'Financial Data'!$C$8)^C$14*C44</f>
        <v>-12077.294685990339</v>
      </c>
      <c r="D50" s="224">
        <f ca="1">1/(1+'Financial Data'!$C$8)^D$14*D44</f>
        <v>-13727.274848887957</v>
      </c>
      <c r="E50" s="224">
        <f ca="1">1/(1+'Financial Data'!$C$8)^E$14*E44</f>
        <v>-15251.851152846259</v>
      </c>
      <c r="F50" s="224">
        <f ca="1">1/(1+'Financial Data'!$C$8)^F$14*F44</f>
        <v>-15363.52647432583</v>
      </c>
      <c r="G50" s="224">
        <f ca="1">1/(1+'Financial Data'!$C$8)^G$14*G44</f>
        <v>-15450.207611853919</v>
      </c>
      <c r="H50" s="224">
        <f ca="1">1/(1+'Financial Data'!$C$8)^H$14*H44</f>
        <v>-16611.683156764313</v>
      </c>
      <c r="I50" s="224">
        <f ca="1">1/(1+'Financial Data'!$C$8)^I$14*I44</f>
        <v>-17676.936705779091</v>
      </c>
      <c r="J50" s="224">
        <f ca="1">1/(1+'Financial Data'!$C$8)^J$14*J44</f>
        <v>-17967.677420076488</v>
      </c>
      <c r="K50" s="224">
        <f ca="1">1/(1+'Financial Data'!$C$8)^K$14*K44</f>
        <v>-18218.54003946812</v>
      </c>
      <c r="L50" s="224">
        <f ca="1">1/(1+'Financial Data'!$C$8)^L$14*L44</f>
        <v>-18431.889156454075</v>
      </c>
      <c r="M50" s="224">
        <f ca="1">1/(1+'Financial Data'!$C$8)^M$14*M44</f>
        <v>-17808.588556960462</v>
      </c>
      <c r="N50" s="224">
        <f ca="1">1/(1+'Financial Data'!$C$8)^N$14*N44</f>
        <v>-17206.365755517352</v>
      </c>
      <c r="O50" s="224">
        <f ca="1">1/(1+'Financial Data'!$C$8)^O$14*O44</f>
        <v>-16624.507976345274</v>
      </c>
      <c r="P50" s="224">
        <f ca="1">1/(1+'Financial Data'!$C$8)^P$14*P44</f>
        <v>-16062.326547193499</v>
      </c>
      <c r="Q50" s="224">
        <f ca="1">1/(1+'Financial Data'!$C$8)^Q$14*Q44</f>
        <v>-15519.156084244929</v>
      </c>
      <c r="R50" s="224">
        <f ca="1">1/(1+'Financial Data'!$C$8)^R$14*R44</f>
        <v>-14994.353704584473</v>
      </c>
      <c r="S50" s="224">
        <f ca="1">1/(1+'Financial Data'!$C$8)^S$14*S44</f>
        <v>-14487.29826529901</v>
      </c>
      <c r="T50" s="224">
        <f ca="1">1/(1+'Financial Data'!$C$8)^T$14*T44</f>
        <v>-13997.389628308223</v>
      </c>
      <c r="U50" s="224">
        <f ca="1">1/(1+'Financial Data'!$C$8)^U$14*U44</f>
        <v>-13524.047950056258</v>
      </c>
      <c r="V50" s="224">
        <f ca="1">1/(1+'Financial Data'!$C$8)^V$14*V44</f>
        <v>-13066.712995223435</v>
      </c>
      <c r="W50" s="224">
        <f ca="1">1/(1+'Financial Data'!$C$8)^W$14*W44</f>
        <v>-12624.843473645835</v>
      </c>
      <c r="X50" s="224">
        <f ca="1">1/(1+'Financial Data'!$C$8)^X$14*X44</f>
        <v>-12197.916399657812</v>
      </c>
      <c r="Y50" s="224">
        <f ca="1">1/(1+'Financial Data'!$C$8)^Y$14*Y44</f>
        <v>-11785.426473099335</v>
      </c>
      <c r="Z50" s="224">
        <f ca="1">1/(1+'Financial Data'!$C$8)^Z$14*Z44</f>
        <v>-11386.885481255398</v>
      </c>
      <c r="AA50" s="224">
        <f ca="1">1/(1+'Financial Data'!$C$8)^AA$14*AA44</f>
        <v>-11001.821721019709</v>
      </c>
    </row>
    <row r="51" spans="1:27" s="53" customFormat="1">
      <c r="A51" s="150" t="s">
        <v>185</v>
      </c>
      <c r="B51" s="149">
        <f ca="1">1/(1+'Financial Data'!$C$8)^B14*B45</f>
        <v>2108.890000000596</v>
      </c>
      <c r="C51" s="149">
        <f ca="1">1/(1+'Financial Data'!$C$8)^C14*C45</f>
        <v>2037.5748792276293</v>
      </c>
      <c r="D51" s="149">
        <f ca="1">1/(1+'Financial Data'!$C$8)^D14*D45</f>
        <v>88604.479917851742</v>
      </c>
      <c r="E51" s="149">
        <f ca="1">1/(1+'Financial Data'!$C$8)^E14*E45</f>
        <v>85608.193157344693</v>
      </c>
      <c r="F51" s="149">
        <f ca="1">1/(1+'Financial Data'!$C$8)^F14*F45</f>
        <v>46286.944985914357</v>
      </c>
      <c r="G51" s="149">
        <f ca="1">1/(1+'Financial Data'!$C$8)^G14*G45</f>
        <v>44721.685976728855</v>
      </c>
      <c r="H51" s="149">
        <f ca="1">1/(1+'Financial Data'!$C$8)^H14*H45</f>
        <v>91840.970366769616</v>
      </c>
      <c r="I51" s="149">
        <f ca="1">1/(1+'Financial Data'!$C$8)^I14*I45</f>
        <v>88735.23706934262</v>
      </c>
      <c r="J51" s="149">
        <f ca="1">1/(1+'Financial Data'!$C$8)^J14*J45</f>
        <v>115379.92910778947</v>
      </c>
      <c r="K51" s="149">
        <f ca="1">1/(1+'Financial Data'!$C$8)^K14*K45</f>
        <v>111478.19237467583</v>
      </c>
      <c r="L51" s="149">
        <f ca="1">1/(1+'Financial Data'!$C$8)^L14*L45</f>
        <v>107708.39842963849</v>
      </c>
      <c r="M51" s="149">
        <f ca="1">1/(1+'Financial Data'!$C$8)^M14*M45</f>
        <v>0</v>
      </c>
      <c r="N51" s="149">
        <f ca="1">1/(1+'Financial Data'!$C$8)^N14*N45</f>
        <v>0</v>
      </c>
      <c r="O51" s="149">
        <f ca="1">1/(1+'Financial Data'!$C$8)^O14*O45</f>
        <v>0</v>
      </c>
      <c r="P51" s="149">
        <f ca="1">1/(1+'Financial Data'!$C$8)^P14*P45</f>
        <v>0</v>
      </c>
      <c r="Q51" s="149">
        <f ca="1">1/(1+'Financial Data'!$C$8)^Q14*Q45</f>
        <v>0</v>
      </c>
      <c r="R51" s="149">
        <f ca="1">1/(1+'Financial Data'!$C$8)^R14*R45</f>
        <v>0</v>
      </c>
      <c r="S51" s="149">
        <f ca="1">1/(1+'Financial Data'!$C$8)^S14*S45</f>
        <v>0</v>
      </c>
      <c r="T51" s="149">
        <f ca="1">1/(1+'Financial Data'!$C$8)^T14*T45</f>
        <v>0</v>
      </c>
      <c r="U51" s="149">
        <f ca="1">1/(1+'Financial Data'!$C$8)^U14*U45</f>
        <v>0</v>
      </c>
      <c r="V51" s="149">
        <f ca="1">1/(1+'Financial Data'!$C$8)^V14*V45</f>
        <v>0</v>
      </c>
      <c r="W51" s="149">
        <f ca="1">1/(1+'Financial Data'!$C$8)^W14*W45</f>
        <v>0</v>
      </c>
      <c r="X51" s="149">
        <f ca="1">1/(1+'Financial Data'!$C$8)^X14*X45</f>
        <v>0</v>
      </c>
      <c r="Y51" s="149">
        <f ca="1">1/(1+'Financial Data'!$C$8)^Y14*Y45</f>
        <v>0</v>
      </c>
      <c r="Z51" s="149">
        <f ca="1">1/(1+'Financial Data'!$C$8)^Z14*Z45</f>
        <v>0</v>
      </c>
      <c r="AA51" s="149">
        <f ca="1">1/(1+'Financial Data'!$C$8)^AA14*AA45</f>
        <v>0</v>
      </c>
    </row>
    <row r="52" spans="1:27">
      <c r="A52" s="21"/>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row>
    <row r="53" spans="1:27">
      <c r="A53" s="22" t="s">
        <v>188</v>
      </c>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row>
    <row r="54" spans="1:27" s="53" customFormat="1">
      <c r="A54" s="148" t="s">
        <v>161</v>
      </c>
      <c r="B54" s="149">
        <f t="shared" ref="B54:AA58" ca="1" si="1">B22+B40</f>
        <v>-32891.109999999404</v>
      </c>
      <c r="C54" s="149">
        <f t="shared" ca="1" si="1"/>
        <v>-30782.219999998808</v>
      </c>
      <c r="D54" s="149">
        <f t="shared" ca="1" si="1"/>
        <v>74633.114000001922</v>
      </c>
      <c r="E54" s="149">
        <f t="shared" ca="1" si="1"/>
        <v>169548.44800000265</v>
      </c>
      <c r="F54" s="149">
        <f t="shared" ca="1" si="1"/>
        <v>239163.78200000338</v>
      </c>
      <c r="G54" s="149">
        <f t="shared" ca="1" si="1"/>
        <v>292279.11600000411</v>
      </c>
      <c r="H54" s="149">
        <f t="shared" ca="1" si="1"/>
        <v>390175.11800000444</v>
      </c>
      <c r="I54" s="149">
        <f t="shared" ca="1" si="1"/>
        <v>503071.12000000477</v>
      </c>
      <c r="J54" s="149">
        <f t="shared" ca="1" si="1"/>
        <v>665004.45333333872</v>
      </c>
      <c r="K54" s="149">
        <f t="shared" ca="1" si="1"/>
        <v>816937.78666667268</v>
      </c>
      <c r="L54" s="149">
        <f t="shared" ca="1" si="1"/>
        <v>968871.12000000663</v>
      </c>
      <c r="M54" s="149">
        <f t="shared" ca="1" si="1"/>
        <v>981871.12000000663</v>
      </c>
      <c r="N54" s="149">
        <f t="shared" ca="1" si="1"/>
        <v>981871.12000000663</v>
      </c>
      <c r="O54" s="149">
        <f t="shared" ca="1" si="1"/>
        <v>981871.12000000663</v>
      </c>
      <c r="P54" s="149">
        <f t="shared" ca="1" si="1"/>
        <v>981871.12000000663</v>
      </c>
      <c r="Q54" s="149">
        <f t="shared" ca="1" si="1"/>
        <v>981871.12000000663</v>
      </c>
      <c r="R54" s="149">
        <f t="shared" ca="1" si="1"/>
        <v>981871.12000000663</v>
      </c>
      <c r="S54" s="149">
        <f t="shared" ca="1" si="1"/>
        <v>981871.12000000663</v>
      </c>
      <c r="T54" s="149">
        <f t="shared" ca="1" si="1"/>
        <v>981871.12000000663</v>
      </c>
      <c r="U54" s="149">
        <f t="shared" ca="1" si="1"/>
        <v>981871.12000000663</v>
      </c>
      <c r="V54" s="149">
        <f t="shared" ca="1" si="1"/>
        <v>981871.12000000663</v>
      </c>
      <c r="W54" s="149">
        <f t="shared" ca="1" si="1"/>
        <v>981871.12000000663</v>
      </c>
      <c r="X54" s="149">
        <f t="shared" ca="1" si="1"/>
        <v>981871.12000000663</v>
      </c>
      <c r="Y54" s="149">
        <f t="shared" ca="1" si="1"/>
        <v>981871.12000000663</v>
      </c>
      <c r="Z54" s="149">
        <f t="shared" ca="1" si="1"/>
        <v>981871.12000000663</v>
      </c>
      <c r="AA54" s="149">
        <f t="shared" ca="1" si="1"/>
        <v>981871.12000000663</v>
      </c>
    </row>
    <row r="55" spans="1:27" s="225" customFormat="1">
      <c r="A55" s="223" t="str">
        <f>'Asset Info'!$C$10</f>
        <v>Crossrail</v>
      </c>
      <c r="B55" s="224">
        <f t="shared" ca="1" si="1"/>
        <v>1750</v>
      </c>
      <c r="C55" s="224">
        <f t="shared" ca="1" si="1"/>
        <v>3500</v>
      </c>
      <c r="D55" s="224">
        <f t="shared" ca="1" si="1"/>
        <v>4550</v>
      </c>
      <c r="E55" s="224">
        <f t="shared" ca="1" si="1"/>
        <v>5600</v>
      </c>
      <c r="F55" s="224">
        <f t="shared" ca="1" si="1"/>
        <v>6650</v>
      </c>
      <c r="G55" s="224">
        <f t="shared" ca="1" si="1"/>
        <v>7700</v>
      </c>
      <c r="H55" s="224">
        <f t="shared" ca="1" si="1"/>
        <v>10850</v>
      </c>
      <c r="I55" s="224">
        <f t="shared" ca="1" si="1"/>
        <v>14000</v>
      </c>
      <c r="J55" s="224">
        <f t="shared" ca="1" si="1"/>
        <v>14000</v>
      </c>
      <c r="K55" s="224">
        <f t="shared" ca="1" si="1"/>
        <v>14000</v>
      </c>
      <c r="L55" s="224">
        <f t="shared" ca="1" si="1"/>
        <v>14000</v>
      </c>
      <c r="M55" s="224">
        <f t="shared" ca="1" si="1"/>
        <v>14000</v>
      </c>
      <c r="N55" s="224">
        <f t="shared" ca="1" si="1"/>
        <v>14000</v>
      </c>
      <c r="O55" s="224">
        <f t="shared" ca="1" si="1"/>
        <v>14000</v>
      </c>
      <c r="P55" s="224">
        <f t="shared" ca="1" si="1"/>
        <v>14000</v>
      </c>
      <c r="Q55" s="224">
        <f t="shared" ca="1" si="1"/>
        <v>14000</v>
      </c>
      <c r="R55" s="224">
        <f t="shared" ca="1" si="1"/>
        <v>14000</v>
      </c>
      <c r="S55" s="224">
        <f t="shared" ca="1" si="1"/>
        <v>14000</v>
      </c>
      <c r="T55" s="224">
        <f t="shared" ca="1" si="1"/>
        <v>14000</v>
      </c>
      <c r="U55" s="224">
        <f t="shared" ca="1" si="1"/>
        <v>14000</v>
      </c>
      <c r="V55" s="224">
        <f t="shared" ca="1" si="1"/>
        <v>14000</v>
      </c>
      <c r="W55" s="224">
        <f t="shared" ca="1" si="1"/>
        <v>14000</v>
      </c>
      <c r="X55" s="224">
        <f t="shared" ca="1" si="1"/>
        <v>14000</v>
      </c>
      <c r="Y55" s="224">
        <f t="shared" ca="1" si="1"/>
        <v>14000</v>
      </c>
      <c r="Z55" s="224">
        <f t="shared" ca="1" si="1"/>
        <v>14000</v>
      </c>
      <c r="AA55" s="224">
        <f t="shared" ca="1" si="1"/>
        <v>14000</v>
      </c>
    </row>
    <row r="56" spans="1:27" s="225" customFormat="1">
      <c r="A56" s="223" t="str">
        <f>'Asset Info'!$D$10</f>
        <v>NR Western</v>
      </c>
      <c r="B56" s="224">
        <f t="shared" ca="1" si="1"/>
        <v>-17891.109999999404</v>
      </c>
      <c r="C56" s="224">
        <f t="shared" ca="1" si="1"/>
        <v>-11282.219999998808</v>
      </c>
      <c r="D56" s="224">
        <f t="shared" ca="1" si="1"/>
        <v>92138.114000001922</v>
      </c>
      <c r="E56" s="224">
        <f t="shared" ca="1" si="1"/>
        <v>188208.44800000265</v>
      </c>
      <c r="F56" s="224">
        <f t="shared" ca="1" si="1"/>
        <v>252543.78200000338</v>
      </c>
      <c r="G56" s="224">
        <f t="shared" ca="1" si="1"/>
        <v>305329.11600000411</v>
      </c>
      <c r="H56" s="224">
        <f t="shared" ca="1" si="1"/>
        <v>406645.11800000444</v>
      </c>
      <c r="I56" s="224">
        <f t="shared" ca="1" si="1"/>
        <v>518461.12000000477</v>
      </c>
      <c r="J56" s="224">
        <f t="shared" ca="1" si="1"/>
        <v>678564.45333333872</v>
      </c>
      <c r="K56" s="224">
        <f t="shared" ca="1" si="1"/>
        <v>831667.78666667268</v>
      </c>
      <c r="L56" s="224">
        <f t="shared" ca="1" si="1"/>
        <v>984771.12000000663</v>
      </c>
      <c r="M56" s="224">
        <f t="shared" ca="1" si="1"/>
        <v>993871.12000000663</v>
      </c>
      <c r="N56" s="224">
        <f t="shared" ca="1" si="1"/>
        <v>993871.12000000663</v>
      </c>
      <c r="O56" s="224">
        <f t="shared" ca="1" si="1"/>
        <v>993871.12000000663</v>
      </c>
      <c r="P56" s="224">
        <f t="shared" ca="1" si="1"/>
        <v>993871.12000000663</v>
      </c>
      <c r="Q56" s="224">
        <f t="shared" ca="1" si="1"/>
        <v>993871.12000000663</v>
      </c>
      <c r="R56" s="224">
        <f t="shared" ca="1" si="1"/>
        <v>993871.12000000663</v>
      </c>
      <c r="S56" s="224">
        <f t="shared" ca="1" si="1"/>
        <v>993871.12000000663</v>
      </c>
      <c r="T56" s="224">
        <f t="shared" ca="1" si="1"/>
        <v>993871.12000000663</v>
      </c>
      <c r="U56" s="224">
        <f t="shared" ca="1" si="1"/>
        <v>993871.12000000663</v>
      </c>
      <c r="V56" s="224">
        <f t="shared" ca="1" si="1"/>
        <v>993871.12000000663</v>
      </c>
      <c r="W56" s="224">
        <f t="shared" ca="1" si="1"/>
        <v>993871.12000000663</v>
      </c>
      <c r="X56" s="224">
        <f t="shared" ca="1" si="1"/>
        <v>993871.12000000663</v>
      </c>
      <c r="Y56" s="224">
        <f t="shared" ca="1" si="1"/>
        <v>993871.12000000663</v>
      </c>
      <c r="Z56" s="224">
        <f t="shared" ca="1" si="1"/>
        <v>993871.12000000663</v>
      </c>
      <c r="AA56" s="224">
        <f t="shared" ca="1" si="1"/>
        <v>993871.12000000663</v>
      </c>
    </row>
    <row r="57" spans="1:27" s="225" customFormat="1">
      <c r="A57" s="223" t="str">
        <f>'Asset Info'!$E$10</f>
        <v>Balfour Beatty</v>
      </c>
      <c r="B57" s="224">
        <f t="shared" ca="1" si="1"/>
        <v>0</v>
      </c>
      <c r="C57" s="224">
        <f t="shared" ca="1" si="1"/>
        <v>0</v>
      </c>
      <c r="D57" s="224">
        <f t="shared" ca="1" si="1"/>
        <v>0</v>
      </c>
      <c r="E57" s="224">
        <f t="shared" ca="1" si="1"/>
        <v>0</v>
      </c>
      <c r="F57" s="224">
        <f t="shared" ca="1" si="1"/>
        <v>0</v>
      </c>
      <c r="G57" s="224">
        <f t="shared" ca="1" si="1"/>
        <v>0</v>
      </c>
      <c r="H57" s="224">
        <f t="shared" ca="1" si="1"/>
        <v>0</v>
      </c>
      <c r="I57" s="224">
        <f t="shared" ca="1" si="1"/>
        <v>0</v>
      </c>
      <c r="J57" s="224">
        <f t="shared" ca="1" si="1"/>
        <v>0</v>
      </c>
      <c r="K57" s="224">
        <f t="shared" ca="1" si="1"/>
        <v>0</v>
      </c>
      <c r="L57" s="224">
        <f t="shared" ca="1" si="1"/>
        <v>0</v>
      </c>
      <c r="M57" s="224">
        <f t="shared" ca="1" si="1"/>
        <v>0</v>
      </c>
      <c r="N57" s="224">
        <f t="shared" ca="1" si="1"/>
        <v>0</v>
      </c>
      <c r="O57" s="224">
        <f t="shared" ca="1" si="1"/>
        <v>0</v>
      </c>
      <c r="P57" s="224">
        <f t="shared" ca="1" si="1"/>
        <v>0</v>
      </c>
      <c r="Q57" s="224">
        <f t="shared" ca="1" si="1"/>
        <v>0</v>
      </c>
      <c r="R57" s="224">
        <f t="shared" ca="1" si="1"/>
        <v>0</v>
      </c>
      <c r="S57" s="224">
        <f t="shared" ca="1" si="1"/>
        <v>0</v>
      </c>
      <c r="T57" s="224">
        <f t="shared" ca="1" si="1"/>
        <v>0</v>
      </c>
      <c r="U57" s="224">
        <f t="shared" ca="1" si="1"/>
        <v>0</v>
      </c>
      <c r="V57" s="224">
        <f t="shared" ca="1" si="1"/>
        <v>0</v>
      </c>
      <c r="W57" s="224">
        <f t="shared" ca="1" si="1"/>
        <v>0</v>
      </c>
      <c r="X57" s="224">
        <f t="shared" ca="1" si="1"/>
        <v>0</v>
      </c>
      <c r="Y57" s="224">
        <f t="shared" ca="1" si="1"/>
        <v>0</v>
      </c>
      <c r="Z57" s="224">
        <f t="shared" ca="1" si="1"/>
        <v>0</v>
      </c>
      <c r="AA57" s="224">
        <f t="shared" ca="1" si="1"/>
        <v>0</v>
      </c>
    </row>
    <row r="58" spans="1:27" s="225" customFormat="1">
      <c r="A58" s="223" t="str">
        <f>'Asset Info'!$F$10</f>
        <v>RSSB</v>
      </c>
      <c r="B58" s="224">
        <f t="shared" ca="1" si="1"/>
        <v>-16750</v>
      </c>
      <c r="C58" s="224">
        <f t="shared" ca="1" si="1"/>
        <v>-23000</v>
      </c>
      <c r="D58" s="224">
        <f t="shared" ca="1" si="1"/>
        <v>-22055</v>
      </c>
      <c r="E58" s="224">
        <f t="shared" ca="1" si="1"/>
        <v>-24260</v>
      </c>
      <c r="F58" s="224">
        <f t="shared" ca="1" si="1"/>
        <v>-20030</v>
      </c>
      <c r="G58" s="224">
        <f t="shared" ca="1" si="1"/>
        <v>-20750</v>
      </c>
      <c r="H58" s="224">
        <f t="shared" ca="1" si="1"/>
        <v>-27320</v>
      </c>
      <c r="I58" s="224">
        <f t="shared" ca="1" si="1"/>
        <v>-29390</v>
      </c>
      <c r="J58" s="224">
        <f t="shared" ca="1" si="1"/>
        <v>-27560</v>
      </c>
      <c r="K58" s="224">
        <f t="shared" ca="1" si="1"/>
        <v>-28730</v>
      </c>
      <c r="L58" s="224">
        <f t="shared" ca="1" si="1"/>
        <v>-29900</v>
      </c>
      <c r="M58" s="224">
        <f t="shared" ca="1" si="1"/>
        <v>-26000</v>
      </c>
      <c r="N58" s="224">
        <f t="shared" ca="1" si="1"/>
        <v>-26000</v>
      </c>
      <c r="O58" s="224">
        <f t="shared" ca="1" si="1"/>
        <v>-26000</v>
      </c>
      <c r="P58" s="224">
        <f t="shared" ca="1" si="1"/>
        <v>-26000</v>
      </c>
      <c r="Q58" s="224">
        <f t="shared" ca="1" si="1"/>
        <v>-26000</v>
      </c>
      <c r="R58" s="224">
        <f t="shared" ca="1" si="1"/>
        <v>-26000</v>
      </c>
      <c r="S58" s="224">
        <f t="shared" ca="1" si="1"/>
        <v>-26000</v>
      </c>
      <c r="T58" s="224">
        <f t="shared" ca="1" si="1"/>
        <v>-26000</v>
      </c>
      <c r="U58" s="224">
        <f t="shared" ca="1" si="1"/>
        <v>-26000</v>
      </c>
      <c r="V58" s="224">
        <f t="shared" ca="1" si="1"/>
        <v>-26000</v>
      </c>
      <c r="W58" s="224">
        <f t="shared" ca="1" si="1"/>
        <v>-26000</v>
      </c>
      <c r="X58" s="224">
        <f t="shared" ca="1" si="1"/>
        <v>-26000</v>
      </c>
      <c r="Y58" s="224">
        <f t="shared" ca="1" si="1"/>
        <v>-26000</v>
      </c>
      <c r="Z58" s="224">
        <f t="shared" ca="1" si="1"/>
        <v>-26000</v>
      </c>
      <c r="AA58" s="224">
        <f t="shared" ca="1" si="1"/>
        <v>-26000</v>
      </c>
    </row>
    <row r="59" spans="1:27" s="53" customFormat="1">
      <c r="A59" s="150" t="s">
        <v>186</v>
      </c>
      <c r="B59" s="149">
        <f ca="1">1/(1+'Financial Data'!$C$8)^B14*B54</f>
        <v>-32891.109999999404</v>
      </c>
      <c r="C59" s="149">
        <f ca="1">1/(1+'Financial Data'!$C$8)^C14*C54</f>
        <v>-29741.27536231769</v>
      </c>
      <c r="D59" s="149">
        <f ca="1">1/(1+'Financial Data'!$C$8)^D14*D54</f>
        <v>69670.810520667394</v>
      </c>
      <c r="E59" s="149">
        <f ca="1">1/(1+'Financial Data'!$C$8)^E14*E54</f>
        <v>152922.98593093638</v>
      </c>
      <c r="F59" s="149">
        <f ca="1">1/(1+'Financial Data'!$C$8)^F14*F54</f>
        <v>208417.41897089867</v>
      </c>
      <c r="G59" s="149">
        <f ca="1">1/(1+'Financial Data'!$C$8)^G14*G54</f>
        <v>246091.1729051334</v>
      </c>
      <c r="H59" s="149">
        <f ca="1">1/(1+'Financial Data'!$C$8)^H14*H54</f>
        <v>317407.70988585707</v>
      </c>
      <c r="I59" s="149">
        <f ca="1">1/(1+'Financial Data'!$C$8)^I14*I54</f>
        <v>395409.3529010886</v>
      </c>
      <c r="J59" s="149">
        <f ca="1">1/(1+'Financial Data'!$C$8)^J14*J54</f>
        <v>505012.06679660775</v>
      </c>
      <c r="K59" s="149">
        <f ca="1">1/(1+'Financial Data'!$C$8)^K14*K54</f>
        <v>599412.55642936938</v>
      </c>
      <c r="L59" s="149">
        <f ca="1">1/(1+'Financial Data'!$C$8)^L14*L54</f>
        <v>686850.96502806304</v>
      </c>
      <c r="M59" s="149">
        <f ca="1">1/(1+'Financial Data'!$C$8)^M14*M54</f>
        <v>672528.41507854115</v>
      </c>
      <c r="N59" s="149">
        <f ca="1">1/(1+'Financial Data'!$C$8)^N14*N54</f>
        <v>649785.90828844556</v>
      </c>
      <c r="O59" s="149">
        <f ca="1">1/(1+'Financial Data'!$C$8)^O14*O54</f>
        <v>627812.47177627601</v>
      </c>
      <c r="P59" s="149">
        <f ca="1">1/(1+'Financial Data'!$C$8)^P14*P54</f>
        <v>606582.09833456611</v>
      </c>
      <c r="Q59" s="149">
        <f ca="1">1/(1+'Financial Data'!$C$8)^Q14*Q54</f>
        <v>586069.66022663412</v>
      </c>
      <c r="R59" s="149">
        <f ca="1">1/(1+'Financial Data'!$C$8)^R14*R54</f>
        <v>566250.87944602326</v>
      </c>
      <c r="S59" s="149">
        <f ca="1">1/(1+'Financial Data'!$C$8)^S14*S54</f>
        <v>547102.29898166505</v>
      </c>
      <c r="T59" s="149">
        <f ca="1">1/(1+'Financial Data'!$C$8)^T14*T54</f>
        <v>528601.25505474897</v>
      </c>
      <c r="U59" s="149">
        <f ca="1">1/(1+'Financial Data'!$C$8)^U14*U54</f>
        <v>510725.85029444349</v>
      </c>
      <c r="V59" s="149">
        <f ca="1">1/(1+'Financial Data'!$C$8)^V14*V54</f>
        <v>493454.92782071832</v>
      </c>
      <c r="W59" s="149">
        <f ca="1">1/(1+'Financial Data'!$C$8)^W14*W54</f>
        <v>476768.04620359273</v>
      </c>
      <c r="X59" s="149">
        <f ca="1">1/(1+'Financial Data'!$C$8)^X14*X54</f>
        <v>460645.45526917168</v>
      </c>
      <c r="Y59" s="149">
        <f ca="1">1/(1+'Financial Data'!$C$8)^Y14*Y54</f>
        <v>445068.07272383739</v>
      </c>
      <c r="Z59" s="149">
        <f ca="1">1/(1+'Financial Data'!$C$8)^Z14*Z54</f>
        <v>430017.46156892512</v>
      </c>
      <c r="AA59" s="149">
        <f ca="1">1/(1+'Financial Data'!$C$8)^AA14*AA54</f>
        <v>415475.80827915471</v>
      </c>
    </row>
    <row r="60" spans="1:27" s="53" customFormat="1">
      <c r="A60" s="150" t="s">
        <v>221</v>
      </c>
      <c r="B60" s="149">
        <f ca="1">B59</f>
        <v>-32891.109999999404</v>
      </c>
      <c r="C60" s="149">
        <f ca="1">B60+C59</f>
        <v>-62632.385362317094</v>
      </c>
      <c r="D60" s="149">
        <f t="shared" ref="D60:AA60" ca="1" si="2">C60+D59</f>
        <v>7038.4251583502992</v>
      </c>
      <c r="E60" s="149">
        <f t="shared" ca="1" si="2"/>
        <v>159961.41108928667</v>
      </c>
      <c r="F60" s="149">
        <f t="shared" ca="1" si="2"/>
        <v>368378.83006018534</v>
      </c>
      <c r="G60" s="149">
        <f t="shared" ca="1" si="2"/>
        <v>614470.00296531874</v>
      </c>
      <c r="H60" s="149">
        <f t="shared" ca="1" si="2"/>
        <v>931877.71285117581</v>
      </c>
      <c r="I60" s="149">
        <f t="shared" ca="1" si="2"/>
        <v>1327287.0657522643</v>
      </c>
      <c r="J60" s="149">
        <f t="shared" ca="1" si="2"/>
        <v>1832299.1325488721</v>
      </c>
      <c r="K60" s="149">
        <f t="shared" ca="1" si="2"/>
        <v>2431711.6889782418</v>
      </c>
      <c r="L60" s="149">
        <f t="shared" ca="1" si="2"/>
        <v>3118562.6540063047</v>
      </c>
      <c r="M60" s="149">
        <f t="shared" ca="1" si="2"/>
        <v>3791091.0690848459</v>
      </c>
      <c r="N60" s="149">
        <f t="shared" ca="1" si="2"/>
        <v>4440876.9773732917</v>
      </c>
      <c r="O60" s="149">
        <f t="shared" ca="1" si="2"/>
        <v>5068689.4491495676</v>
      </c>
      <c r="P60" s="149">
        <f t="shared" ca="1" si="2"/>
        <v>5675271.5474841334</v>
      </c>
      <c r="Q60" s="149">
        <f t="shared" ca="1" si="2"/>
        <v>6261341.2077107672</v>
      </c>
      <c r="R60" s="149">
        <f t="shared" ca="1" si="2"/>
        <v>6827592.0871567903</v>
      </c>
      <c r="S60" s="149">
        <f t="shared" ca="1" si="2"/>
        <v>7374694.386138455</v>
      </c>
      <c r="T60" s="149">
        <f t="shared" ca="1" si="2"/>
        <v>7903295.6411932036</v>
      </c>
      <c r="U60" s="149">
        <f t="shared" ca="1" si="2"/>
        <v>8414021.4914876465</v>
      </c>
      <c r="V60" s="149">
        <f t="shared" ca="1" si="2"/>
        <v>8907476.4193083644</v>
      </c>
      <c r="W60" s="149">
        <f t="shared" ca="1" si="2"/>
        <v>9384244.4655119572</v>
      </c>
      <c r="X60" s="149">
        <f t="shared" ca="1" si="2"/>
        <v>9844889.9207811281</v>
      </c>
      <c r="Y60" s="149">
        <f t="shared" ca="1" si="2"/>
        <v>10289957.993504966</v>
      </c>
      <c r="Z60" s="149">
        <f t="shared" ca="1" si="2"/>
        <v>10719975.455073891</v>
      </c>
      <c r="AA60" s="149">
        <f t="shared" ca="1" si="2"/>
        <v>11135451.263353046</v>
      </c>
    </row>
    <row r="61" spans="1:27" s="53" customFormat="1">
      <c r="A61" s="115"/>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row>
    <row r="62" spans="1:27" s="53" customFormat="1">
      <c r="A62" s="115"/>
      <c r="B62" s="149" t="s">
        <v>29</v>
      </c>
      <c r="C62" s="149" t="str">
        <f>'Asset Info'!C10</f>
        <v>Crossrail</v>
      </c>
      <c r="D62" s="149" t="str">
        <f>'Asset Info'!D10</f>
        <v>NR Western</v>
      </c>
      <c r="E62" s="149" t="str">
        <f>'Asset Info'!E10</f>
        <v>Balfour Beatty</v>
      </c>
      <c r="F62" s="149" t="str">
        <f>'Asset Info'!F10</f>
        <v>RSSB</v>
      </c>
      <c r="G62" s="149"/>
      <c r="H62" s="149"/>
      <c r="I62" s="149"/>
      <c r="J62" s="149"/>
      <c r="K62" s="149"/>
      <c r="L62" s="149"/>
      <c r="M62" s="149"/>
      <c r="N62" s="149"/>
      <c r="O62" s="149"/>
      <c r="P62" s="149"/>
      <c r="Q62" s="149"/>
      <c r="R62" s="149"/>
      <c r="S62" s="149"/>
      <c r="T62" s="149"/>
      <c r="U62" s="149"/>
      <c r="V62" s="149"/>
      <c r="W62" s="149"/>
      <c r="X62" s="149"/>
      <c r="Y62" s="149"/>
      <c r="Z62" s="149"/>
      <c r="AA62" s="149"/>
    </row>
    <row r="63" spans="1:27">
      <c r="A63" s="22" t="s">
        <v>223</v>
      </c>
      <c r="B63" s="152">
        <f ca="1">SUMPRODUCT(B27:AA27,B19:AA19)</f>
        <v>-192907.46108738257</v>
      </c>
      <c r="C63" s="152">
        <f ca="1">SUMPRODUCT($B$28:$AA$28,$B$19:$AA$19)</f>
        <v>0</v>
      </c>
      <c r="D63" s="152">
        <f ca="1">SUMPRODUCT($B$29:$AA$29,$B$19:$AA$19)</f>
        <v>-135035.2227611678</v>
      </c>
      <c r="E63" s="152">
        <f ca="1">SUMPRODUCT($B$30:$AA$30,$B$19:$AA$19)</f>
        <v>0</v>
      </c>
      <c r="F63" s="152">
        <f ca="1">SUMPRODUCT($B$31:$AA$31,$B$19:$AA$19)</f>
        <v>-57872.238326214763</v>
      </c>
      <c r="G63" s="149"/>
      <c r="H63" s="149"/>
      <c r="I63" s="149"/>
      <c r="J63" s="149"/>
      <c r="K63" s="149"/>
      <c r="L63" s="149"/>
      <c r="M63" s="149"/>
      <c r="N63" s="149"/>
      <c r="O63" s="149"/>
      <c r="P63" s="149"/>
      <c r="Q63" s="149"/>
      <c r="R63" s="149"/>
      <c r="S63" s="149"/>
      <c r="T63" s="149"/>
      <c r="U63" s="149"/>
      <c r="V63" s="149"/>
      <c r="W63" s="149"/>
      <c r="X63" s="149"/>
      <c r="Y63" s="149"/>
      <c r="Z63" s="149"/>
      <c r="AA63" s="149"/>
    </row>
    <row r="64" spans="1:27">
      <c r="A64" s="22" t="s">
        <v>224</v>
      </c>
      <c r="B64" s="152">
        <f ca="1">SUMPRODUCT(B46:AA46,B19:AA19)</f>
        <v>3311470.1150936871</v>
      </c>
      <c r="C64" s="152">
        <f ca="1">SUMPRODUCT($B$47:$AA$47,$B$19:$AA$19)</f>
        <v>77367.493779422992</v>
      </c>
      <c r="D64" s="152">
        <f ca="1">SUMPRODUCT($B$48:$AA$48,$B$19:$AA$19)</f>
        <v>3401129.5025667101</v>
      </c>
      <c r="E64" s="152">
        <f ca="1">SUMPRODUCT($B$49:$AA$49,$B$19:$AA$19)</f>
        <v>0</v>
      </c>
      <c r="F64" s="152">
        <f ca="1">SUMPRODUCT($B$50:$AA$50,$B$19:$AA$19)</f>
        <v>-167026.88125244639</v>
      </c>
      <c r="G64" s="149"/>
      <c r="H64" s="149"/>
      <c r="I64" s="149"/>
      <c r="J64" s="149"/>
      <c r="K64" s="149"/>
      <c r="L64" s="149"/>
      <c r="M64" s="149"/>
      <c r="N64" s="149"/>
      <c r="O64" s="149"/>
      <c r="P64" s="149"/>
      <c r="Q64" s="149"/>
      <c r="R64" s="149"/>
      <c r="S64" s="149"/>
      <c r="T64" s="149"/>
      <c r="U64" s="149"/>
      <c r="V64" s="149"/>
      <c r="W64" s="149"/>
      <c r="X64" s="149"/>
      <c r="Y64" s="149"/>
      <c r="Z64" s="149"/>
      <c r="AA64" s="149"/>
    </row>
    <row r="65" spans="1:27">
      <c r="A65" s="22" t="s">
        <v>187</v>
      </c>
      <c r="B65" s="152">
        <f ca="1">B64+B63</f>
        <v>3118562.6540063047</v>
      </c>
      <c r="C65" s="152">
        <f t="shared" ref="C65:F65" ca="1" si="3">C64+C63</f>
        <v>77367.493779422992</v>
      </c>
      <c r="D65" s="152">
        <f t="shared" ca="1" si="3"/>
        <v>3266094.2798055424</v>
      </c>
      <c r="E65" s="152">
        <f t="shared" ca="1" si="3"/>
        <v>0</v>
      </c>
      <c r="F65" s="152">
        <f t="shared" ca="1" si="3"/>
        <v>-224899.11957866116</v>
      </c>
      <c r="G65" s="149"/>
      <c r="H65" s="149"/>
      <c r="I65" s="149"/>
      <c r="J65" s="149"/>
      <c r="K65" s="149"/>
      <c r="L65" s="149"/>
      <c r="M65" s="149"/>
      <c r="N65" s="149"/>
      <c r="O65" s="149"/>
      <c r="P65" s="149"/>
      <c r="Q65" s="149"/>
      <c r="R65" s="149"/>
      <c r="S65" s="149"/>
      <c r="T65" s="149"/>
      <c r="U65" s="149"/>
      <c r="V65" s="149"/>
      <c r="W65" s="149"/>
      <c r="X65" s="149"/>
      <c r="Y65" s="149"/>
      <c r="Z65" s="149"/>
      <c r="AA65" s="149"/>
    </row>
    <row r="66" spans="1:27">
      <c r="A66" s="22" t="s">
        <v>222</v>
      </c>
      <c r="B66" s="153">
        <f ca="1">IF(B63&gt;=0,"n/a",B65/-B63)</f>
        <v>16.166106984289573</v>
      </c>
      <c r="C66" s="153" t="str">
        <f t="shared" ref="C66:F66" ca="1" si="4">IF(C63&gt;=0,"n/a",C65/-C63)</f>
        <v>n/a</v>
      </c>
      <c r="D66" s="153">
        <f t="shared" ca="1" si="4"/>
        <v>24.186980352394222</v>
      </c>
      <c r="E66" s="153" t="str">
        <f t="shared" ca="1" si="4"/>
        <v>n/a</v>
      </c>
      <c r="F66" s="153">
        <f t="shared" ca="1" si="4"/>
        <v>-3.8861313486951681</v>
      </c>
      <c r="G66" s="149"/>
      <c r="H66" s="149"/>
      <c r="I66" s="149"/>
      <c r="J66" s="149"/>
      <c r="K66" s="149"/>
      <c r="L66" s="149"/>
      <c r="M66" s="149"/>
      <c r="N66" s="149"/>
      <c r="O66" s="149"/>
      <c r="P66" s="149"/>
      <c r="Q66" s="149"/>
      <c r="R66" s="149"/>
      <c r="S66" s="149"/>
      <c r="T66" s="149"/>
      <c r="U66" s="149"/>
      <c r="V66" s="149"/>
      <c r="W66" s="149"/>
      <c r="X66" s="149"/>
      <c r="Y66" s="149"/>
      <c r="Z66" s="149"/>
      <c r="AA66" s="149"/>
    </row>
    <row r="67" spans="1:27">
      <c r="A67" s="22"/>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row>
    <row r="68" spans="1:27">
      <c r="A68" s="21"/>
      <c r="B68" s="154"/>
      <c r="C68" s="154"/>
      <c r="D68" s="154"/>
      <c r="E68" s="154"/>
      <c r="F68" s="154"/>
      <c r="G68" s="154"/>
      <c r="H68" s="154"/>
      <c r="I68" s="154"/>
      <c r="J68" s="154"/>
      <c r="K68" s="154"/>
      <c r="L68" s="154"/>
      <c r="M68" s="154"/>
      <c r="N68" s="154"/>
      <c r="O68" s="154"/>
      <c r="P68" s="154"/>
      <c r="Q68" s="154"/>
      <c r="R68" s="154"/>
      <c r="S68" s="154"/>
      <c r="T68" s="154"/>
      <c r="U68" s="154"/>
      <c r="V68" s="154"/>
      <c r="W68" s="154"/>
      <c r="X68" s="154"/>
      <c r="Y68" s="154"/>
      <c r="Z68" s="154"/>
      <c r="AA68"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4" r:id="rId4" name="Button 24">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10265" r:id="rId5" name="Button 25">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10266" r:id="rId6" name="Button 26">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10267" r:id="rId7" name="Button 27">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10268" r:id="rId8" name="Button 28">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All">
    <tabColor indexed="22"/>
  </sheetPr>
  <dimension ref="A1:AA14"/>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205</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c r="A7" s="142" t="s">
        <v>140</v>
      </c>
      <c r="B7" s="137">
        <v>0</v>
      </c>
      <c r="C7" s="137">
        <v>1</v>
      </c>
      <c r="D7" s="137">
        <v>2</v>
      </c>
      <c r="E7" s="137">
        <v>3</v>
      </c>
      <c r="F7" s="137">
        <v>4</v>
      </c>
      <c r="G7" s="137">
        <v>5</v>
      </c>
      <c r="H7" s="137">
        <v>6</v>
      </c>
      <c r="I7" s="137">
        <v>7</v>
      </c>
      <c r="J7" s="137">
        <v>8</v>
      </c>
      <c r="K7" s="137">
        <v>9</v>
      </c>
      <c r="L7" s="137">
        <v>10</v>
      </c>
      <c r="M7" s="137">
        <v>11</v>
      </c>
      <c r="N7" s="137">
        <v>12</v>
      </c>
      <c r="O7" s="137">
        <v>13</v>
      </c>
      <c r="P7" s="137">
        <v>14</v>
      </c>
      <c r="Q7" s="137">
        <v>15</v>
      </c>
      <c r="R7" s="137">
        <v>16</v>
      </c>
      <c r="S7" s="137">
        <v>17</v>
      </c>
      <c r="T7" s="137">
        <v>18</v>
      </c>
      <c r="U7" s="137">
        <v>19</v>
      </c>
      <c r="V7" s="137">
        <v>20</v>
      </c>
      <c r="W7" s="137">
        <v>21</v>
      </c>
      <c r="X7" s="137">
        <v>22</v>
      </c>
      <c r="Y7" s="137">
        <v>23</v>
      </c>
      <c r="Z7" s="137">
        <v>24</v>
      </c>
      <c r="AA7" s="137">
        <v>25</v>
      </c>
    </row>
    <row r="8" spans="1:27">
      <c r="A8" s="111"/>
      <c r="B8" s="143">
        <f>'Financial Data'!$C$9+B7</f>
        <v>2017</v>
      </c>
      <c r="C8" s="143">
        <f>'Financial Data'!$C$9+C7</f>
        <v>2018</v>
      </c>
      <c r="D8" s="143">
        <f>'Financial Data'!$C$9+D7</f>
        <v>2019</v>
      </c>
      <c r="E8" s="143">
        <f>'Financial Data'!$C$9+E7</f>
        <v>2020</v>
      </c>
      <c r="F8" s="143">
        <f>'Financial Data'!$C$9+F7</f>
        <v>2021</v>
      </c>
      <c r="G8" s="143">
        <f>'Financial Data'!$C$9+G7</f>
        <v>2022</v>
      </c>
      <c r="H8" s="143">
        <f>'Financial Data'!$C$9+H7</f>
        <v>2023</v>
      </c>
      <c r="I8" s="143">
        <f>'Financial Data'!$C$9+I7</f>
        <v>2024</v>
      </c>
      <c r="J8" s="143">
        <f>'Financial Data'!$C$9+J7</f>
        <v>2025</v>
      </c>
      <c r="K8" s="143">
        <f>'Financial Data'!$C$9+K7</f>
        <v>2026</v>
      </c>
      <c r="L8" s="143">
        <f>'Financial Data'!$C$9+L7</f>
        <v>2027</v>
      </c>
      <c r="M8" s="143">
        <f>'Financial Data'!$C$9+M7</f>
        <v>2028</v>
      </c>
      <c r="N8" s="143">
        <f>'Financial Data'!$C$9+N7</f>
        <v>2029</v>
      </c>
      <c r="O8" s="143">
        <f>'Financial Data'!$C$9+O7</f>
        <v>2030</v>
      </c>
      <c r="P8" s="143">
        <f>'Financial Data'!$C$9+P7</f>
        <v>2031</v>
      </c>
      <c r="Q8" s="143">
        <f>'Financial Data'!$C$9+Q7</f>
        <v>2032</v>
      </c>
      <c r="R8" s="143">
        <f>'Financial Data'!$C$9+R7</f>
        <v>2033</v>
      </c>
      <c r="S8" s="143">
        <f>'Financial Data'!$C$9+S7</f>
        <v>2034</v>
      </c>
      <c r="T8" s="143">
        <f>'Financial Data'!$C$9+T7</f>
        <v>2035</v>
      </c>
      <c r="U8" s="143">
        <f>'Financial Data'!$C$9+U7</f>
        <v>2036</v>
      </c>
      <c r="V8" s="143">
        <f>'Financial Data'!$C$9+V7</f>
        <v>2037</v>
      </c>
      <c r="W8" s="143">
        <f>'Financial Data'!$C$9+W7</f>
        <v>2038</v>
      </c>
      <c r="X8" s="143">
        <f>'Financial Data'!$C$9+X7</f>
        <v>2039</v>
      </c>
      <c r="Y8" s="143">
        <f>'Financial Data'!$C$9+Y7</f>
        <v>2040</v>
      </c>
      <c r="Z8" s="143">
        <f>'Financial Data'!$C$9+Z7</f>
        <v>2041</v>
      </c>
      <c r="AA8" s="143">
        <f>'Financial Data'!$C$9+AA7</f>
        <v>2042</v>
      </c>
    </row>
    <row r="9" spans="1:27">
      <c r="A9" s="22" t="s">
        <v>161</v>
      </c>
      <c r="B9" s="149"/>
      <c r="C9" s="149"/>
      <c r="D9" s="149"/>
      <c r="E9" s="149"/>
      <c r="F9" s="149"/>
      <c r="G9" s="149"/>
      <c r="H9" s="149"/>
      <c r="I9" s="149"/>
      <c r="J9" s="149"/>
      <c r="K9" s="149"/>
      <c r="L9" s="149"/>
      <c r="M9" s="149"/>
      <c r="N9" s="149"/>
      <c r="O9" s="149"/>
      <c r="P9" s="149"/>
      <c r="Q9" s="149"/>
      <c r="R9" s="149"/>
      <c r="S9" s="149"/>
      <c r="T9" s="149"/>
      <c r="U9" s="149"/>
      <c r="V9" s="149"/>
      <c r="W9" s="149"/>
      <c r="X9" s="149"/>
      <c r="Y9" s="149"/>
      <c r="Z9" s="149"/>
      <c r="AA9" s="149"/>
    </row>
    <row r="10" spans="1:27" s="53" customFormat="1">
      <c r="A10" s="148" t="s">
        <v>111</v>
      </c>
      <c r="B10" s="149">
        <f ca="1">'SD-CF'!B54</f>
        <v>-32891.109999999404</v>
      </c>
      <c r="C10" s="149">
        <f ca="1">'SD-CF'!C54</f>
        <v>-30782.219999998808</v>
      </c>
      <c r="D10" s="149">
        <f ca="1">'SD-CF'!D54</f>
        <v>4217.7800000011921</v>
      </c>
      <c r="E10" s="149">
        <f ca="1">'SD-CF'!E54</f>
        <v>4217.7800000011921</v>
      </c>
      <c r="F10" s="149">
        <f ca="1">'SD-CF'!F54</f>
        <v>4217.7800000011921</v>
      </c>
      <c r="G10" s="149">
        <f ca="1">'SD-CF'!G54</f>
        <v>4217.7800000011921</v>
      </c>
      <c r="H10" s="149">
        <f ca="1">'SD-CF'!H54</f>
        <v>4217.7800000011921</v>
      </c>
      <c r="I10" s="149">
        <f ca="1">'SD-CF'!I54</f>
        <v>4217.7800000011921</v>
      </c>
      <c r="J10" s="149">
        <f ca="1">'SD-CF'!J54</f>
        <v>4217.7800000011921</v>
      </c>
      <c r="K10" s="149">
        <f ca="1">'SD-CF'!K54</f>
        <v>4217.7800000011921</v>
      </c>
      <c r="L10" s="149">
        <f ca="1">'SD-CF'!L54</f>
        <v>4217.7800000011921</v>
      </c>
      <c r="M10" s="149">
        <f ca="1">'SD-CF'!M54</f>
        <v>4217.7800000011921</v>
      </c>
      <c r="N10" s="149">
        <f ca="1">'SD-CF'!N54</f>
        <v>4217.7800000011921</v>
      </c>
      <c r="O10" s="149">
        <f ca="1">'SD-CF'!O54</f>
        <v>4217.7800000011921</v>
      </c>
      <c r="P10" s="149">
        <f ca="1">'SD-CF'!P54</f>
        <v>4217.7800000011921</v>
      </c>
      <c r="Q10" s="149">
        <f ca="1">'SD-CF'!Q54</f>
        <v>4217.7800000011921</v>
      </c>
      <c r="R10" s="149">
        <f ca="1">'SD-CF'!R54</f>
        <v>4217.7800000011921</v>
      </c>
      <c r="S10" s="149">
        <f ca="1">'SD-CF'!S54</f>
        <v>4217.7800000011921</v>
      </c>
      <c r="T10" s="149">
        <f ca="1">'SD-CF'!T54</f>
        <v>4217.7800000011921</v>
      </c>
      <c r="U10" s="149">
        <f ca="1">'SD-CF'!U54</f>
        <v>4217.7800000011921</v>
      </c>
      <c r="V10" s="149">
        <f ca="1">'SD-CF'!V54</f>
        <v>4217.7800000011921</v>
      </c>
      <c r="W10" s="149">
        <f ca="1">'SD-CF'!W54</f>
        <v>4217.7800000011921</v>
      </c>
      <c r="X10" s="149">
        <f ca="1">'SD-CF'!X54</f>
        <v>4217.7800000011921</v>
      </c>
      <c r="Y10" s="149">
        <f ca="1">'SD-CF'!Y54</f>
        <v>4217.7800000011921</v>
      </c>
      <c r="Z10" s="149">
        <f ca="1">'SD-CF'!Z54</f>
        <v>4217.7800000011921</v>
      </c>
      <c r="AA10" s="149">
        <f ca="1">'SD-CF'!AA54</f>
        <v>4217.7800000011921</v>
      </c>
    </row>
    <row r="11" spans="1:27" s="53" customFormat="1">
      <c r="A11" s="148" t="s">
        <v>117</v>
      </c>
      <c r="B11" s="149">
        <f ca="1">'HA1-CF'!B54</f>
        <v>-32891.109999999404</v>
      </c>
      <c r="C11" s="149">
        <f ca="1">'HA1-CF'!C54</f>
        <v>-30782.219999998808</v>
      </c>
      <c r="D11" s="149">
        <f ca="1">'HA1-CF'!D54</f>
        <v>74633.114000001922</v>
      </c>
      <c r="E11" s="149">
        <f ca="1">'HA1-CF'!E54</f>
        <v>169548.44800000265</v>
      </c>
      <c r="F11" s="149">
        <f ca="1">'HA1-CF'!F54</f>
        <v>194048.44800000265</v>
      </c>
      <c r="G11" s="149">
        <f ca="1">'HA1-CF'!G54</f>
        <v>194048.44800000265</v>
      </c>
      <c r="H11" s="149">
        <f ca="1">'HA1-CF'!H54</f>
        <v>194048.44800000265</v>
      </c>
      <c r="I11" s="149">
        <f ca="1">'HA1-CF'!I54</f>
        <v>194048.44800000265</v>
      </c>
      <c r="J11" s="149">
        <f ca="1">'HA1-CF'!J54</f>
        <v>194048.44800000265</v>
      </c>
      <c r="K11" s="149">
        <f ca="1">'HA1-CF'!K54</f>
        <v>194048.44800000265</v>
      </c>
      <c r="L11" s="149">
        <f ca="1">'HA1-CF'!L54</f>
        <v>194048.44800000265</v>
      </c>
      <c r="M11" s="149">
        <f ca="1">'HA1-CF'!M54</f>
        <v>194048.44800000265</v>
      </c>
      <c r="N11" s="149">
        <f ca="1">'HA1-CF'!N54</f>
        <v>194048.44800000265</v>
      </c>
      <c r="O11" s="149">
        <f ca="1">'HA1-CF'!O54</f>
        <v>194048.44800000265</v>
      </c>
      <c r="P11" s="149">
        <f ca="1">'HA1-CF'!P54</f>
        <v>194048.44800000265</v>
      </c>
      <c r="Q11" s="149">
        <f ca="1">'HA1-CF'!Q54</f>
        <v>194048.44800000265</v>
      </c>
      <c r="R11" s="149">
        <f ca="1">'HA1-CF'!R54</f>
        <v>194048.44800000265</v>
      </c>
      <c r="S11" s="149">
        <f ca="1">'HA1-CF'!S54</f>
        <v>194048.44800000265</v>
      </c>
      <c r="T11" s="149">
        <f ca="1">'HA1-CF'!T54</f>
        <v>194048.44800000265</v>
      </c>
      <c r="U11" s="149">
        <f ca="1">'HA1-CF'!U54</f>
        <v>194048.44800000265</v>
      </c>
      <c r="V11" s="149">
        <f ca="1">'HA1-CF'!V54</f>
        <v>194048.44800000265</v>
      </c>
      <c r="W11" s="149">
        <f ca="1">'HA1-CF'!W54</f>
        <v>194048.44800000265</v>
      </c>
      <c r="X11" s="149">
        <f ca="1">'HA1-CF'!X54</f>
        <v>194048.44800000265</v>
      </c>
      <c r="Y11" s="149">
        <f ca="1">'HA1-CF'!Y54</f>
        <v>194048.44800000265</v>
      </c>
      <c r="Z11" s="149">
        <f ca="1">'HA1-CF'!Z54</f>
        <v>194048.44800000265</v>
      </c>
      <c r="AA11" s="149">
        <f ca="1">'HA1-CF'!AA54</f>
        <v>194048.44800000265</v>
      </c>
    </row>
    <row r="12" spans="1:27">
      <c r="A12" s="75" t="s">
        <v>118</v>
      </c>
      <c r="B12" s="149">
        <f ca="1">'HA2-CF'!B54</f>
        <v>-32891.109999999404</v>
      </c>
      <c r="C12" s="149">
        <f ca="1">'HA2-CF'!C54</f>
        <v>-30782.219999998808</v>
      </c>
      <c r="D12" s="149">
        <f ca="1">'HA2-CF'!D54</f>
        <v>74633.114000001922</v>
      </c>
      <c r="E12" s="149">
        <f ca="1">'HA2-CF'!E54</f>
        <v>169548.44800000265</v>
      </c>
      <c r="F12" s="149">
        <f ca="1">'HA2-CF'!F54</f>
        <v>239163.78200000338</v>
      </c>
      <c r="G12" s="149">
        <f ca="1">'HA2-CF'!G54</f>
        <v>292279.11600000411</v>
      </c>
      <c r="H12" s="149">
        <f ca="1">'HA2-CF'!H54</f>
        <v>300279.11600000411</v>
      </c>
      <c r="I12" s="149">
        <f ca="1">'HA2-CF'!I54</f>
        <v>300279.11600000411</v>
      </c>
      <c r="J12" s="149">
        <f ca="1">'HA2-CF'!J54</f>
        <v>300279.11600000411</v>
      </c>
      <c r="K12" s="149">
        <f ca="1">'HA2-CF'!K54</f>
        <v>300279.11600000411</v>
      </c>
      <c r="L12" s="149">
        <f ca="1">'HA2-CF'!L54</f>
        <v>300279.11600000411</v>
      </c>
      <c r="M12" s="149">
        <f ca="1">'HA2-CF'!M54</f>
        <v>300279.11600000411</v>
      </c>
      <c r="N12" s="149">
        <f ca="1">'HA2-CF'!N54</f>
        <v>300279.11600000411</v>
      </c>
      <c r="O12" s="149">
        <f ca="1">'HA2-CF'!O54</f>
        <v>300279.11600000411</v>
      </c>
      <c r="P12" s="149">
        <f ca="1">'HA2-CF'!P54</f>
        <v>300279.11600000411</v>
      </c>
      <c r="Q12" s="149">
        <f ca="1">'HA2-CF'!Q54</f>
        <v>300279.11600000411</v>
      </c>
      <c r="R12" s="149">
        <f ca="1">'HA2-CF'!R54</f>
        <v>300279.11600000411</v>
      </c>
      <c r="S12" s="149">
        <f ca="1">'HA2-CF'!S54</f>
        <v>300279.11600000411</v>
      </c>
      <c r="T12" s="149">
        <f ca="1">'HA2-CF'!T54</f>
        <v>300279.11600000411</v>
      </c>
      <c r="U12" s="149">
        <f ca="1">'HA2-CF'!U54</f>
        <v>300279.11600000411</v>
      </c>
      <c r="V12" s="149">
        <f ca="1">'HA2-CF'!V54</f>
        <v>300279.11600000411</v>
      </c>
      <c r="W12" s="149">
        <f ca="1">'HA2-CF'!W54</f>
        <v>300279.11600000411</v>
      </c>
      <c r="X12" s="149">
        <f ca="1">'HA2-CF'!X54</f>
        <v>300279.11600000411</v>
      </c>
      <c r="Y12" s="149">
        <f ca="1">'HA2-CF'!Y54</f>
        <v>300279.11600000411</v>
      </c>
      <c r="Z12" s="149">
        <f ca="1">'HA2-CF'!Z54</f>
        <v>300279.11600000411</v>
      </c>
      <c r="AA12" s="149">
        <f ca="1">'HA2-CF'!AA54</f>
        <v>300279.11600000411</v>
      </c>
    </row>
    <row r="13" spans="1:27">
      <c r="A13" s="75" t="s">
        <v>112</v>
      </c>
      <c r="B13" s="149">
        <f ca="1">'PA-CF'!B54</f>
        <v>-32891.109999999404</v>
      </c>
      <c r="C13" s="149">
        <f ca="1">'PA-CF'!C54</f>
        <v>-30782.219999998808</v>
      </c>
      <c r="D13" s="149">
        <f ca="1">'PA-CF'!D54</f>
        <v>74633.114000001922</v>
      </c>
      <c r="E13" s="149">
        <f ca="1">'PA-CF'!E54</f>
        <v>169548.44800000265</v>
      </c>
      <c r="F13" s="149">
        <f ca="1">'PA-CF'!F54</f>
        <v>239163.78200000338</v>
      </c>
      <c r="G13" s="149">
        <f ca="1">'PA-CF'!G54</f>
        <v>292279.11600000411</v>
      </c>
      <c r="H13" s="149">
        <f ca="1">'PA-CF'!H54</f>
        <v>390175.11800000444</v>
      </c>
      <c r="I13" s="149">
        <f ca="1">'PA-CF'!I54</f>
        <v>503071.12000000477</v>
      </c>
      <c r="J13" s="149">
        <f ca="1">'PA-CF'!J54</f>
        <v>526071.12000000477</v>
      </c>
      <c r="K13" s="149">
        <f ca="1">'PA-CF'!K54</f>
        <v>526071.12000000477</v>
      </c>
      <c r="L13" s="149">
        <f ca="1">'PA-CF'!L54</f>
        <v>526071.12000000477</v>
      </c>
      <c r="M13" s="149">
        <f ca="1">'PA-CF'!M54</f>
        <v>526071.12000000477</v>
      </c>
      <c r="N13" s="149">
        <f ca="1">'PA-CF'!N54</f>
        <v>526071.12000000477</v>
      </c>
      <c r="O13" s="149">
        <f ca="1">'PA-CF'!O54</f>
        <v>526071.12000000477</v>
      </c>
      <c r="P13" s="149">
        <f ca="1">'PA-CF'!P54</f>
        <v>526071.12000000477</v>
      </c>
      <c r="Q13" s="149">
        <f ca="1">'PA-CF'!Q54</f>
        <v>526071.12000000477</v>
      </c>
      <c r="R13" s="149">
        <f ca="1">'PA-CF'!R54</f>
        <v>526071.12000000477</v>
      </c>
      <c r="S13" s="149">
        <f ca="1">'PA-CF'!S54</f>
        <v>526071.12000000477</v>
      </c>
      <c r="T13" s="149">
        <f ca="1">'PA-CF'!T54</f>
        <v>526071.12000000477</v>
      </c>
      <c r="U13" s="149">
        <f ca="1">'PA-CF'!U54</f>
        <v>526071.12000000477</v>
      </c>
      <c r="V13" s="149">
        <f ca="1">'PA-CF'!V54</f>
        <v>526071.12000000477</v>
      </c>
      <c r="W13" s="149">
        <f ca="1">'PA-CF'!W54</f>
        <v>526071.12000000477</v>
      </c>
      <c r="X13" s="149">
        <f ca="1">'PA-CF'!X54</f>
        <v>526071.12000000477</v>
      </c>
      <c r="Y13" s="149">
        <f ca="1">'PA-CF'!Y54</f>
        <v>526071.12000000477</v>
      </c>
      <c r="Z13" s="149">
        <f ca="1">'PA-CF'!Z54</f>
        <v>526071.12000000477</v>
      </c>
      <c r="AA13" s="149">
        <f ca="1">'PA-CF'!AA54</f>
        <v>526071.12000000477</v>
      </c>
    </row>
    <row r="14" spans="1:27">
      <c r="A14" s="155" t="s">
        <v>113</v>
      </c>
      <c r="B14" s="149">
        <f ca="1">'AG-CF'!B54</f>
        <v>-32891.109999999404</v>
      </c>
      <c r="C14" s="149">
        <f ca="1">'AG-CF'!C54</f>
        <v>-30782.219999998808</v>
      </c>
      <c r="D14" s="149">
        <f ca="1">'AG-CF'!D54</f>
        <v>74633.114000001922</v>
      </c>
      <c r="E14" s="149">
        <f ca="1">'AG-CF'!E54</f>
        <v>169548.44800000265</v>
      </c>
      <c r="F14" s="149">
        <f ca="1">'AG-CF'!F54</f>
        <v>239163.78200000338</v>
      </c>
      <c r="G14" s="149">
        <f ca="1">'AG-CF'!G54</f>
        <v>292279.11600000411</v>
      </c>
      <c r="H14" s="149">
        <f ca="1">'AG-CF'!H54</f>
        <v>390175.11800000444</v>
      </c>
      <c r="I14" s="149">
        <f ca="1">'AG-CF'!I54</f>
        <v>503071.12000000477</v>
      </c>
      <c r="J14" s="149">
        <f ca="1">'AG-CF'!J54</f>
        <v>665004.45333333872</v>
      </c>
      <c r="K14" s="149">
        <f ca="1">'AG-CF'!K54</f>
        <v>816937.78666667268</v>
      </c>
      <c r="L14" s="149">
        <f ca="1">'AG-CF'!L54</f>
        <v>968871.12000000663</v>
      </c>
      <c r="M14" s="149">
        <f ca="1">'AG-CF'!M54</f>
        <v>981871.12000000663</v>
      </c>
      <c r="N14" s="149">
        <f ca="1">'AG-CF'!N54</f>
        <v>981871.12000000663</v>
      </c>
      <c r="O14" s="149">
        <f ca="1">'AG-CF'!O54</f>
        <v>981871.12000000663</v>
      </c>
      <c r="P14" s="149">
        <f ca="1">'AG-CF'!P54</f>
        <v>981871.12000000663</v>
      </c>
      <c r="Q14" s="149">
        <f ca="1">'AG-CF'!Q54</f>
        <v>981871.12000000663</v>
      </c>
      <c r="R14" s="149">
        <f ca="1">'AG-CF'!R54</f>
        <v>981871.12000000663</v>
      </c>
      <c r="S14" s="149">
        <f ca="1">'AG-CF'!S54</f>
        <v>981871.12000000663</v>
      </c>
      <c r="T14" s="149">
        <f ca="1">'AG-CF'!T54</f>
        <v>981871.12000000663</v>
      </c>
      <c r="U14" s="149">
        <f ca="1">'AG-CF'!U54</f>
        <v>981871.12000000663</v>
      </c>
      <c r="V14" s="149">
        <f ca="1">'AG-CF'!V54</f>
        <v>981871.12000000663</v>
      </c>
      <c r="W14" s="149">
        <f ca="1">'AG-CF'!W54</f>
        <v>981871.12000000663</v>
      </c>
      <c r="X14" s="149">
        <f ca="1">'AG-CF'!X54</f>
        <v>981871.12000000663</v>
      </c>
      <c r="Y14" s="149">
        <f ca="1">'AG-CF'!Y54</f>
        <v>981871.12000000663</v>
      </c>
      <c r="Z14" s="149">
        <f ca="1">'AG-CF'!Z54</f>
        <v>981871.12000000663</v>
      </c>
      <c r="AA14" s="149">
        <f ca="1">'AG-CF'!AA54</f>
        <v>981871.12000000663</v>
      </c>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09" r:id="rId4" name="Button 5">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47110" r:id="rId5" name="Button 6">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47111" r:id="rId6" name="Button 7">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47112" r:id="rId7" name="Button 8">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47113" r:id="rId8" name="Button 9">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_DetailedOutputs_Cur">
    <tabColor indexed="22"/>
  </sheetPr>
  <dimension ref="A1:AA43"/>
  <sheetViews>
    <sheetView workbookViewId="0"/>
  </sheetViews>
  <sheetFormatPr defaultColWidth="15.85546875" defaultRowHeight="12.75"/>
  <cols>
    <col min="1" max="1" width="37.5703125" style="1" bestFit="1" customWidth="1"/>
    <col min="2" max="16384" width="15.85546875" style="1"/>
  </cols>
  <sheetData>
    <row r="1" spans="1:27">
      <c r="A1" s="19"/>
      <c r="B1" s="19"/>
      <c r="C1" s="19"/>
      <c r="D1" s="19"/>
      <c r="E1" s="19"/>
    </row>
    <row r="2" spans="1:27">
      <c r="A2" s="19"/>
      <c r="B2" s="19"/>
      <c r="C2" s="19"/>
      <c r="D2" s="19"/>
      <c r="E2" s="19"/>
    </row>
    <row r="3" spans="1:27" ht="15">
      <c r="A3" s="19"/>
      <c r="B3" s="19"/>
      <c r="C3" s="19"/>
      <c r="D3" s="19"/>
      <c r="E3" s="19"/>
      <c r="F3" s="32"/>
    </row>
    <row r="4" spans="1:27" ht="15.75">
      <c r="A4" s="19"/>
      <c r="B4" s="19"/>
      <c r="C4" s="24"/>
      <c r="D4" s="19"/>
      <c r="E4" s="23"/>
      <c r="K4" s="2"/>
    </row>
    <row r="5" spans="1:27" s="10" customFormat="1" ht="18.75">
      <c r="A5" s="100" t="s">
        <v>204</v>
      </c>
      <c r="B5" s="101"/>
      <c r="C5" s="102"/>
      <c r="D5" s="101"/>
      <c r="E5" s="103"/>
      <c r="F5" s="101"/>
      <c r="G5" s="101"/>
      <c r="H5" s="101"/>
      <c r="I5" s="101"/>
      <c r="J5" s="101"/>
      <c r="K5" s="103"/>
      <c r="L5" s="101"/>
      <c r="M5" s="101"/>
      <c r="N5" s="101"/>
      <c r="O5" s="101"/>
      <c r="P5" s="101"/>
      <c r="Q5" s="101"/>
      <c r="R5" s="101"/>
      <c r="S5" s="101"/>
      <c r="T5" s="101"/>
      <c r="U5" s="101"/>
      <c r="V5" s="101"/>
      <c r="W5" s="101"/>
      <c r="X5" s="101"/>
      <c r="Y5" s="101"/>
      <c r="Z5" s="101"/>
      <c r="AA5" s="101"/>
    </row>
    <row r="6" spans="1:27">
      <c r="A6" s="21"/>
      <c r="B6" s="21"/>
      <c r="C6" s="21"/>
      <c r="D6" s="21"/>
      <c r="E6" s="21"/>
      <c r="F6" s="21"/>
      <c r="G6" s="21"/>
      <c r="H6" s="21"/>
      <c r="I6" s="21"/>
      <c r="J6" s="21"/>
      <c r="K6" s="21"/>
      <c r="L6" s="21"/>
      <c r="M6" s="21"/>
      <c r="N6" s="21"/>
      <c r="O6" s="21"/>
      <c r="P6" s="21"/>
      <c r="Q6" s="21"/>
      <c r="R6" s="21"/>
      <c r="S6" s="21"/>
      <c r="T6" s="21"/>
      <c r="U6" s="21"/>
      <c r="V6" s="21"/>
      <c r="W6" s="21"/>
      <c r="X6" s="21"/>
      <c r="Y6" s="21"/>
      <c r="Z6" s="21"/>
      <c r="AA6" s="21"/>
    </row>
    <row r="7" spans="1:27" hidden="1">
      <c r="A7" s="21"/>
      <c r="B7" s="21" t="s">
        <v>127</v>
      </c>
      <c r="C7" s="21" t="s">
        <v>126</v>
      </c>
      <c r="D7" s="21" t="s">
        <v>142</v>
      </c>
      <c r="E7" s="21"/>
      <c r="F7" s="21"/>
      <c r="G7" s="21"/>
      <c r="H7" s="21"/>
      <c r="I7" s="21"/>
      <c r="J7" s="21"/>
      <c r="K7" s="21"/>
      <c r="L7" s="21"/>
      <c r="M7" s="21"/>
      <c r="N7" s="21"/>
      <c r="O7" s="21"/>
      <c r="P7" s="21"/>
      <c r="Q7" s="21"/>
      <c r="R7" s="21"/>
      <c r="S7" s="21"/>
      <c r="T7" s="21"/>
      <c r="U7" s="21"/>
      <c r="V7" s="21"/>
      <c r="W7" s="21"/>
      <c r="X7" s="21"/>
      <c r="Y7" s="21"/>
      <c r="Z7" s="21"/>
      <c r="AA7" s="21"/>
    </row>
    <row r="8" spans="1:27" hidden="1">
      <c r="A8" s="136"/>
      <c r="B8" s="136"/>
      <c r="C8" s="136"/>
      <c r="D8" s="137"/>
      <c r="E8" s="136"/>
      <c r="F8" s="21"/>
      <c r="G8" s="21"/>
      <c r="H8" s="21"/>
      <c r="I8" s="21"/>
      <c r="J8" s="21"/>
      <c r="K8" s="21"/>
      <c r="L8" s="21"/>
      <c r="M8" s="21"/>
      <c r="N8" s="21"/>
      <c r="O8" s="21"/>
      <c r="P8" s="21"/>
      <c r="Q8" s="21"/>
      <c r="R8" s="21"/>
      <c r="S8" s="21"/>
      <c r="T8" s="21"/>
      <c r="U8" s="21"/>
      <c r="V8" s="21"/>
      <c r="W8" s="21"/>
      <c r="X8" s="21"/>
      <c r="Y8" s="21"/>
      <c r="Z8" s="21"/>
      <c r="AA8" s="21"/>
    </row>
    <row r="9" spans="1:27" hidden="1">
      <c r="A9" s="138"/>
      <c r="B9" s="138"/>
      <c r="C9" s="138"/>
      <c r="D9" s="139"/>
      <c r="E9" s="138"/>
      <c r="F9" s="21"/>
      <c r="G9" s="21"/>
      <c r="H9" s="21"/>
      <c r="I9" s="21"/>
      <c r="J9" s="21"/>
      <c r="K9" s="21"/>
      <c r="L9" s="21"/>
      <c r="M9" s="21"/>
      <c r="N9" s="21"/>
      <c r="O9" s="21"/>
      <c r="P9" s="21"/>
      <c r="Q9" s="21"/>
      <c r="R9" s="21"/>
      <c r="S9" s="21"/>
      <c r="T9" s="21"/>
      <c r="U9" s="21"/>
      <c r="V9" s="21"/>
      <c r="W9" s="21"/>
      <c r="X9" s="21"/>
      <c r="Y9" s="21"/>
      <c r="Z9" s="21"/>
      <c r="AA9" s="21"/>
    </row>
    <row r="10" spans="1:27" hidden="1">
      <c r="A10" s="138"/>
      <c r="B10" s="138"/>
      <c r="C10" s="138"/>
      <c r="D10" s="139"/>
      <c r="E10" s="138"/>
      <c r="F10" s="21"/>
      <c r="G10" s="21"/>
      <c r="H10" s="21"/>
      <c r="I10" s="21"/>
      <c r="J10" s="21"/>
      <c r="K10" s="21"/>
      <c r="L10" s="21"/>
      <c r="M10" s="21"/>
      <c r="N10" s="21"/>
      <c r="O10" s="21"/>
      <c r="P10" s="21"/>
      <c r="Q10" s="21"/>
      <c r="R10" s="21"/>
      <c r="S10" s="21"/>
      <c r="T10" s="21"/>
      <c r="U10" s="21"/>
      <c r="V10" s="21"/>
      <c r="W10" s="21"/>
      <c r="X10" s="21"/>
      <c r="Y10" s="21"/>
      <c r="Z10" s="21"/>
      <c r="AA10" s="21"/>
    </row>
    <row r="11" spans="1:27" hidden="1">
      <c r="A11" s="138"/>
      <c r="B11" s="138"/>
      <c r="C11" s="138"/>
      <c r="D11" s="139"/>
      <c r="E11" s="138"/>
      <c r="F11" s="21"/>
      <c r="G11" s="21"/>
      <c r="H11" s="21"/>
      <c r="I11" s="21"/>
      <c r="J11" s="21"/>
      <c r="K11" s="21"/>
      <c r="L11" s="21"/>
      <c r="M11" s="21"/>
      <c r="N11" s="21"/>
      <c r="O11" s="21"/>
      <c r="P11" s="21"/>
      <c r="Q11" s="21"/>
      <c r="R11" s="21"/>
      <c r="S11" s="21"/>
      <c r="T11" s="21"/>
      <c r="U11" s="21"/>
      <c r="V11" s="21"/>
      <c r="W11" s="21"/>
      <c r="X11" s="21"/>
      <c r="Y11" s="21"/>
      <c r="Z11" s="21"/>
      <c r="AA11" s="21"/>
    </row>
    <row r="12" spans="1:27" hidden="1">
      <c r="A12" s="140"/>
      <c r="B12" s="140"/>
      <c r="C12" s="140"/>
      <c r="D12" s="141"/>
      <c r="E12" s="140"/>
      <c r="F12" s="21"/>
      <c r="G12" s="21"/>
      <c r="H12" s="21"/>
      <c r="I12" s="21"/>
      <c r="J12" s="21"/>
      <c r="K12" s="21"/>
      <c r="L12" s="21"/>
      <c r="M12" s="21"/>
      <c r="N12" s="21"/>
      <c r="O12" s="21"/>
      <c r="P12" s="21"/>
      <c r="Q12" s="21"/>
      <c r="R12" s="21"/>
      <c r="S12" s="21"/>
      <c r="T12" s="21"/>
      <c r="U12" s="21"/>
      <c r="V12" s="21"/>
      <c r="W12" s="21"/>
      <c r="X12" s="21"/>
      <c r="Y12" s="21"/>
      <c r="Z12" s="21"/>
      <c r="AA12" s="21"/>
    </row>
    <row r="13" spans="1:27" hidden="1">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row>
    <row r="14" spans="1:27">
      <c r="A14" s="142" t="s">
        <v>140</v>
      </c>
      <c r="B14" s="137">
        <v>0</v>
      </c>
      <c r="C14" s="137">
        <v>1</v>
      </c>
      <c r="D14" s="137">
        <v>2</v>
      </c>
      <c r="E14" s="137">
        <v>3</v>
      </c>
      <c r="F14" s="137">
        <v>4</v>
      </c>
      <c r="G14" s="137">
        <v>5</v>
      </c>
      <c r="H14" s="137">
        <v>6</v>
      </c>
      <c r="I14" s="137">
        <v>7</v>
      </c>
      <c r="J14" s="137">
        <v>8</v>
      </c>
      <c r="K14" s="137">
        <v>9</v>
      </c>
      <c r="L14" s="137">
        <v>10</v>
      </c>
      <c r="M14" s="137">
        <v>11</v>
      </c>
      <c r="N14" s="137">
        <v>12</v>
      </c>
      <c r="O14" s="137">
        <v>13</v>
      </c>
      <c r="P14" s="137">
        <v>14</v>
      </c>
      <c r="Q14" s="137">
        <v>15</v>
      </c>
      <c r="R14" s="137">
        <v>16</v>
      </c>
      <c r="S14" s="137">
        <v>17</v>
      </c>
      <c r="T14" s="137">
        <v>18</v>
      </c>
      <c r="U14" s="137">
        <v>19</v>
      </c>
      <c r="V14" s="137">
        <v>20</v>
      </c>
      <c r="W14" s="137">
        <v>21</v>
      </c>
      <c r="X14" s="137">
        <v>22</v>
      </c>
      <c r="Y14" s="137">
        <v>23</v>
      </c>
      <c r="Z14" s="137">
        <v>24</v>
      </c>
      <c r="AA14" s="137">
        <v>25</v>
      </c>
    </row>
    <row r="15" spans="1:27">
      <c r="A15" s="111"/>
      <c r="B15" s="143">
        <f>'Financial Data'!$C$9+B14</f>
        <v>2017</v>
      </c>
      <c r="C15" s="143">
        <f>'Financial Data'!$C$9+C14</f>
        <v>2018</v>
      </c>
      <c r="D15" s="143">
        <f>'Financial Data'!$C$9+D14</f>
        <v>2019</v>
      </c>
      <c r="E15" s="143">
        <f>'Financial Data'!$C$9+E14</f>
        <v>2020</v>
      </c>
      <c r="F15" s="143">
        <f>'Financial Data'!$C$9+F14</f>
        <v>2021</v>
      </c>
      <c r="G15" s="143">
        <f>'Financial Data'!$C$9+G14</f>
        <v>2022</v>
      </c>
      <c r="H15" s="143">
        <f>'Financial Data'!$C$9+H14</f>
        <v>2023</v>
      </c>
      <c r="I15" s="143">
        <f>'Financial Data'!$C$9+I14</f>
        <v>2024</v>
      </c>
      <c r="J15" s="143">
        <f>'Financial Data'!$C$9+J14</f>
        <v>2025</v>
      </c>
      <c r="K15" s="143">
        <f>'Financial Data'!$C$9+K14</f>
        <v>2026</v>
      </c>
      <c r="L15" s="143">
        <f>'Financial Data'!$C$9+L14</f>
        <v>2027</v>
      </c>
      <c r="M15" s="143">
        <f>'Financial Data'!$C$9+M14</f>
        <v>2028</v>
      </c>
      <c r="N15" s="143">
        <f>'Financial Data'!$C$9+N14</f>
        <v>2029</v>
      </c>
      <c r="O15" s="143">
        <f>'Financial Data'!$C$9+O14</f>
        <v>2030</v>
      </c>
      <c r="P15" s="143">
        <f>'Financial Data'!$C$9+P14</f>
        <v>2031</v>
      </c>
      <c r="Q15" s="143">
        <f>'Financial Data'!$C$9+Q14</f>
        <v>2032</v>
      </c>
      <c r="R15" s="143">
        <f>'Financial Data'!$C$9+R14</f>
        <v>2033</v>
      </c>
      <c r="S15" s="143">
        <f>'Financial Data'!$C$9+S14</f>
        <v>2034</v>
      </c>
      <c r="T15" s="143">
        <f>'Financial Data'!$C$9+T14</f>
        <v>2035</v>
      </c>
      <c r="U15" s="143">
        <f>'Financial Data'!$C$9+U14</f>
        <v>2036</v>
      </c>
      <c r="V15" s="143">
        <f>'Financial Data'!$C$9+V14</f>
        <v>2037</v>
      </c>
      <c r="W15" s="143">
        <f>'Financial Data'!$C$9+W14</f>
        <v>2038</v>
      </c>
      <c r="X15" s="143">
        <f>'Financial Data'!$C$9+X14</f>
        <v>2039</v>
      </c>
      <c r="Y15" s="143">
        <f>'Financial Data'!$C$9+Y14</f>
        <v>2040</v>
      </c>
      <c r="Z15" s="143">
        <f>'Financial Data'!$C$9+Z14</f>
        <v>2041</v>
      </c>
      <c r="AA15" s="143">
        <f>'Financial Data'!$C$9+AA14</f>
        <v>2042</v>
      </c>
    </row>
    <row r="16" spans="1:27" hidden="1">
      <c r="A16" s="75" t="s">
        <v>189</v>
      </c>
      <c r="B16" s="139" t="s">
        <v>73</v>
      </c>
      <c r="C16" s="139" t="str">
        <f>IF(ISNA(VLOOKUP(C14,'Current-CF'!$D$8:$E$12,2,FALSE)),B16,VLOOKUP(C14,'Current-CF'!$D$8:$E$12,2,FALSE))</f>
        <v>Current</v>
      </c>
      <c r="D16" s="139" t="str">
        <f>IF(ISNA(VLOOKUP(D14,'Current-CF'!$D$8:$E$12,2,FALSE)),C16,VLOOKUP(D14,'Current-CF'!$D$8:$E$12,2,FALSE))</f>
        <v>Current</v>
      </c>
      <c r="E16" s="139" t="str">
        <f>IF(ISNA(VLOOKUP(E14,'Current-CF'!$D$8:$E$12,2,FALSE)),D16,VLOOKUP(E14,'Current-CF'!$D$8:$E$12,2,FALSE))</f>
        <v>Current</v>
      </c>
      <c r="F16" s="139" t="str">
        <f>IF(ISNA(VLOOKUP(F14,'Current-CF'!$D$8:$E$12,2,FALSE)),E16,VLOOKUP(F14,'Current-CF'!$D$8:$E$12,2,FALSE))</f>
        <v>Current</v>
      </c>
      <c r="G16" s="139" t="str">
        <f>IF(ISNA(VLOOKUP(G14,'Current-CF'!$D$8:$E$12,2,FALSE)),F16,VLOOKUP(G14,'Current-CF'!$D$8:$E$12,2,FALSE))</f>
        <v>Current</v>
      </c>
      <c r="H16" s="139" t="str">
        <f>IF(ISNA(VLOOKUP(H14,'Current-CF'!$D$8:$E$12,2,FALSE)),G16,VLOOKUP(H14,'Current-CF'!$D$8:$E$12,2,FALSE))</f>
        <v>Current</v>
      </c>
      <c r="I16" s="139" t="str">
        <f>IF(ISNA(VLOOKUP(I14,'Current-CF'!$D$8:$E$12,2,FALSE)),H16,VLOOKUP(I14,'Current-CF'!$D$8:$E$12,2,FALSE))</f>
        <v>Current</v>
      </c>
      <c r="J16" s="139" t="str">
        <f>IF(ISNA(VLOOKUP(J14,'Current-CF'!$D$8:$E$12,2,FALSE)),I16,VLOOKUP(J14,'Current-CF'!$D$8:$E$12,2,FALSE))</f>
        <v>Current</v>
      </c>
      <c r="K16" s="139" t="str">
        <f>IF(ISNA(VLOOKUP(K14,'Current-CF'!$D$8:$E$12,2,FALSE)),J16,VLOOKUP(K14,'Current-CF'!$D$8:$E$12,2,FALSE))</f>
        <v>Current</v>
      </c>
      <c r="L16" s="139" t="str">
        <f>IF(ISNA(VLOOKUP(L14,'Current-CF'!$D$8:$E$12,2,FALSE)),K16,VLOOKUP(L14,'Current-CF'!$D$8:$E$12,2,FALSE))</f>
        <v>Current</v>
      </c>
      <c r="M16" s="139" t="str">
        <f>IF(ISNA(VLOOKUP(M14,'Current-CF'!$D$8:$E$12,2,FALSE)),L16,VLOOKUP(M14,'Current-CF'!$D$8:$E$12,2,FALSE))</f>
        <v>Current</v>
      </c>
      <c r="N16" s="139" t="str">
        <f>IF(ISNA(VLOOKUP(N14,'Current-CF'!$D$8:$E$12,2,FALSE)),M16,VLOOKUP(N14,'Current-CF'!$D$8:$E$12,2,FALSE))</f>
        <v>Current</v>
      </c>
      <c r="O16" s="139" t="str">
        <f>IF(ISNA(VLOOKUP(O14,'Current-CF'!$D$8:$E$12,2,FALSE)),N16,VLOOKUP(O14,'Current-CF'!$D$8:$E$12,2,FALSE))</f>
        <v>Current</v>
      </c>
      <c r="P16" s="139" t="str">
        <f>IF(ISNA(VLOOKUP(P14,'Current-CF'!$D$8:$E$12,2,FALSE)),O16,VLOOKUP(P14,'Current-CF'!$D$8:$E$12,2,FALSE))</f>
        <v>Current</v>
      </c>
      <c r="Q16" s="139" t="str">
        <f>IF(ISNA(VLOOKUP(Q14,'Current-CF'!$D$8:$E$12,2,FALSE)),P16,VLOOKUP(Q14,'Current-CF'!$D$8:$E$12,2,FALSE))</f>
        <v>Current</v>
      </c>
      <c r="R16" s="139" t="str">
        <f>IF(ISNA(VLOOKUP(R14,'Current-CF'!$D$8:$E$12,2,FALSE)),Q16,VLOOKUP(R14,'Current-CF'!$D$8:$E$12,2,FALSE))</f>
        <v>Current</v>
      </c>
      <c r="S16" s="139" t="str">
        <f>IF(ISNA(VLOOKUP(S14,'Current-CF'!$D$8:$E$12,2,FALSE)),R16,VLOOKUP(S14,'Current-CF'!$D$8:$E$12,2,FALSE))</f>
        <v>Current</v>
      </c>
      <c r="T16" s="139" t="str">
        <f>IF(ISNA(VLOOKUP(T14,'Current-CF'!$D$8:$E$12,2,FALSE)),S16,VLOOKUP(T14,'Current-CF'!$D$8:$E$12,2,FALSE))</f>
        <v>Current</v>
      </c>
      <c r="U16" s="139" t="str">
        <f>IF(ISNA(VLOOKUP(U14,'Current-CF'!$D$8:$E$12,2,FALSE)),T16,VLOOKUP(U14,'Current-CF'!$D$8:$E$12,2,FALSE))</f>
        <v>Current</v>
      </c>
      <c r="V16" s="139" t="str">
        <f>IF(ISNA(VLOOKUP(V14,'Current-CF'!$D$8:$E$12,2,FALSE)),U16,VLOOKUP(V14,'Current-CF'!$D$8:$E$12,2,FALSE))</f>
        <v>Current</v>
      </c>
      <c r="W16" s="139" t="str">
        <f>IF(ISNA(VLOOKUP(W14,'Current-CF'!$D$8:$E$12,2,FALSE)),V16,VLOOKUP(W14,'Current-CF'!$D$8:$E$12,2,FALSE))</f>
        <v>Current</v>
      </c>
      <c r="X16" s="139" t="str">
        <f>IF(ISNA(VLOOKUP(X14,'Current-CF'!$D$8:$E$12,2,FALSE)),W16,VLOOKUP(X14,'Current-CF'!$D$8:$E$12,2,FALSE))</f>
        <v>Current</v>
      </c>
      <c r="Y16" s="139" t="str">
        <f>IF(ISNA(VLOOKUP(Y14,'Current-CF'!$D$8:$E$12,2,FALSE)),X16,VLOOKUP(Y14,'Current-CF'!$D$8:$E$12,2,FALSE))</f>
        <v>Current</v>
      </c>
      <c r="Z16" s="139" t="str">
        <f>IF(ISNA(VLOOKUP(Z14,'Current-CF'!$D$8:$E$12,2,FALSE)),Y16,VLOOKUP(Z14,'Current-CF'!$D$8:$E$12,2,FALSE))</f>
        <v>Current</v>
      </c>
      <c r="AA16" s="139" t="str">
        <f>IF(ISNA(VLOOKUP(AA14,'Current-CF'!$D$8:$E$12,2,FALSE)),Z16,VLOOKUP(AA14,'Current-CF'!$D$8:$E$12,2,FALSE))</f>
        <v>Current</v>
      </c>
    </row>
    <row r="17" spans="1:27" hidden="1">
      <c r="A17" s="75" t="s">
        <v>190</v>
      </c>
      <c r="B17" s="139"/>
      <c r="C17" s="139"/>
      <c r="D17" s="139"/>
      <c r="E17" s="139"/>
      <c r="F17" s="139"/>
      <c r="G17" s="139"/>
      <c r="H17" s="139"/>
      <c r="I17" s="139"/>
      <c r="J17" s="139"/>
      <c r="K17" s="139"/>
      <c r="L17" s="139"/>
      <c r="M17" s="139"/>
      <c r="N17" s="139"/>
      <c r="O17" s="139"/>
      <c r="P17" s="139"/>
      <c r="Q17" s="139"/>
      <c r="R17" s="139"/>
      <c r="S17" s="139"/>
      <c r="T17" s="139"/>
      <c r="U17" s="139"/>
      <c r="V17" s="139"/>
      <c r="W17" s="139"/>
      <c r="X17" s="139"/>
      <c r="Y17" s="139"/>
      <c r="Z17" s="139"/>
      <c r="AA17" s="139"/>
    </row>
    <row r="18" spans="1:27" hidden="1">
      <c r="A18" s="75" t="s">
        <v>191</v>
      </c>
      <c r="B18" s="144"/>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4"/>
      <c r="AA18" s="144"/>
    </row>
    <row r="19" spans="1:27" hidden="1">
      <c r="A19" s="123" t="s">
        <v>192</v>
      </c>
      <c r="B19" s="145">
        <f>IF(B14&lt;='Financial Data'!$C$10,1,0)</f>
        <v>1</v>
      </c>
      <c r="C19" s="145">
        <f>IF(C14&lt;='Financial Data'!$C$10,1,0)</f>
        <v>1</v>
      </c>
      <c r="D19" s="145">
        <f>IF(D14&lt;='Financial Data'!$C$10,1,0)</f>
        <v>1</v>
      </c>
      <c r="E19" s="145">
        <f>IF(E14&lt;='Financial Data'!$C$10,1,0)</f>
        <v>1</v>
      </c>
      <c r="F19" s="145">
        <f>IF(F14&lt;='Financial Data'!$C$10,1,0)</f>
        <v>1</v>
      </c>
      <c r="G19" s="145">
        <f>IF(G14&lt;='Financial Data'!$C$10,1,0)</f>
        <v>1</v>
      </c>
      <c r="H19" s="145">
        <f>IF(H14&lt;='Financial Data'!$C$10,1,0)</f>
        <v>1</v>
      </c>
      <c r="I19" s="145">
        <f>IF(I14&lt;='Financial Data'!$C$10,1,0)</f>
        <v>1</v>
      </c>
      <c r="J19" s="145">
        <f>IF(J14&lt;='Financial Data'!$C$10,1,0)</f>
        <v>1</v>
      </c>
      <c r="K19" s="145">
        <f>IF(K14&lt;='Financial Data'!$C$10,1,0)</f>
        <v>1</v>
      </c>
      <c r="L19" s="145">
        <f>IF(L14&lt;='Financial Data'!$C$10,1,0)</f>
        <v>1</v>
      </c>
      <c r="M19" s="145">
        <f>IF(M14&lt;='Financial Data'!$C$10,1,0)</f>
        <v>0</v>
      </c>
      <c r="N19" s="145">
        <f>IF(N14&lt;='Financial Data'!$C$10,1,0)</f>
        <v>0</v>
      </c>
      <c r="O19" s="145">
        <f>IF(O14&lt;='Financial Data'!$C$10,1,0)</f>
        <v>0</v>
      </c>
      <c r="P19" s="145">
        <f>IF(P14&lt;='Financial Data'!$C$10,1,0)</f>
        <v>0</v>
      </c>
      <c r="Q19" s="145">
        <f>IF(Q14&lt;='Financial Data'!$C$10,1,0)</f>
        <v>0</v>
      </c>
      <c r="R19" s="145">
        <f>IF(R14&lt;='Financial Data'!$C$10,1,0)</f>
        <v>0</v>
      </c>
      <c r="S19" s="145">
        <f>IF(S14&lt;='Financial Data'!$C$10,1,0)</f>
        <v>0</v>
      </c>
      <c r="T19" s="145">
        <f>IF(T14&lt;='Financial Data'!$C$10,1,0)</f>
        <v>0</v>
      </c>
      <c r="U19" s="145">
        <f>IF(U14&lt;='Financial Data'!$C$10,1,0)</f>
        <v>0</v>
      </c>
      <c r="V19" s="145">
        <f>IF(V14&lt;='Financial Data'!$C$10,1,0)</f>
        <v>0</v>
      </c>
      <c r="W19" s="145">
        <f>IF(W14&lt;='Financial Data'!$C$10,1,0)</f>
        <v>0</v>
      </c>
      <c r="X19" s="145">
        <f>IF(X14&lt;='Financial Data'!$C$10,1,0)</f>
        <v>0</v>
      </c>
      <c r="Y19" s="145">
        <f>IF(Y14&lt;='Financial Data'!$C$10,1,0)</f>
        <v>0</v>
      </c>
      <c r="Z19" s="145">
        <f>IF(Z14&lt;='Financial Data'!$C$10,1,0)</f>
        <v>0</v>
      </c>
      <c r="AA19" s="145">
        <f>IF(AA14&lt;='Financial Data'!$C$10,1,0)</f>
        <v>0</v>
      </c>
    </row>
    <row r="20" spans="1:27" hidden="1">
      <c r="A20" s="146"/>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45"/>
      <c r="AA20" s="145"/>
    </row>
    <row r="21" spans="1:27">
      <c r="A21" s="22" t="s">
        <v>129</v>
      </c>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s="53" customFormat="1">
      <c r="A22" s="148" t="s">
        <v>165</v>
      </c>
      <c r="B22" s="149"/>
      <c r="C22" s="149"/>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row>
    <row r="23" spans="1:27" s="53" customFormat="1">
      <c r="A23" s="150" t="s">
        <v>178</v>
      </c>
      <c r="B23" s="149">
        <f>1/(1+'Financial Data'!$C$8)^B14*B22</f>
        <v>0</v>
      </c>
      <c r="C23" s="149">
        <f>1/(1+'Financial Data'!$C$8)^C14*C22</f>
        <v>0</v>
      </c>
      <c r="D23" s="149">
        <f>1/(1+'Financial Data'!$C$8)^D14*D22</f>
        <v>0</v>
      </c>
      <c r="E23" s="149">
        <f>1/(1+'Financial Data'!$C$8)^E14*E22</f>
        <v>0</v>
      </c>
      <c r="F23" s="149">
        <f>1/(1+'Financial Data'!$C$8)^F14*F22</f>
        <v>0</v>
      </c>
      <c r="G23" s="149">
        <f>1/(1+'Financial Data'!$C$8)^G14*G22</f>
        <v>0</v>
      </c>
      <c r="H23" s="149">
        <f>1/(1+'Financial Data'!$C$8)^H14*H22</f>
        <v>0</v>
      </c>
      <c r="I23" s="149">
        <f>1/(1+'Financial Data'!$C$8)^I14*I22</f>
        <v>0</v>
      </c>
      <c r="J23" s="149">
        <f>1/(1+'Financial Data'!$C$8)^J14*J22</f>
        <v>0</v>
      </c>
      <c r="K23" s="149">
        <f>1/(1+'Financial Data'!$C$8)^K14*K22</f>
        <v>0</v>
      </c>
      <c r="L23" s="149">
        <f>1/(1+'Financial Data'!$C$8)^L14*L22</f>
        <v>0</v>
      </c>
      <c r="M23" s="149">
        <f>1/(1+'Financial Data'!$C$8)^M14*M22</f>
        <v>0</v>
      </c>
      <c r="N23" s="149">
        <f>1/(1+'Financial Data'!$C$8)^N14*N22</f>
        <v>0</v>
      </c>
      <c r="O23" s="149">
        <f>1/(1+'Financial Data'!$C$8)^O14*O22</f>
        <v>0</v>
      </c>
      <c r="P23" s="149">
        <f>1/(1+'Financial Data'!$C$8)^P14*P22</f>
        <v>0</v>
      </c>
      <c r="Q23" s="149">
        <f>1/(1+'Financial Data'!$C$8)^Q14*Q22</f>
        <v>0</v>
      </c>
      <c r="R23" s="149">
        <f>1/(1+'Financial Data'!$C$8)^R14*R22</f>
        <v>0</v>
      </c>
      <c r="S23" s="149">
        <f>1/(1+'Financial Data'!$C$8)^S14*S22</f>
        <v>0</v>
      </c>
      <c r="T23" s="149">
        <f>1/(1+'Financial Data'!$C$8)^T14*T22</f>
        <v>0</v>
      </c>
      <c r="U23" s="149">
        <f>1/(1+'Financial Data'!$C$8)^U14*U22</f>
        <v>0</v>
      </c>
      <c r="V23" s="149">
        <f>1/(1+'Financial Data'!$C$8)^V14*V22</f>
        <v>0</v>
      </c>
      <c r="W23" s="149">
        <f>1/(1+'Financial Data'!$C$8)^W14*W22</f>
        <v>0</v>
      </c>
      <c r="X23" s="149">
        <f>1/(1+'Financial Data'!$C$8)^X14*X22</f>
        <v>0</v>
      </c>
      <c r="Y23" s="149">
        <f>1/(1+'Financial Data'!$C$8)^Y14*Y22</f>
        <v>0</v>
      </c>
      <c r="Z23" s="149">
        <f>1/(1+'Financial Data'!$C$8)^Z14*Z22</f>
        <v>0</v>
      </c>
      <c r="AA23" s="149">
        <f>1/(1+'Financial Data'!$C$8)^AA14*AA22</f>
        <v>0</v>
      </c>
    </row>
    <row r="24" spans="1:27">
      <c r="A24" s="22"/>
      <c r="B24" s="149"/>
      <c r="C24" s="149"/>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149"/>
    </row>
    <row r="25" spans="1:27" s="53" customFormat="1">
      <c r="A25" s="151" t="s">
        <v>143</v>
      </c>
      <c r="B25" s="149">
        <f>-'Annual WLC by Maturity Level '!$C$34</f>
        <v>-9949362.3499999996</v>
      </c>
      <c r="C25" s="149">
        <f>B25</f>
        <v>-9949362.3499999996</v>
      </c>
      <c r="D25" s="149">
        <f t="shared" ref="D25:AA25" si="0">C25</f>
        <v>-9949362.3499999996</v>
      </c>
      <c r="E25" s="149">
        <f t="shared" si="0"/>
        <v>-9949362.3499999996</v>
      </c>
      <c r="F25" s="149">
        <f t="shared" si="0"/>
        <v>-9949362.3499999996</v>
      </c>
      <c r="G25" s="149">
        <f t="shared" si="0"/>
        <v>-9949362.3499999996</v>
      </c>
      <c r="H25" s="149">
        <f t="shared" si="0"/>
        <v>-9949362.3499999996</v>
      </c>
      <c r="I25" s="149">
        <f t="shared" si="0"/>
        <v>-9949362.3499999996</v>
      </c>
      <c r="J25" s="149">
        <f t="shared" si="0"/>
        <v>-9949362.3499999996</v>
      </c>
      <c r="K25" s="149">
        <f t="shared" si="0"/>
        <v>-9949362.3499999996</v>
      </c>
      <c r="L25" s="149">
        <f t="shared" si="0"/>
        <v>-9949362.3499999996</v>
      </c>
      <c r="M25" s="149">
        <f t="shared" si="0"/>
        <v>-9949362.3499999996</v>
      </c>
      <c r="N25" s="149">
        <f t="shared" si="0"/>
        <v>-9949362.3499999996</v>
      </c>
      <c r="O25" s="149">
        <f t="shared" si="0"/>
        <v>-9949362.3499999996</v>
      </c>
      <c r="P25" s="149">
        <f t="shared" si="0"/>
        <v>-9949362.3499999996</v>
      </c>
      <c r="Q25" s="149">
        <f t="shared" si="0"/>
        <v>-9949362.3499999996</v>
      </c>
      <c r="R25" s="149">
        <f t="shared" si="0"/>
        <v>-9949362.3499999996</v>
      </c>
      <c r="S25" s="149">
        <f t="shared" si="0"/>
        <v>-9949362.3499999996</v>
      </c>
      <c r="T25" s="149">
        <f t="shared" si="0"/>
        <v>-9949362.3499999996</v>
      </c>
      <c r="U25" s="149">
        <f t="shared" si="0"/>
        <v>-9949362.3499999996</v>
      </c>
      <c r="V25" s="149">
        <f t="shared" si="0"/>
        <v>-9949362.3499999996</v>
      </c>
      <c r="W25" s="149">
        <f t="shared" si="0"/>
        <v>-9949362.3499999996</v>
      </c>
      <c r="X25" s="149">
        <f t="shared" si="0"/>
        <v>-9949362.3499999996</v>
      </c>
      <c r="Y25" s="149">
        <f t="shared" si="0"/>
        <v>-9949362.3499999996</v>
      </c>
      <c r="Z25" s="149">
        <f t="shared" si="0"/>
        <v>-9949362.3499999996</v>
      </c>
      <c r="AA25" s="149">
        <f t="shared" si="0"/>
        <v>-9949362.3499999996</v>
      </c>
    </row>
    <row r="26" spans="1:27" s="53" customFormat="1">
      <c r="A26" s="148"/>
      <c r="B26" s="149"/>
      <c r="C26" s="149"/>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49"/>
    </row>
    <row r="27" spans="1:27">
      <c r="A27" s="22" t="s">
        <v>126</v>
      </c>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row>
    <row r="28" spans="1:27" s="53" customFormat="1">
      <c r="A28" s="148" t="s">
        <v>182</v>
      </c>
      <c r="B28" s="149">
        <f t="shared" ref="B28:AA28" si="1">B25-$B$25</f>
        <v>0</v>
      </c>
      <c r="C28" s="149">
        <f t="shared" si="1"/>
        <v>0</v>
      </c>
      <c r="D28" s="149">
        <f t="shared" si="1"/>
        <v>0</v>
      </c>
      <c r="E28" s="149">
        <f t="shared" si="1"/>
        <v>0</v>
      </c>
      <c r="F28" s="149">
        <f t="shared" si="1"/>
        <v>0</v>
      </c>
      <c r="G28" s="149">
        <f t="shared" si="1"/>
        <v>0</v>
      </c>
      <c r="H28" s="149">
        <f t="shared" si="1"/>
        <v>0</v>
      </c>
      <c r="I28" s="149">
        <f t="shared" si="1"/>
        <v>0</v>
      </c>
      <c r="J28" s="149">
        <f t="shared" si="1"/>
        <v>0</v>
      </c>
      <c r="K28" s="149">
        <f t="shared" si="1"/>
        <v>0</v>
      </c>
      <c r="L28" s="149">
        <f t="shared" si="1"/>
        <v>0</v>
      </c>
      <c r="M28" s="149">
        <f t="shared" si="1"/>
        <v>0</v>
      </c>
      <c r="N28" s="149">
        <f t="shared" si="1"/>
        <v>0</v>
      </c>
      <c r="O28" s="149">
        <f t="shared" si="1"/>
        <v>0</v>
      </c>
      <c r="P28" s="149">
        <f t="shared" si="1"/>
        <v>0</v>
      </c>
      <c r="Q28" s="149">
        <f t="shared" si="1"/>
        <v>0</v>
      </c>
      <c r="R28" s="149">
        <f t="shared" si="1"/>
        <v>0</v>
      </c>
      <c r="S28" s="149">
        <f t="shared" si="1"/>
        <v>0</v>
      </c>
      <c r="T28" s="149">
        <f t="shared" si="1"/>
        <v>0</v>
      </c>
      <c r="U28" s="149">
        <f t="shared" si="1"/>
        <v>0</v>
      </c>
      <c r="V28" s="149">
        <f t="shared" si="1"/>
        <v>0</v>
      </c>
      <c r="W28" s="149">
        <f t="shared" si="1"/>
        <v>0</v>
      </c>
      <c r="X28" s="149">
        <f t="shared" si="1"/>
        <v>0</v>
      </c>
      <c r="Y28" s="149">
        <f t="shared" si="1"/>
        <v>0</v>
      </c>
      <c r="Z28" s="149">
        <f t="shared" si="1"/>
        <v>0</v>
      </c>
      <c r="AA28" s="149">
        <f t="shared" si="1"/>
        <v>0</v>
      </c>
    </row>
    <row r="29" spans="1:27" s="53" customFormat="1">
      <c r="A29" s="148" t="s">
        <v>183</v>
      </c>
      <c r="B29" s="149">
        <f>B28</f>
        <v>0</v>
      </c>
      <c r="C29" s="149">
        <f t="shared" ref="C29:AA29" si="2">C28-B28</f>
        <v>0</v>
      </c>
      <c r="D29" s="149">
        <f t="shared" si="2"/>
        <v>0</v>
      </c>
      <c r="E29" s="149">
        <f t="shared" si="2"/>
        <v>0</v>
      </c>
      <c r="F29" s="149">
        <f t="shared" si="2"/>
        <v>0</v>
      </c>
      <c r="G29" s="149">
        <f t="shared" si="2"/>
        <v>0</v>
      </c>
      <c r="H29" s="149">
        <f t="shared" si="2"/>
        <v>0</v>
      </c>
      <c r="I29" s="149">
        <f t="shared" si="2"/>
        <v>0</v>
      </c>
      <c r="J29" s="149">
        <f t="shared" si="2"/>
        <v>0</v>
      </c>
      <c r="K29" s="149">
        <f t="shared" si="2"/>
        <v>0</v>
      </c>
      <c r="L29" s="149">
        <f t="shared" si="2"/>
        <v>0</v>
      </c>
      <c r="M29" s="149">
        <f t="shared" si="2"/>
        <v>0</v>
      </c>
      <c r="N29" s="149">
        <f t="shared" si="2"/>
        <v>0</v>
      </c>
      <c r="O29" s="149">
        <f t="shared" si="2"/>
        <v>0</v>
      </c>
      <c r="P29" s="149">
        <f t="shared" si="2"/>
        <v>0</v>
      </c>
      <c r="Q29" s="149">
        <f t="shared" si="2"/>
        <v>0</v>
      </c>
      <c r="R29" s="149">
        <f t="shared" si="2"/>
        <v>0</v>
      </c>
      <c r="S29" s="149">
        <f t="shared" si="2"/>
        <v>0</v>
      </c>
      <c r="T29" s="149">
        <f t="shared" si="2"/>
        <v>0</v>
      </c>
      <c r="U29" s="149">
        <f t="shared" si="2"/>
        <v>0</v>
      </c>
      <c r="V29" s="149">
        <f t="shared" si="2"/>
        <v>0</v>
      </c>
      <c r="W29" s="149">
        <f t="shared" si="2"/>
        <v>0</v>
      </c>
      <c r="X29" s="149">
        <f t="shared" si="2"/>
        <v>0</v>
      </c>
      <c r="Y29" s="149">
        <f t="shared" si="2"/>
        <v>0</v>
      </c>
      <c r="Z29" s="149">
        <f t="shared" si="2"/>
        <v>0</v>
      </c>
      <c r="AA29" s="149">
        <f t="shared" si="2"/>
        <v>0</v>
      </c>
    </row>
    <row r="30" spans="1:27" s="53" customFormat="1">
      <c r="A30" s="150" t="s">
        <v>184</v>
      </c>
      <c r="B30" s="149">
        <f>1/(1+'Financial Data'!$C$8)^B14*B28</f>
        <v>0</v>
      </c>
      <c r="C30" s="149">
        <f>1/(1+'Financial Data'!$C$8)^C14*C28</f>
        <v>0</v>
      </c>
      <c r="D30" s="149">
        <f>1/(1+'Financial Data'!$C$8)^D14*D28</f>
        <v>0</v>
      </c>
      <c r="E30" s="149">
        <f>1/(1+'Financial Data'!$C$8)^E14*E28</f>
        <v>0</v>
      </c>
      <c r="F30" s="149">
        <f>1/(1+'Financial Data'!$C$8)^F14*F28</f>
        <v>0</v>
      </c>
      <c r="G30" s="149">
        <f>1/(1+'Financial Data'!$C$8)^G14*G28</f>
        <v>0</v>
      </c>
      <c r="H30" s="149">
        <f>1/(1+'Financial Data'!$C$8)^H14*H28</f>
        <v>0</v>
      </c>
      <c r="I30" s="149">
        <f>1/(1+'Financial Data'!$C$8)^I14*I28</f>
        <v>0</v>
      </c>
      <c r="J30" s="149">
        <f>1/(1+'Financial Data'!$C$8)^J14*J28</f>
        <v>0</v>
      </c>
      <c r="K30" s="149">
        <f>1/(1+'Financial Data'!$C$8)^K14*K28</f>
        <v>0</v>
      </c>
      <c r="L30" s="149">
        <f>1/(1+'Financial Data'!$C$8)^L14*L28</f>
        <v>0</v>
      </c>
      <c r="M30" s="149">
        <f>1/(1+'Financial Data'!$C$8)^M14*M28</f>
        <v>0</v>
      </c>
      <c r="N30" s="149">
        <f>1/(1+'Financial Data'!$C$8)^N14*N28</f>
        <v>0</v>
      </c>
      <c r="O30" s="149">
        <f>1/(1+'Financial Data'!$C$8)^O14*O28</f>
        <v>0</v>
      </c>
      <c r="P30" s="149">
        <f>1/(1+'Financial Data'!$C$8)^P14*P28</f>
        <v>0</v>
      </c>
      <c r="Q30" s="149">
        <f>1/(1+'Financial Data'!$C$8)^Q14*Q28</f>
        <v>0</v>
      </c>
      <c r="R30" s="149">
        <f>1/(1+'Financial Data'!$C$8)^R14*R28</f>
        <v>0</v>
      </c>
      <c r="S30" s="149">
        <f>1/(1+'Financial Data'!$C$8)^S14*S28</f>
        <v>0</v>
      </c>
      <c r="T30" s="149">
        <f>1/(1+'Financial Data'!$C$8)^T14*T28</f>
        <v>0</v>
      </c>
      <c r="U30" s="149">
        <f>1/(1+'Financial Data'!$C$8)^U14*U28</f>
        <v>0</v>
      </c>
      <c r="V30" s="149">
        <f>1/(1+'Financial Data'!$C$8)^V14*V28</f>
        <v>0</v>
      </c>
      <c r="W30" s="149">
        <f>1/(1+'Financial Data'!$C$8)^W14*W28</f>
        <v>0</v>
      </c>
      <c r="X30" s="149">
        <f>1/(1+'Financial Data'!$C$8)^X14*X28</f>
        <v>0</v>
      </c>
      <c r="Y30" s="149">
        <f>1/(1+'Financial Data'!$C$8)^Y14*Y28</f>
        <v>0</v>
      </c>
      <c r="Z30" s="149">
        <f>1/(1+'Financial Data'!$C$8)^Z14*Z28</f>
        <v>0</v>
      </c>
      <c r="AA30" s="149">
        <f>1/(1+'Financial Data'!$C$8)^AA14*AA28</f>
        <v>0</v>
      </c>
    </row>
    <row r="31" spans="1:27" s="53" customFormat="1">
      <c r="A31" s="150" t="s">
        <v>185</v>
      </c>
      <c r="B31" s="149">
        <f>1/(1+'Financial Data'!$C$8)^B14*B29</f>
        <v>0</v>
      </c>
      <c r="C31" s="149">
        <f>1/(1+'Financial Data'!$C$8)^C14*C29</f>
        <v>0</v>
      </c>
      <c r="D31" s="149">
        <f>1/(1+'Financial Data'!$C$8)^D14*D29</f>
        <v>0</v>
      </c>
      <c r="E31" s="149">
        <f>1/(1+'Financial Data'!$C$8)^E14*E29</f>
        <v>0</v>
      </c>
      <c r="F31" s="149">
        <f>1/(1+'Financial Data'!$C$8)^F14*F29</f>
        <v>0</v>
      </c>
      <c r="G31" s="149">
        <f>1/(1+'Financial Data'!$C$8)^G14*G29</f>
        <v>0</v>
      </c>
      <c r="H31" s="149">
        <f>1/(1+'Financial Data'!$C$8)^H14*H29</f>
        <v>0</v>
      </c>
      <c r="I31" s="149">
        <f>1/(1+'Financial Data'!$C$8)^I14*I29</f>
        <v>0</v>
      </c>
      <c r="J31" s="149">
        <f>1/(1+'Financial Data'!$C$8)^J14*J29</f>
        <v>0</v>
      </c>
      <c r="K31" s="149">
        <f>1/(1+'Financial Data'!$C$8)^K14*K29</f>
        <v>0</v>
      </c>
      <c r="L31" s="149">
        <f>1/(1+'Financial Data'!$C$8)^L14*L29</f>
        <v>0</v>
      </c>
      <c r="M31" s="149">
        <f>1/(1+'Financial Data'!$C$8)^M14*M29</f>
        <v>0</v>
      </c>
      <c r="N31" s="149">
        <f>1/(1+'Financial Data'!$C$8)^N14*N29</f>
        <v>0</v>
      </c>
      <c r="O31" s="149">
        <f>1/(1+'Financial Data'!$C$8)^O14*O29</f>
        <v>0</v>
      </c>
      <c r="P31" s="149">
        <f>1/(1+'Financial Data'!$C$8)^P14*P29</f>
        <v>0</v>
      </c>
      <c r="Q31" s="149">
        <f>1/(1+'Financial Data'!$C$8)^Q14*Q29</f>
        <v>0</v>
      </c>
      <c r="R31" s="149">
        <f>1/(1+'Financial Data'!$C$8)^R14*R29</f>
        <v>0</v>
      </c>
      <c r="S31" s="149">
        <f>1/(1+'Financial Data'!$C$8)^S14*S29</f>
        <v>0</v>
      </c>
      <c r="T31" s="149">
        <f>1/(1+'Financial Data'!$C$8)^T14*T29</f>
        <v>0</v>
      </c>
      <c r="U31" s="149">
        <f>1/(1+'Financial Data'!$C$8)^U14*U29</f>
        <v>0</v>
      </c>
      <c r="V31" s="149">
        <f>1/(1+'Financial Data'!$C$8)^V14*V29</f>
        <v>0</v>
      </c>
      <c r="W31" s="149">
        <f>1/(1+'Financial Data'!$C$8)^W14*W29</f>
        <v>0</v>
      </c>
      <c r="X31" s="149">
        <f>1/(1+'Financial Data'!$C$8)^X14*X29</f>
        <v>0</v>
      </c>
      <c r="Y31" s="149">
        <f>1/(1+'Financial Data'!$C$8)^Y14*Y29</f>
        <v>0</v>
      </c>
      <c r="Z31" s="149">
        <f>1/(1+'Financial Data'!$C$8)^Z14*Z29</f>
        <v>0</v>
      </c>
      <c r="AA31" s="149">
        <f>1/(1+'Financial Data'!$C$8)^AA14*AA29</f>
        <v>0</v>
      </c>
    </row>
    <row r="32" spans="1:27">
      <c r="A32" s="21"/>
      <c r="B32" s="149"/>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row>
    <row r="33" spans="1:27">
      <c r="A33" s="22" t="s">
        <v>188</v>
      </c>
      <c r="B33" s="149"/>
      <c r="C33" s="149"/>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49"/>
    </row>
    <row r="34" spans="1:27" s="53" customFormat="1">
      <c r="A34" s="148" t="s">
        <v>161</v>
      </c>
      <c r="B34" s="149">
        <f t="shared" ref="B34:AA34" si="3">B22+B28</f>
        <v>0</v>
      </c>
      <c r="C34" s="149">
        <f t="shared" si="3"/>
        <v>0</v>
      </c>
      <c r="D34" s="149">
        <f t="shared" si="3"/>
        <v>0</v>
      </c>
      <c r="E34" s="149">
        <f t="shared" si="3"/>
        <v>0</v>
      </c>
      <c r="F34" s="149">
        <f t="shared" si="3"/>
        <v>0</v>
      </c>
      <c r="G34" s="149">
        <f t="shared" si="3"/>
        <v>0</v>
      </c>
      <c r="H34" s="149">
        <f t="shared" si="3"/>
        <v>0</v>
      </c>
      <c r="I34" s="149">
        <f t="shared" si="3"/>
        <v>0</v>
      </c>
      <c r="J34" s="149">
        <f t="shared" si="3"/>
        <v>0</v>
      </c>
      <c r="K34" s="149">
        <f t="shared" si="3"/>
        <v>0</v>
      </c>
      <c r="L34" s="149">
        <f t="shared" si="3"/>
        <v>0</v>
      </c>
      <c r="M34" s="149">
        <f t="shared" si="3"/>
        <v>0</v>
      </c>
      <c r="N34" s="149">
        <f t="shared" si="3"/>
        <v>0</v>
      </c>
      <c r="O34" s="149">
        <f t="shared" si="3"/>
        <v>0</v>
      </c>
      <c r="P34" s="149">
        <f t="shared" si="3"/>
        <v>0</v>
      </c>
      <c r="Q34" s="149">
        <f t="shared" si="3"/>
        <v>0</v>
      </c>
      <c r="R34" s="149">
        <f t="shared" si="3"/>
        <v>0</v>
      </c>
      <c r="S34" s="149">
        <f t="shared" si="3"/>
        <v>0</v>
      </c>
      <c r="T34" s="149">
        <f t="shared" si="3"/>
        <v>0</v>
      </c>
      <c r="U34" s="149">
        <f t="shared" si="3"/>
        <v>0</v>
      </c>
      <c r="V34" s="149">
        <f t="shared" si="3"/>
        <v>0</v>
      </c>
      <c r="W34" s="149">
        <f t="shared" si="3"/>
        <v>0</v>
      </c>
      <c r="X34" s="149">
        <f t="shared" si="3"/>
        <v>0</v>
      </c>
      <c r="Y34" s="149">
        <f t="shared" si="3"/>
        <v>0</v>
      </c>
      <c r="Z34" s="149">
        <f t="shared" si="3"/>
        <v>0</v>
      </c>
      <c r="AA34" s="149">
        <f t="shared" si="3"/>
        <v>0</v>
      </c>
    </row>
    <row r="35" spans="1:27" s="53" customFormat="1">
      <c r="A35" s="150" t="s">
        <v>186</v>
      </c>
      <c r="B35" s="149">
        <f>1/(1+'Financial Data'!$C$8)^B14*B34</f>
        <v>0</v>
      </c>
      <c r="C35" s="149">
        <f>1/(1+'Financial Data'!$C$8)^C14*C34</f>
        <v>0</v>
      </c>
      <c r="D35" s="149">
        <f>1/(1+'Financial Data'!$C$8)^D14*D34</f>
        <v>0</v>
      </c>
      <c r="E35" s="149">
        <f>1/(1+'Financial Data'!$C$8)^E14*E34</f>
        <v>0</v>
      </c>
      <c r="F35" s="149">
        <f>1/(1+'Financial Data'!$C$8)^F14*F34</f>
        <v>0</v>
      </c>
      <c r="G35" s="149">
        <f>1/(1+'Financial Data'!$C$8)^G14*G34</f>
        <v>0</v>
      </c>
      <c r="H35" s="149">
        <f>1/(1+'Financial Data'!$C$8)^H14*H34</f>
        <v>0</v>
      </c>
      <c r="I35" s="149">
        <f>1/(1+'Financial Data'!$C$8)^I14*I34</f>
        <v>0</v>
      </c>
      <c r="J35" s="149">
        <f>1/(1+'Financial Data'!$C$8)^J14*J34</f>
        <v>0</v>
      </c>
      <c r="K35" s="149">
        <f>1/(1+'Financial Data'!$C$8)^K14*K34</f>
        <v>0</v>
      </c>
      <c r="L35" s="149">
        <f>1/(1+'Financial Data'!$C$8)^L14*L34</f>
        <v>0</v>
      </c>
      <c r="M35" s="149">
        <f>1/(1+'Financial Data'!$C$8)^M14*M34</f>
        <v>0</v>
      </c>
      <c r="N35" s="149">
        <f>1/(1+'Financial Data'!$C$8)^N14*N34</f>
        <v>0</v>
      </c>
      <c r="O35" s="149">
        <f>1/(1+'Financial Data'!$C$8)^O14*O34</f>
        <v>0</v>
      </c>
      <c r="P35" s="149">
        <f>1/(1+'Financial Data'!$C$8)^P14*P34</f>
        <v>0</v>
      </c>
      <c r="Q35" s="149">
        <f>1/(1+'Financial Data'!$C$8)^Q14*Q34</f>
        <v>0</v>
      </c>
      <c r="R35" s="149">
        <f>1/(1+'Financial Data'!$C$8)^R14*R34</f>
        <v>0</v>
      </c>
      <c r="S35" s="149">
        <f>1/(1+'Financial Data'!$C$8)^S14*S34</f>
        <v>0</v>
      </c>
      <c r="T35" s="149">
        <f>1/(1+'Financial Data'!$C$8)^T14*T34</f>
        <v>0</v>
      </c>
      <c r="U35" s="149">
        <f>1/(1+'Financial Data'!$C$8)^U14*U34</f>
        <v>0</v>
      </c>
      <c r="V35" s="149">
        <f>1/(1+'Financial Data'!$C$8)^V14*V34</f>
        <v>0</v>
      </c>
      <c r="W35" s="149">
        <f>1/(1+'Financial Data'!$C$8)^W14*W34</f>
        <v>0</v>
      </c>
      <c r="X35" s="149">
        <f>1/(1+'Financial Data'!$C$8)^X14*X34</f>
        <v>0</v>
      </c>
      <c r="Y35" s="149">
        <f>1/(1+'Financial Data'!$C$8)^Y14*Y34</f>
        <v>0</v>
      </c>
      <c r="Z35" s="149">
        <f>1/(1+'Financial Data'!$C$8)^Z14*Z34</f>
        <v>0</v>
      </c>
      <c r="AA35" s="149">
        <f>1/(1+'Financial Data'!$C$8)^AA14*AA34</f>
        <v>0</v>
      </c>
    </row>
    <row r="36" spans="1:27" s="53" customFormat="1">
      <c r="A36" s="150" t="s">
        <v>221</v>
      </c>
      <c r="B36" s="149">
        <f>B35</f>
        <v>0</v>
      </c>
      <c r="C36" s="149">
        <f t="shared" ref="C36:AA36" si="4">B36+C35</f>
        <v>0</v>
      </c>
      <c r="D36" s="149">
        <f t="shared" si="4"/>
        <v>0</v>
      </c>
      <c r="E36" s="149">
        <f t="shared" si="4"/>
        <v>0</v>
      </c>
      <c r="F36" s="149">
        <f t="shared" si="4"/>
        <v>0</v>
      </c>
      <c r="G36" s="149">
        <f t="shared" si="4"/>
        <v>0</v>
      </c>
      <c r="H36" s="149">
        <f t="shared" si="4"/>
        <v>0</v>
      </c>
      <c r="I36" s="149">
        <f t="shared" si="4"/>
        <v>0</v>
      </c>
      <c r="J36" s="149">
        <f t="shared" si="4"/>
        <v>0</v>
      </c>
      <c r="K36" s="149">
        <f t="shared" si="4"/>
        <v>0</v>
      </c>
      <c r="L36" s="149">
        <f t="shared" si="4"/>
        <v>0</v>
      </c>
      <c r="M36" s="149">
        <f t="shared" si="4"/>
        <v>0</v>
      </c>
      <c r="N36" s="149">
        <f t="shared" si="4"/>
        <v>0</v>
      </c>
      <c r="O36" s="149">
        <f t="shared" si="4"/>
        <v>0</v>
      </c>
      <c r="P36" s="149">
        <f t="shared" si="4"/>
        <v>0</v>
      </c>
      <c r="Q36" s="149">
        <f t="shared" si="4"/>
        <v>0</v>
      </c>
      <c r="R36" s="149">
        <f t="shared" si="4"/>
        <v>0</v>
      </c>
      <c r="S36" s="149">
        <f t="shared" si="4"/>
        <v>0</v>
      </c>
      <c r="T36" s="149">
        <f t="shared" si="4"/>
        <v>0</v>
      </c>
      <c r="U36" s="149">
        <f t="shared" si="4"/>
        <v>0</v>
      </c>
      <c r="V36" s="149">
        <f t="shared" si="4"/>
        <v>0</v>
      </c>
      <c r="W36" s="149">
        <f t="shared" si="4"/>
        <v>0</v>
      </c>
      <c r="X36" s="149">
        <f t="shared" si="4"/>
        <v>0</v>
      </c>
      <c r="Y36" s="149">
        <f t="shared" si="4"/>
        <v>0</v>
      </c>
      <c r="Z36" s="149">
        <f t="shared" si="4"/>
        <v>0</v>
      </c>
      <c r="AA36" s="149">
        <f t="shared" si="4"/>
        <v>0</v>
      </c>
    </row>
    <row r="37" spans="1:27" s="53" customFormat="1">
      <c r="A37" s="115"/>
      <c r="B37" s="149"/>
      <c r="C37" s="149"/>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149"/>
    </row>
    <row r="38" spans="1:27">
      <c r="A38" s="22" t="s">
        <v>223</v>
      </c>
      <c r="B38" s="152">
        <f>SUMPRODUCT(B23:AA23,B19:AA19)</f>
        <v>0</v>
      </c>
      <c r="C38" s="149"/>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149"/>
    </row>
    <row r="39" spans="1:27">
      <c r="A39" s="22" t="s">
        <v>224</v>
      </c>
      <c r="B39" s="152">
        <f>SUMPRODUCT(B30:AA30,B19:AA19)</f>
        <v>0</v>
      </c>
      <c r="C39" s="149"/>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49"/>
    </row>
    <row r="40" spans="1:27">
      <c r="A40" s="22" t="s">
        <v>187</v>
      </c>
      <c r="B40" s="152">
        <f>B39+B38</f>
        <v>0</v>
      </c>
      <c r="C40" s="149"/>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149"/>
    </row>
    <row r="41" spans="1:27">
      <c r="A41" s="22" t="s">
        <v>222</v>
      </c>
      <c r="B41" s="153" t="str">
        <f>IF(B38&gt;=0,"n/a",B40/-B38)</f>
        <v>n/a</v>
      </c>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row>
    <row r="42" spans="1:27">
      <c r="A42" s="22"/>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row>
    <row r="43" spans="1:27">
      <c r="A43" s="21"/>
      <c r="B43" s="154"/>
      <c r="C43" s="154"/>
      <c r="D43" s="154"/>
      <c r="E43" s="154"/>
      <c r="F43" s="154"/>
      <c r="G43" s="154"/>
      <c r="H43" s="154"/>
      <c r="I43" s="154"/>
      <c r="J43" s="154"/>
      <c r="K43" s="154"/>
      <c r="L43" s="154"/>
      <c r="M43" s="154"/>
      <c r="N43" s="154"/>
      <c r="O43" s="154"/>
      <c r="P43" s="154"/>
      <c r="Q43" s="154"/>
      <c r="R43" s="154"/>
      <c r="S43" s="154"/>
      <c r="T43" s="154"/>
      <c r="U43" s="154"/>
      <c r="V43" s="154"/>
      <c r="W43" s="154"/>
      <c r="X43" s="154"/>
      <c r="Y43" s="154"/>
      <c r="Z43" s="154"/>
      <c r="AA43" s="154"/>
    </row>
  </sheetData>
  <phoneticPr fontId="3"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03" r:id="rId4" name="Button 7">
              <controlPr locked="0" defaultSize="0" print="0" autoFill="0" autoPict="0" macro="[0]!ReturnMain">
                <anchor>
                  <from>
                    <xdr:col>0</xdr:col>
                    <xdr:colOff>28575</xdr:colOff>
                    <xdr:row>0</xdr:row>
                    <xdr:rowOff>38100</xdr:rowOff>
                  </from>
                  <to>
                    <xdr:col>0</xdr:col>
                    <xdr:colOff>657225</xdr:colOff>
                    <xdr:row>1</xdr:row>
                    <xdr:rowOff>66675</xdr:rowOff>
                  </to>
                </anchor>
              </controlPr>
            </control>
          </mc:Choice>
        </mc:AlternateContent>
        <mc:AlternateContent xmlns:mc="http://schemas.openxmlformats.org/markup-compatibility/2006">
          <mc:Choice Requires="x14">
            <control shapeId="29704" r:id="rId5" name="Button 8">
              <controlPr locked="0" defaultSize="0" print="0" autoFill="0" autoPict="0" macro="[0]!ShowMenu">
                <anchor>
                  <from>
                    <xdr:col>0</xdr:col>
                    <xdr:colOff>28575</xdr:colOff>
                    <xdr:row>1</xdr:row>
                    <xdr:rowOff>95250</xdr:rowOff>
                  </from>
                  <to>
                    <xdr:col>0</xdr:col>
                    <xdr:colOff>657225</xdr:colOff>
                    <xdr:row>2</xdr:row>
                    <xdr:rowOff>123825</xdr:rowOff>
                  </to>
                </anchor>
              </controlPr>
            </control>
          </mc:Choice>
        </mc:AlternateContent>
        <mc:AlternateContent xmlns:mc="http://schemas.openxmlformats.org/markup-compatibility/2006">
          <mc:Choice Requires="x14">
            <control shapeId="29705" r:id="rId6" name="Button 9">
              <controlPr locked="0" defaultSize="0" print="0" autoFill="0" autoPict="0" macro="[0]!PrevSheet">
                <anchor>
                  <from>
                    <xdr:col>0</xdr:col>
                    <xdr:colOff>28575</xdr:colOff>
                    <xdr:row>2</xdr:row>
                    <xdr:rowOff>152400</xdr:rowOff>
                  </from>
                  <to>
                    <xdr:col>0</xdr:col>
                    <xdr:colOff>228600</xdr:colOff>
                    <xdr:row>3</xdr:row>
                    <xdr:rowOff>123825</xdr:rowOff>
                  </to>
                </anchor>
              </controlPr>
            </control>
          </mc:Choice>
        </mc:AlternateContent>
        <mc:AlternateContent xmlns:mc="http://schemas.openxmlformats.org/markup-compatibility/2006">
          <mc:Choice Requires="x14">
            <control shapeId="29706" r:id="rId7" name="Button 10">
              <controlPr locked="0" defaultSize="0" print="0" autoFill="0" autoPict="0" macro="[0]!NextSheet">
                <anchor>
                  <from>
                    <xdr:col>0</xdr:col>
                    <xdr:colOff>457200</xdr:colOff>
                    <xdr:row>2</xdr:row>
                    <xdr:rowOff>152400</xdr:rowOff>
                  </from>
                  <to>
                    <xdr:col>0</xdr:col>
                    <xdr:colOff>657225</xdr:colOff>
                    <xdr:row>3</xdr:row>
                    <xdr:rowOff>123825</xdr:rowOff>
                  </to>
                </anchor>
              </controlPr>
            </control>
          </mc:Choice>
        </mc:AlternateContent>
        <mc:AlternateContent xmlns:mc="http://schemas.openxmlformats.org/markup-compatibility/2006">
          <mc:Choice Requires="x14">
            <control shapeId="29707" r:id="rId8" name="Button 11">
              <controlPr locked="0" defaultSize="0" print="0" autoFill="0" autoPict="0" macro="[0]!HideActiveSheet">
                <anchor>
                  <from>
                    <xdr:col>0</xdr:col>
                    <xdr:colOff>247650</xdr:colOff>
                    <xdr:row>2</xdr:row>
                    <xdr:rowOff>152400</xdr:rowOff>
                  </from>
                  <to>
                    <xdr:col>0</xdr:col>
                    <xdr:colOff>438150</xdr:colOff>
                    <xdr:row>3</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parkAttachmentRecordNumber xmlns="6e9dc5df-26dc-4cdc-bc9e-1872ac93cb1a">PB023476</SparkAttachmentRecordNumber>
    <SparkAttachmentRecordTitle xmlns="6e9dc5df-26dc-4cdc-bc9e-1872ac93cb1a">Cross-industry RCM, Business Case, 'Business Case Template' (T1010)</SparkAttachmentRecordTitle>
    <SparkAttachmentDescription xmlns="6e9dc5df-26dc-4cdc-bc9e-1872ac93cb1a" xsi:nil="true"/>
    <_dlc_DocId xmlns="6e9dc5df-26dc-4cdc-bc9e-1872ac93cb1a">75NEMTS3ZVHP-8-9868</_dlc_DocId>
    <_dlc_DocIdUrl xmlns="6e9dc5df-26dc-4cdc-bc9e-1872ac93cb1a">
      <Url>http://www.sparkrail.org/_layouts/DocIdRedir.aspx?ID=75NEMTS3ZVHP-8-9868</Url>
      <Description>75NEMTS3ZVHP-8-9868</Description>
    </_dlc_DocIdUrl>
    <SparkAttachmentRecordKeywordsTaxHTField0 xmlns="6e9dc5df-26dc-4cdc-bc9e-1872ac93cb1a">
      <Terms xmlns="http://schemas.microsoft.com/office/infopath/2007/PartnerControls"/>
    </SparkAttachmentRecordKeywordsTaxHTField0>
    <SparkCountries xmlns="6e9dc5df-26dc-4cdc-bc9e-1872ac93cb1a">United Kingdom</SparkCountries>
    <TaxCatchAll xmlns="6e9dc5df-26dc-4cdc-bc9e-1872ac93cb1a"/>
    <oadc9e77bb2e46e7a3bed45cbb1f8389 xmlns="6e9dc5df-26dc-4cdc-bc9e-1872ac93cb1a">
      <Terms xmlns="http://schemas.microsoft.com/office/infopath/2007/PartnerControls"/>
    </oadc9e77bb2e46e7a3bed45cbb1f8389>
    <SparkAttachmentRecordAuthorTaxHTField0 xmlns="6e9dc5df-26dc-4cdc-bc9e-1872ac93cb1a">
      <Terms xmlns="http://schemas.microsoft.com/office/infopath/2007/PartnerControls"/>
    </SparkAttachmentRecordAuthorTaxHTField0>
    <g26fa81fe08d4adbb709ae5defa4bd43 xmlns="6e9dc5df-26dc-4cdc-bc9e-1872ac93cb1a">
      <Terms xmlns="http://schemas.microsoft.com/office/infopath/2007/PartnerControls"/>
    </g26fa81fe08d4adbb709ae5defa4bd43>
    <hf0cf3ca9afc4fc6b655329373ff3e6d xmlns="6e9dc5df-26dc-4cdc-bc9e-1872ac93cb1a">
      <Terms xmlns="http://schemas.microsoft.com/office/infopath/2007/PartnerControls"/>
    </hf0cf3ca9afc4fc6b655329373ff3e6d>
    <SparkAttachmentRecordContentType xmlns="6e9dc5df-26dc-4cdc-bc9e-1872ac93cb1a">Publication</SparkAttachmentRecordContentType>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SparkAttachment" ma:contentTypeID="0x010100A04C6C45AA8F47FEBC7C7A661BDDACA5009387211FB3CD154A997009826B27ED40" ma:contentTypeVersion="2" ma:contentTypeDescription="Spark Attachment" ma:contentTypeScope="" ma:versionID="c42f80adb7e31aa361f751a762c10d68">
  <xsd:schema xmlns:xsd="http://www.w3.org/2001/XMLSchema" xmlns:xs="http://www.w3.org/2001/XMLSchema" xmlns:p="http://schemas.microsoft.com/office/2006/metadata/properties" xmlns:ns2="6e9dc5df-26dc-4cdc-bc9e-1872ac93cb1a" targetNamespace="http://schemas.microsoft.com/office/2006/metadata/properties" ma:root="true" ma:fieldsID="c5c65adc52327deb45b041d22676a0d8" ns2:_="">
    <xsd:import namespace="6e9dc5df-26dc-4cdc-bc9e-1872ac93cb1a"/>
    <xsd:element name="properties">
      <xsd:complexType>
        <xsd:sequence>
          <xsd:element name="documentManagement">
            <xsd:complexType>
              <xsd:all>
                <xsd:element ref="ns2:_dlc_DocId" minOccurs="0"/>
                <xsd:element ref="ns2:_dlc_DocIdUrl" minOccurs="0"/>
                <xsd:element ref="ns2:_dlc_DocIdPersistId" minOccurs="0"/>
                <xsd:element ref="ns2:SparkAttachmentDescription" minOccurs="0"/>
                <xsd:element ref="ns2:SparkAttachmentRecordTitle" minOccurs="0"/>
                <xsd:element ref="ns2:SparkAttachmentRecordNumber" minOccurs="0"/>
                <xsd:element ref="ns2:SparkAttachmentRecordContentType" minOccurs="0"/>
                <xsd:element ref="ns2:SparkCountries" minOccurs="0"/>
                <xsd:element ref="ns2:TaxCatchAll" minOccurs="0"/>
                <xsd:element ref="ns2:g26fa81fe08d4adbb709ae5defa4bd43" minOccurs="0"/>
                <xsd:element ref="ns2:SparkAttachmentRecordAuthorTaxHTField0" minOccurs="0"/>
                <xsd:element ref="ns2:hf0cf3ca9afc4fc6b655329373ff3e6d" minOccurs="0"/>
                <xsd:element ref="ns2:SparkAttachmentRecordKeywordsTaxHTField0" minOccurs="0"/>
                <xsd:element ref="ns2:oadc9e77bb2e46e7a3bed45cbb1f8389"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9dc5df-26dc-4cdc-bc9e-1872ac93cb1a"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parkAttachmentDescription" ma:index="11" nillable="true" ma:displayName="Attachment description" ma:internalName="SparkAttachmentDescription">
      <xsd:simpleType>
        <xsd:restriction base="dms:Text">
          <xsd:maxLength value="75"/>
        </xsd:restriction>
      </xsd:simpleType>
    </xsd:element>
    <xsd:element name="SparkAttachmentRecordTitle" ma:index="12" nillable="true" ma:displayName="Title of parent record" ma:description="Title of record which is linked with this attachment" ma:internalName="SparkAttachmentRecordTitle">
      <xsd:simpleType>
        <xsd:restriction base="dms:Text"/>
      </xsd:simpleType>
    </xsd:element>
    <xsd:element name="SparkAttachmentRecordNumber" ma:index="13" nillable="true" ma:displayName="Reference number of parent record" ma:description="Unique refrence of record which is linked with this attachment" ma:internalName="SparkAttachmentRecordNumber">
      <xsd:simpleType>
        <xsd:restriction base="dms:Text"/>
      </xsd:simpleType>
    </xsd:element>
    <xsd:element name="SparkAttachmentRecordContentType" ma:index="15" nillable="true" ma:displayName="Parent record type" ma:description="Parent record type" ma:internalName="SparkAttachmentRecordContentType">
      <xsd:simpleType>
        <xsd:restriction base="dms:Text"/>
      </xsd:simpleType>
    </xsd:element>
    <xsd:element name="SparkCountries" ma:index="19" nillable="true" ma:displayName="SparkAttachmentRecordCountry" ma:default="United Kingdom" ma:internalName="SparkCountries">
      <xsd:simpleType>
        <xsd:restriction base="dms:Choice">
          <xsd:enumeration value="Africa"/>
          <xsd:enumeration value="Argentina"/>
          <xsd:enumeration value="Asia"/>
          <xsd:enumeration value="Australia"/>
          <xsd:enumeration value="Austria"/>
          <xsd:enumeration value="Belgium"/>
          <xsd:enumeration value="Brazil"/>
          <xsd:enumeration value="Bulgaria"/>
          <xsd:enumeration value="Canada"/>
          <xsd:enumeration value="Caribbean, the"/>
          <xsd:enumeration value="Central America"/>
          <xsd:enumeration value="Chile"/>
          <xsd:enumeration value="China"/>
          <xsd:enumeration value="Cyprus"/>
          <xsd:enumeration value="Czech Republic"/>
          <xsd:enumeration value="Denmark"/>
          <xsd:enumeration value="Estonia"/>
          <xsd:enumeration value="Europe"/>
          <xsd:enumeration value="European Union"/>
          <xsd:enumeration value="Finland"/>
          <xsd:enumeration value="France"/>
          <xsd:enumeration value="Germany"/>
          <xsd:enumeration value="Greece"/>
          <xsd:enumeration value="Hungary"/>
          <xsd:enumeration value="India"/>
          <xsd:enumeration value="Ireland"/>
          <xsd:enumeration value="Iran"/>
          <xsd:enumeration value="Israel"/>
          <xsd:enumeration value="Italy"/>
          <xsd:enumeration value="Japan"/>
          <xsd:enumeration value="Latvia"/>
          <xsd:enumeration value="Lithuania"/>
          <xsd:enumeration value="Luxembourg"/>
          <xsd:enumeration value="Malta"/>
          <xsd:enumeration value="Mexico"/>
          <xsd:enumeration value="Middle East"/>
          <xsd:enumeration value="Netherlands"/>
          <xsd:enumeration value="New Zealand"/>
          <xsd:enumeration value="North America"/>
          <xsd:enumeration value="Norway"/>
          <xsd:enumeration value="Oceania"/>
          <xsd:enumeration value="Pakistan"/>
          <xsd:enumeration value="Poland"/>
          <xsd:enumeration value="Portugal"/>
          <xsd:enumeration value="Romania"/>
          <xsd:enumeration value="Russia"/>
          <xsd:enumeration value="Singapore"/>
          <xsd:enumeration value="Slovakia"/>
          <xsd:enumeration value="Slovenia"/>
          <xsd:enumeration value="South Africa"/>
          <xsd:enumeration value="South America"/>
          <xsd:enumeration value="South Korea"/>
          <xsd:enumeration value="Spain"/>
          <xsd:enumeration value="Sweden"/>
          <xsd:enumeration value="Switzerland"/>
          <xsd:enumeration value="Turkey"/>
          <xsd:enumeration value="United Kingdom"/>
          <xsd:enumeration value="United States"/>
          <xsd:enumeration value="Other"/>
        </xsd:restriction>
      </xsd:simpleType>
    </xsd:element>
    <xsd:element name="TaxCatchAll" ma:index="21" nillable="true" ma:displayName="Taxonomy Catch All Column" ma:hidden="true" ma:list="{149238bc-f7e6-43ad-927d-3446536fcfc3}" ma:internalName="TaxCatchAll" ma:showField="CatchAllData" ma:web="6e9dc5df-26dc-4cdc-bc9e-1872ac93cb1a">
      <xsd:complexType>
        <xsd:complexContent>
          <xsd:extension base="dms:MultiChoiceLookup">
            <xsd:sequence>
              <xsd:element name="Value" type="dms:Lookup" maxOccurs="unbounded" minOccurs="0" nillable="true"/>
            </xsd:sequence>
          </xsd:extension>
        </xsd:complexContent>
      </xsd:complexType>
    </xsd:element>
    <xsd:element name="g26fa81fe08d4adbb709ae5defa4bd43" ma:index="22" nillable="true" ma:taxonomy="true" ma:internalName="SparkAttachmentRecordTopicsTaxHTField0" ma:taxonomyFieldName="SparkAttachmentRecordTopics" ma:displayName="Parent record topics/subtopics" ma:default="" ma:fieldId="{026fa81f-e08d-4adb-b709-ae5defa4bd43}" ma:taxonomyMulti="true" ma:sspId="7d3aa3f7-5aa5-4d87-bdcf-7522e93ff77f" ma:termSetId="8aac678c-f003-4b1e-a1f4-cb844ba4184f" ma:anchorId="00000000-0000-0000-0000-000000000000" ma:open="false" ma:isKeyword="false">
      <xsd:complexType>
        <xsd:sequence>
          <xsd:element ref="pc:Terms" minOccurs="0" maxOccurs="1"/>
        </xsd:sequence>
      </xsd:complexType>
    </xsd:element>
    <xsd:element name="SparkAttachmentRecordAuthorTaxHTField0" ma:index="23" nillable="true" ma:taxonomy="true" ma:internalName="SparkAttachmentRecordAuthorTaxHTField0" ma:taxonomyFieldName="SparkAttachmentRecordAuthor" ma:displayName="Parent record author(s)" ma:default="" ma:fieldId="{f6e3d072-d09e-461f-a8aa-6f7171df815a}" ma:taxonomyMulti="true" ma:sspId="7d3aa3f7-5aa5-4d87-bdcf-7522e93ff77f" ma:termSetId="e6e8ea05-7cfa-412b-baf1-cdd39036a2a0" ma:anchorId="00000000-0000-0000-0000-000000000000" ma:open="true" ma:isKeyword="false">
      <xsd:complexType>
        <xsd:sequence>
          <xsd:element ref="pc:Terms" minOccurs="0" maxOccurs="1"/>
        </xsd:sequence>
      </xsd:complexType>
    </xsd:element>
    <xsd:element name="hf0cf3ca9afc4fc6b655329373ff3e6d" ma:index="24" nillable="true" ma:taxonomy="true" ma:internalName="SparkAttachmentRecordOrganisationTaxHTField0" ma:taxonomyFieldName="SparkAttachmentRecordOrganisation" ma:displayName="Parent record organisation(s)" ma:default="" ma:fieldId="{1f0cf3ca-9afc-4fc6-b655-329373ff3e6d}" ma:taxonomyMulti="true" ma:sspId="7d3aa3f7-5aa5-4d87-bdcf-7522e93ff77f" ma:termSetId="ebd84efe-c597-43a6-9885-53e31fb37702" ma:anchorId="00000000-0000-0000-0000-000000000000" ma:open="true" ma:isKeyword="false">
      <xsd:complexType>
        <xsd:sequence>
          <xsd:element ref="pc:Terms" minOccurs="0" maxOccurs="1"/>
        </xsd:sequence>
      </xsd:complexType>
    </xsd:element>
    <xsd:element name="SparkAttachmentRecordKeywordsTaxHTField0" ma:index="25" nillable="true" ma:taxonomy="true" ma:internalName="SparkAttachmentRecordKeywordsTaxHTField0" ma:taxonomyFieldName="SparkAttachmentRecordKeywords" ma:displayName="Parent record keywords" ma:default="" ma:fieldId="{d54a8445-ea4e-4e4e-a425-bf8f3c97d9f0}" ma:taxonomyMulti="true" ma:sspId="7d3aa3f7-5aa5-4d87-bdcf-7522e93ff77f" ma:termSetId="f27bf04e-eec5-40f3-a4c2-8b684a3e7637" ma:anchorId="00000000-0000-0000-0000-000000000000" ma:open="true" ma:isKeyword="false">
      <xsd:complexType>
        <xsd:sequence>
          <xsd:element ref="pc:Terms" minOccurs="0" maxOccurs="1"/>
        </xsd:sequence>
      </xsd:complexType>
    </xsd:element>
    <xsd:element name="oadc9e77bb2e46e7a3bed45cbb1f8389" ma:index="26" nillable="true" ma:taxonomy="true" ma:internalName="SparkAttachmentRecordSeriesTaxHTField0" ma:taxonomyFieldName="SparkAttachmentRecordSeries" ma:displayName="Parent record series" ma:default="" ma:fieldId="{8adc9e77-bb2e-46e7-a3be-d45cbb1f8389}" ma:taxonomyMulti="true" ma:sspId="7d3aa3f7-5aa5-4d87-bdcf-7522e93ff77f" ma:termSetId="81f7c4c8-5979-472e-b753-02e9adba45e5" ma:anchorId="00000000-0000-0000-0000-000000000000"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7134F9-268C-44B3-8209-B4BEAA81F10D}">
  <ds:schemaRefs>
    <ds:schemaRef ds:uri="http://purl.org/dc/elements/1.1/"/>
    <ds:schemaRef ds:uri="http://www.w3.org/XML/1998/namespace"/>
    <ds:schemaRef ds:uri="http://schemas.microsoft.com/office/2006/metadata/properties"/>
    <ds:schemaRef ds:uri="http://purl.org/dc/terms/"/>
    <ds:schemaRef ds:uri="6e9dc5df-26dc-4cdc-bc9e-1872ac93cb1a"/>
    <ds:schemaRef ds:uri="http://schemas.microsoft.com/office/2006/documentManagement/types"/>
    <ds:schemaRef ds:uri="http://schemas.openxmlformats.org/package/2006/metadata/core-properties"/>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5C376F6B-7ED7-4287-8A16-72E2FFFC10FF}">
  <ds:schemaRefs>
    <ds:schemaRef ds:uri="http://schemas.microsoft.com/sharepoint/events"/>
  </ds:schemaRefs>
</ds:datastoreItem>
</file>

<file path=customXml/itemProps3.xml><?xml version="1.0" encoding="utf-8"?>
<ds:datastoreItem xmlns:ds="http://schemas.openxmlformats.org/officeDocument/2006/customXml" ds:itemID="{E2BAA29E-81F8-403D-911B-256FC5A60D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9dc5df-26dc-4cdc-bc9e-1872ac93cb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6C0AC45-2377-4AEA-AA1A-9AC50CDBE8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11</vt:i4>
      </vt:variant>
    </vt:vector>
  </HeadingPairs>
  <TitlesOfParts>
    <vt:vector size="35" baseType="lpstr">
      <vt:lpstr>Version Control</vt:lpstr>
      <vt:lpstr>Report</vt:lpstr>
      <vt:lpstr>Report (backup)</vt:lpstr>
      <vt:lpstr>Maturity Level Summary</vt:lpstr>
      <vt:lpstr>Annual WLC by Maturity Level </vt:lpstr>
      <vt:lpstr>AMCB</vt:lpstr>
      <vt:lpstr>Sensitivity</vt:lpstr>
      <vt:lpstr>Financial Data</vt:lpstr>
      <vt:lpstr>Asset Info</vt:lpstr>
      <vt:lpstr>Asset Risk</vt:lpstr>
      <vt:lpstr>Asset WLC</vt:lpstr>
      <vt:lpstr>RCM Current</vt:lpstr>
      <vt:lpstr>RCM Future - Costs</vt:lpstr>
      <vt:lpstr>RCM Advancement - Benefits</vt:lpstr>
      <vt:lpstr>RCM Higher Level Analytics</vt:lpstr>
      <vt:lpstr>SD-CF</vt:lpstr>
      <vt:lpstr>HA1-CF</vt:lpstr>
      <vt:lpstr>HA2-CF</vt:lpstr>
      <vt:lpstr>PA-CF</vt:lpstr>
      <vt:lpstr>AG-CF</vt:lpstr>
      <vt:lpstr>Total-CF</vt:lpstr>
      <vt:lpstr>Current-CF</vt:lpstr>
      <vt:lpstr>Annual (chart)</vt:lpstr>
      <vt:lpstr>Net Cash Flow (chart)</vt:lpstr>
      <vt:lpstr>'Maturity Level Summary'!Print_Area</vt:lpstr>
      <vt:lpstr>Report!Print_Area</vt:lpstr>
      <vt:lpstr>'Report (backup)'!Print_Area</vt:lpstr>
      <vt:lpstr>Sens_Current_RCM_WLC</vt:lpstr>
      <vt:lpstr>Sens_Current_Risk</vt:lpstr>
      <vt:lpstr>Sens_Current_WLC</vt:lpstr>
      <vt:lpstr>Sens_MLevel_Investment</vt:lpstr>
      <vt:lpstr>Sens_MLevel_RCM_WLC</vt:lpstr>
      <vt:lpstr>Sens_MLevel_Risk</vt:lpstr>
      <vt:lpstr>Sens_MLevel_WLC</vt:lpstr>
      <vt:lpstr>VPF</vt:lpstr>
    </vt:vector>
  </TitlesOfParts>
  <Company>AMCL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Smallbone</dc:creator>
  <cp:lastModifiedBy>Pete Johnson</cp:lastModifiedBy>
  <cp:lastPrinted>2014-05-23T09:01:03Z</cp:lastPrinted>
  <dcterms:created xsi:type="dcterms:W3CDTF">2011-09-12T14:50:03Z</dcterms:created>
  <dcterms:modified xsi:type="dcterms:W3CDTF">2017-03-07T01:35:11Z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0x010100A04C6C45AA8F47FEBC7C7A661BDDACA5009387211FB3CD154A997009826B27ED40</vt:lpwstr>
  </property>
  <property fmtid="{D5CDD505-2E9C-101B-9397-08002B2CF9AE}" pid="3" name="IsMyDocuments">
    <vt:bool>true</vt:bool>
  </property>
  <property fmtid="{D5CDD505-2E9C-101B-9397-08002B2CF9AE}" pid="4" name="_dlc_DocIdItemGuid">
    <vt:lpwstr>250f26a4-6573-476d-bcb1-467bf1c72988</vt:lpwstr>
  </property>
  <property fmtid="{D5CDD505-2E9C-101B-9397-08002B2CF9AE}" pid="5" name="SparkAttachmentFileName">
    <vt:lpwstr>RCM_Tool_Version_3.0.xlsm</vt:lpwstr>
  </property>
  <property fmtid="{D5CDD505-2E9C-101B-9397-08002B2CF9AE}" pid="6" name="SparkAttachmentRecordSeries">
    <vt:lpwstr/>
  </property>
  <property fmtid="{D5CDD505-2E9C-101B-9397-08002B2CF9AE}" pid="7" name="SparkAttachmentRecordKeywords">
    <vt:lpwstr/>
  </property>
  <property fmtid="{D5CDD505-2E9C-101B-9397-08002B2CF9AE}" pid="8" name="SparkAttachmentRecordTopics">
    <vt:lpwstr/>
  </property>
  <property fmtid="{D5CDD505-2E9C-101B-9397-08002B2CF9AE}" pid="9" name="SparkAttachmentRecordAuthor">
    <vt:lpwstr/>
  </property>
  <property fmtid="{D5CDD505-2E9C-101B-9397-08002B2CF9AE}" pid="10" name="SparkAttachmentRecordOrganisation">
    <vt:lpwstr/>
  </property>
</Properties>
</file>