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saveExternalLinkValues="0" codeName="ThisWorkbook"/>
  <workbookProtection lockStructure="1"/>
  <bookViews>
    <workbookView xWindow="0" yWindow="0" windowWidth="10800" windowHeight="6950" tabRatio="882" activeTab="2"/>
  </bookViews>
  <sheets>
    <sheet name="Indicators" sheetId="1" r:id="rId1"/>
    <sheet name="BCBS Template" sheetId="20" r:id="rId2"/>
    <sheet name="Graphs" sheetId="19" r:id="rId3"/>
    <sheet name="Time Series" sheetId="23" r:id="rId4"/>
    <sheet name="Scores" sheetId="17" r:id="rId5"/>
    <sheet name="FR Y-15 Data" sheetId="14" r:id="rId6"/>
    <sheet name="2013 Indicators" sheetId="22" state="hidden" r:id="rId7"/>
  </sheets>
  <definedNames>
    <definedName name="_xlnm._FilterDatabase" localSheetId="6" hidden="1">'2013 Indicators'!$B$5:$O$38</definedName>
    <definedName name="_xlnm._FilterDatabase" localSheetId="2" hidden="1">Graphs!$R$2:$T$396</definedName>
    <definedName name="_xlnm._FilterDatabase" localSheetId="0" hidden="1">Indicators!$B$5:$O$38</definedName>
    <definedName name="_xlnm._FilterDatabase" localSheetId="4" hidden="1">Scores!$B$10:$P$10</definedName>
    <definedName name="_xlnm._FilterDatabase" localSheetId="3" hidden="1">'Time Series'!$P$6:$T$39</definedName>
    <definedName name="A" localSheetId="6">'2013 Indicators'!$A$1</definedName>
    <definedName name="A" localSheetId="4">Scores!$A$1</definedName>
    <definedName name="A">Indicators!$A$1</definedName>
    <definedName name="_xlnm.Print_Area" localSheetId="6">'2013 Indicators'!$B$2:$O$38</definedName>
    <definedName name="_xlnm.Print_Area" localSheetId="1">'BCBS Template'!$A$1:$T$271</definedName>
    <definedName name="_xlnm.Print_Area" localSheetId="2">Graphs!$A$1:$P$312</definedName>
    <definedName name="_xlnm.Print_Area" localSheetId="0">Indicators!$B$2:$O$39</definedName>
    <definedName name="_xlnm.Print_Area" localSheetId="4">Scores!$B$2:$AD$43</definedName>
    <definedName name="_xlnm.Print_Area" localSheetId="3">'Time Series'!$A$4:$J$55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23" l="1"/>
  <c r="L4" i="23"/>
  <c r="B5" i="23" l="1"/>
  <c r="B31" i="23" l="1"/>
  <c r="N5" i="23" l="1"/>
  <c r="S5" i="23"/>
  <c r="R5" i="23"/>
  <c r="V4" i="23" l="1"/>
  <c r="P4" i="23" l="1"/>
  <c r="M6" i="23" l="1"/>
  <c r="W6" i="23"/>
  <c r="L6" i="23"/>
  <c r="V6" i="23"/>
  <c r="P6" i="23"/>
  <c r="Q6" i="23"/>
  <c r="C4" i="1" l="1"/>
  <c r="B4" i="1"/>
  <c r="V5" i="23" l="1"/>
  <c r="P5" i="23"/>
  <c r="L5" i="23"/>
  <c r="W5" i="23"/>
  <c r="Q5" i="23"/>
  <c r="M5" i="23"/>
  <c r="C6" i="1"/>
  <c r="M7" i="23" s="1"/>
  <c r="C43" i="17"/>
  <c r="B43" i="17" s="1"/>
  <c r="C42" i="17"/>
  <c r="B42" i="17" s="1"/>
  <c r="C41" i="17"/>
  <c r="B41" i="17" s="1"/>
  <c r="C40" i="17"/>
  <c r="B40" i="17" s="1"/>
  <c r="C39" i="17"/>
  <c r="B39" i="17" s="1"/>
  <c r="C38" i="17"/>
  <c r="B38" i="17" s="1"/>
  <c r="C37" i="17"/>
  <c r="B37" i="17" s="1"/>
  <c r="C36" i="17"/>
  <c r="B36" i="17" s="1"/>
  <c r="C35" i="17"/>
  <c r="B35" i="17" s="1"/>
  <c r="C34" i="17"/>
  <c r="B34" i="17" s="1"/>
  <c r="C33" i="17"/>
  <c r="B33" i="17" s="1"/>
  <c r="C32" i="17"/>
  <c r="B32" i="17" s="1"/>
  <c r="C31" i="17"/>
  <c r="B31" i="17" s="1"/>
  <c r="C30" i="17"/>
  <c r="B30" i="17" s="1"/>
  <c r="C29" i="17"/>
  <c r="B29" i="17" s="1"/>
  <c r="C28" i="17"/>
  <c r="B28" i="17" s="1"/>
  <c r="C27" i="17"/>
  <c r="B27" i="17" s="1"/>
  <c r="C26" i="17"/>
  <c r="B26" i="17" s="1"/>
  <c r="C25" i="17"/>
  <c r="B25" i="17" s="1"/>
  <c r="C24" i="17"/>
  <c r="B24" i="17" s="1"/>
  <c r="C23" i="17"/>
  <c r="B23" i="17" s="1"/>
  <c r="C22" i="17"/>
  <c r="B22" i="17" s="1"/>
  <c r="C21" i="17"/>
  <c r="B21" i="17" s="1"/>
  <c r="C20" i="17"/>
  <c r="B20" i="17" s="1"/>
  <c r="C19" i="17"/>
  <c r="B19" i="17" s="1"/>
  <c r="C18" i="17"/>
  <c r="B18" i="17" s="1"/>
  <c r="C17" i="17"/>
  <c r="B17" i="17" s="1"/>
  <c r="C16" i="17"/>
  <c r="B16" i="17" s="1"/>
  <c r="C15" i="17"/>
  <c r="B15" i="17" s="1"/>
  <c r="C14" i="17"/>
  <c r="B14" i="17" s="1"/>
  <c r="C13" i="17"/>
  <c r="B13" i="17" s="1"/>
  <c r="C12" i="17"/>
  <c r="B12" i="17" s="1"/>
  <c r="C11" i="17"/>
  <c r="B11" i="17" s="1"/>
  <c r="Q5" i="17"/>
  <c r="R5" i="17"/>
  <c r="S5" i="17"/>
  <c r="T5" i="17"/>
  <c r="U5" i="17"/>
  <c r="V5" i="17"/>
  <c r="W5" i="17"/>
  <c r="X5" i="17"/>
  <c r="Y5" i="17"/>
  <c r="Z5" i="17"/>
  <c r="AA5" i="17"/>
  <c r="AB5" i="17"/>
  <c r="C38" i="1"/>
  <c r="C37" i="1"/>
  <c r="M38" i="23" s="1"/>
  <c r="C36" i="1"/>
  <c r="M37" i="23" s="1"/>
  <c r="C35" i="1"/>
  <c r="M36" i="23" s="1"/>
  <c r="C34" i="1"/>
  <c r="C33" i="1"/>
  <c r="M34" i="23" s="1"/>
  <c r="C32" i="1"/>
  <c r="M33" i="23" s="1"/>
  <c r="C31" i="1"/>
  <c r="M32" i="23" s="1"/>
  <c r="C30" i="1"/>
  <c r="C29" i="1"/>
  <c r="M30" i="23" s="1"/>
  <c r="C28" i="1"/>
  <c r="M29" i="23" s="1"/>
  <c r="C27" i="1"/>
  <c r="M28" i="23" s="1"/>
  <c r="C26" i="1"/>
  <c r="C25" i="1"/>
  <c r="M26" i="23" s="1"/>
  <c r="C24" i="1"/>
  <c r="M25" i="23" s="1"/>
  <c r="C23" i="1"/>
  <c r="M24" i="23" s="1"/>
  <c r="C22" i="1"/>
  <c r="C21" i="1"/>
  <c r="M22" i="23" s="1"/>
  <c r="C20" i="1"/>
  <c r="M21" i="23" s="1"/>
  <c r="C19" i="1"/>
  <c r="M20" i="23" s="1"/>
  <c r="C18" i="1"/>
  <c r="C17" i="1"/>
  <c r="M18" i="23" s="1"/>
  <c r="C16" i="1"/>
  <c r="M17" i="23" s="1"/>
  <c r="C15" i="1"/>
  <c r="M16" i="23" s="1"/>
  <c r="C14" i="1"/>
  <c r="C13" i="1"/>
  <c r="M14" i="23" s="1"/>
  <c r="C12" i="1"/>
  <c r="M13" i="23" s="1"/>
  <c r="C11" i="1"/>
  <c r="M12" i="23" s="1"/>
  <c r="C10" i="1"/>
  <c r="C9" i="1"/>
  <c r="M10" i="23" s="1"/>
  <c r="C8" i="1"/>
  <c r="M9" i="23" s="1"/>
  <c r="C7" i="1"/>
  <c r="M8" i="23" s="1"/>
  <c r="M11" i="23" l="1"/>
  <c r="M15" i="23"/>
  <c r="M19" i="23"/>
  <c r="M23" i="23"/>
  <c r="M27" i="23"/>
  <c r="M31" i="23"/>
  <c r="M35" i="23"/>
  <c r="M39" i="23"/>
  <c r="B6" i="1"/>
  <c r="L7" i="23" s="1"/>
  <c r="D42" i="17"/>
  <c r="I41" i="17"/>
  <c r="M40" i="17"/>
  <c r="M38" i="17"/>
  <c r="M37" i="17"/>
  <c r="H33" i="17"/>
  <c r="L32" i="17"/>
  <c r="N30" i="17"/>
  <c r="M28" i="17"/>
  <c r="D26" i="17"/>
  <c r="J25" i="17"/>
  <c r="O24" i="17"/>
  <c r="I22" i="17"/>
  <c r="M20" i="17"/>
  <c r="F18" i="17"/>
  <c r="H16" i="17"/>
  <c r="J13" i="17"/>
  <c r="K12" i="17"/>
  <c r="N23" i="17"/>
  <c r="O18" i="17"/>
  <c r="B29" i="1"/>
  <c r="L30" i="23" s="1"/>
  <c r="B38" i="1"/>
  <c r="B37" i="1"/>
  <c r="L38" i="23" s="1"/>
  <c r="B36" i="1"/>
  <c r="L37" i="23" s="1"/>
  <c r="B35" i="1"/>
  <c r="L36" i="23" s="1"/>
  <c r="B34" i="1"/>
  <c r="L35" i="23" s="1"/>
  <c r="B33" i="1"/>
  <c r="L34" i="23" s="1"/>
  <c r="B32" i="1"/>
  <c r="L33" i="23" s="1"/>
  <c r="B31" i="1"/>
  <c r="L32" i="23" s="1"/>
  <c r="B30" i="1"/>
  <c r="L31" i="23" s="1"/>
  <c r="B28" i="1"/>
  <c r="L29" i="23" s="1"/>
  <c r="B27" i="1"/>
  <c r="L28" i="23" s="1"/>
  <c r="B26" i="1"/>
  <c r="B25" i="1"/>
  <c r="L26" i="23" s="1"/>
  <c r="B24" i="1"/>
  <c r="L25" i="23" s="1"/>
  <c r="B23" i="1"/>
  <c r="L24" i="23" s="1"/>
  <c r="B22" i="1"/>
  <c r="B21" i="1"/>
  <c r="L22" i="23" s="1"/>
  <c r="B20" i="1"/>
  <c r="L21" i="23" s="1"/>
  <c r="B19" i="1"/>
  <c r="L20" i="23" s="1"/>
  <c r="B18" i="1"/>
  <c r="B17" i="1"/>
  <c r="L18" i="23" s="1"/>
  <c r="B16" i="1"/>
  <c r="L17" i="23" s="1"/>
  <c r="B15" i="1"/>
  <c r="L16" i="23" s="1"/>
  <c r="B14" i="1"/>
  <c r="L15" i="23" s="1"/>
  <c r="B13" i="1"/>
  <c r="L14" i="23" s="1"/>
  <c r="B12" i="1"/>
  <c r="L13" i="23" s="1"/>
  <c r="B11" i="1"/>
  <c r="L12" i="23" s="1"/>
  <c r="B10" i="1"/>
  <c r="B9" i="1"/>
  <c r="L10" i="23" s="1"/>
  <c r="B8" i="1"/>
  <c r="L9" i="23" s="1"/>
  <c r="B7" i="1"/>
  <c r="L8" i="23" s="1"/>
  <c r="F39" i="17"/>
  <c r="I34" i="17"/>
  <c r="D34" i="17"/>
  <c r="E31" i="17"/>
  <c r="D30" i="17"/>
  <c r="I27" i="17"/>
  <c r="O15" i="17"/>
  <c r="G15" i="17"/>
  <c r="O11" i="17"/>
  <c r="G11" i="17"/>
  <c r="AX38" i="19"/>
  <c r="L11" i="23" l="1"/>
  <c r="L27" i="23"/>
  <c r="L39" i="23"/>
  <c r="L19" i="23"/>
  <c r="L23" i="23"/>
  <c r="J30" i="17"/>
  <c r="N38" i="17"/>
  <c r="M30" i="17"/>
  <c r="N18" i="17"/>
  <c r="F14" i="17"/>
  <c r="J22" i="17"/>
  <c r="M22" i="17"/>
  <c r="J18" i="17"/>
  <c r="N25" i="17"/>
  <c r="G12" i="17"/>
  <c r="L16" i="17"/>
  <c r="I20" i="17"/>
  <c r="E24" i="17"/>
  <c r="I36" i="17"/>
  <c r="I40" i="17"/>
  <c r="H14" i="17"/>
  <c r="D17" i="17"/>
  <c r="E22" i="17"/>
  <c r="M24" i="17"/>
  <c r="D28" i="17"/>
  <c r="F33" i="17"/>
  <c r="J37" i="17"/>
  <c r="E41" i="17"/>
  <c r="O16" i="17"/>
  <c r="N28" i="17"/>
  <c r="J36" i="17"/>
  <c r="H12" i="17"/>
  <c r="J20" i="17"/>
  <c r="H24" i="17"/>
  <c r="J40" i="17"/>
  <c r="L12" i="17"/>
  <c r="D20" i="17"/>
  <c r="N20" i="17"/>
  <c r="I24" i="17"/>
  <c r="F32" i="17"/>
  <c r="D40" i="17"/>
  <c r="N40" i="17"/>
  <c r="M36" i="17"/>
  <c r="M12" i="17"/>
  <c r="L17" i="17"/>
  <c r="E20" i="17"/>
  <c r="J21" i="17"/>
  <c r="D24" i="17"/>
  <c r="L24" i="17"/>
  <c r="I30" i="17"/>
  <c r="M32" i="17"/>
  <c r="D36" i="17"/>
  <c r="D38" i="17"/>
  <c r="E40" i="17"/>
  <c r="G17" i="17"/>
  <c r="M17" i="17"/>
  <c r="E25" i="17"/>
  <c r="J33" i="17"/>
  <c r="N41" i="17"/>
  <c r="N37" i="17"/>
  <c r="L13" i="17"/>
  <c r="J14" i="17"/>
  <c r="H17" i="17"/>
  <c r="O17" i="17"/>
  <c r="F22" i="17"/>
  <c r="N22" i="17"/>
  <c r="F25" i="17"/>
  <c r="E30" i="17"/>
  <c r="L30" i="17"/>
  <c r="L33" i="17"/>
  <c r="N34" i="17"/>
  <c r="E37" i="17"/>
  <c r="I38" i="17"/>
  <c r="N33" i="17"/>
  <c r="N13" i="17"/>
  <c r="N14" i="17"/>
  <c r="I17" i="17"/>
  <c r="F21" i="17"/>
  <c r="I25" i="17"/>
  <c r="F30" i="17"/>
  <c r="E33" i="17"/>
  <c r="M33" i="17"/>
  <c r="H37" i="17"/>
  <c r="D41" i="17"/>
  <c r="M11" i="17"/>
  <c r="I11" i="17"/>
  <c r="E11" i="17"/>
  <c r="L11" i="17"/>
  <c r="H11" i="17"/>
  <c r="D11" i="17"/>
  <c r="M15" i="17"/>
  <c r="I15" i="17"/>
  <c r="E15" i="17"/>
  <c r="L15" i="17"/>
  <c r="H15" i="17"/>
  <c r="D15" i="17"/>
  <c r="M19" i="17"/>
  <c r="E19" i="17"/>
  <c r="L19" i="17"/>
  <c r="D19" i="17"/>
  <c r="J23" i="17"/>
  <c r="I23" i="17"/>
  <c r="L27" i="17"/>
  <c r="E27" i="17"/>
  <c r="M27" i="17"/>
  <c r="J27" i="17"/>
  <c r="D27" i="17"/>
  <c r="M31" i="17"/>
  <c r="H31" i="17"/>
  <c r="L31" i="17"/>
  <c r="F31" i="17"/>
  <c r="J31" i="17"/>
  <c r="J35" i="17"/>
  <c r="F35" i="17"/>
  <c r="M39" i="17"/>
  <c r="L39" i="17"/>
  <c r="H39" i="17"/>
  <c r="L43" i="17"/>
  <c r="E43" i="17"/>
  <c r="J43" i="17"/>
  <c r="D43" i="17"/>
  <c r="I43" i="17"/>
  <c r="J11" i="17"/>
  <c r="J15" i="17"/>
  <c r="H19" i="17"/>
  <c r="N27" i="17"/>
  <c r="I31" i="17"/>
  <c r="L35" i="17"/>
  <c r="K11" i="17"/>
  <c r="K15" i="17"/>
  <c r="I19" i="17"/>
  <c r="N31" i="17"/>
  <c r="F43" i="17"/>
  <c r="F11" i="17"/>
  <c r="N11" i="17"/>
  <c r="F15" i="17"/>
  <c r="N15" i="17"/>
  <c r="F27" i="17"/>
  <c r="D31" i="17"/>
  <c r="N43" i="17"/>
  <c r="D12" i="17"/>
  <c r="I12" i="17"/>
  <c r="O12" i="17"/>
  <c r="G16" i="17"/>
  <c r="F20" i="17"/>
  <c r="L20" i="17"/>
  <c r="F24" i="17"/>
  <c r="J24" i="17"/>
  <c r="N24" i="17"/>
  <c r="H28" i="17"/>
  <c r="H32" i="17"/>
  <c r="E36" i="17"/>
  <c r="L36" i="17"/>
  <c r="F40" i="17"/>
  <c r="L40" i="17"/>
  <c r="O20" i="17"/>
  <c r="E12" i="17"/>
  <c r="D13" i="17"/>
  <c r="E17" i="17"/>
  <c r="K17" i="17"/>
  <c r="H20" i="17"/>
  <c r="N21" i="17"/>
  <c r="G24" i="17"/>
  <c r="K24" i="17"/>
  <c r="F36" i="17"/>
  <c r="N36" i="17"/>
  <c r="H40" i="17"/>
  <c r="F13" i="17"/>
  <c r="D16" i="17"/>
  <c r="I16" i="17"/>
  <c r="E23" i="17"/>
  <c r="M23" i="17"/>
  <c r="L28" i="17"/>
  <c r="F28" i="17"/>
  <c r="J28" i="17"/>
  <c r="E28" i="17"/>
  <c r="N35" i="17"/>
  <c r="I35" i="17"/>
  <c r="D35" i="17"/>
  <c r="M35" i="17"/>
  <c r="H35" i="17"/>
  <c r="L38" i="17"/>
  <c r="F38" i="17"/>
  <c r="J38" i="17"/>
  <c r="E38" i="17"/>
  <c r="M41" i="17"/>
  <c r="H41" i="17"/>
  <c r="L41" i="17"/>
  <c r="F41" i="17"/>
  <c r="E16" i="17"/>
  <c r="K16" i="17"/>
  <c r="F23" i="17"/>
  <c r="I28" i="17"/>
  <c r="E35" i="17"/>
  <c r="H38" i="17"/>
  <c r="J41" i="17"/>
  <c r="N12" i="17"/>
  <c r="J12" i="17"/>
  <c r="F12" i="17"/>
  <c r="O19" i="17"/>
  <c r="K19" i="17"/>
  <c r="G19" i="17"/>
  <c r="N19" i="17"/>
  <c r="J19" i="17"/>
  <c r="F19" i="17"/>
  <c r="L22" i="17"/>
  <c r="H22" i="17"/>
  <c r="D22" i="17"/>
  <c r="O22" i="17"/>
  <c r="K22" i="17"/>
  <c r="G22" i="17"/>
  <c r="M25" i="17"/>
  <c r="H25" i="17"/>
  <c r="D25" i="17"/>
  <c r="L25" i="17"/>
  <c r="G25" i="17"/>
  <c r="N29" i="17"/>
  <c r="J29" i="17"/>
  <c r="E29" i="17"/>
  <c r="J32" i="17"/>
  <c r="E32" i="17"/>
  <c r="N32" i="17"/>
  <c r="I32" i="17"/>
  <c r="D32" i="17"/>
  <c r="J39" i="17"/>
  <c r="E39" i="17"/>
  <c r="N39" i="17"/>
  <c r="I39" i="17"/>
  <c r="D39" i="17"/>
  <c r="N42" i="17"/>
  <c r="I42" i="17"/>
  <c r="H13" i="17"/>
  <c r="N16" i="17"/>
  <c r="J16" i="17"/>
  <c r="F16" i="17"/>
  <c r="M16" i="17"/>
  <c r="L23" i="17"/>
  <c r="H23" i="17"/>
  <c r="D23" i="17"/>
  <c r="O23" i="17"/>
  <c r="K23" i="17"/>
  <c r="G23" i="17"/>
  <c r="N26" i="17"/>
  <c r="I26" i="17"/>
  <c r="D14" i="17"/>
  <c r="L14" i="17"/>
  <c r="F17" i="17"/>
  <c r="J17" i="17"/>
  <c r="N17" i="17"/>
  <c r="G20" i="17"/>
  <c r="K20" i="17"/>
  <c r="H27" i="17"/>
  <c r="H30" i="17"/>
  <c r="D33" i="17"/>
  <c r="I33" i="17"/>
  <c r="H36" i="17"/>
  <c r="H43" i="17"/>
  <c r="M43" i="17"/>
  <c r="F26" i="17"/>
  <c r="L26" i="17"/>
  <c r="O25" i="17"/>
  <c r="K25" i="17"/>
  <c r="O30" i="17"/>
  <c r="K30" i="17"/>
  <c r="G30" i="17"/>
  <c r="O33" i="17"/>
  <c r="K33" i="17"/>
  <c r="G33" i="17"/>
  <c r="O38" i="17"/>
  <c r="K38" i="17"/>
  <c r="G38" i="17"/>
  <c r="D18" i="17"/>
  <c r="H18" i="17"/>
  <c r="L18" i="17"/>
  <c r="D21" i="17"/>
  <c r="H21" i="17"/>
  <c r="L21" i="17"/>
  <c r="H29" i="17"/>
  <c r="M29" i="17"/>
  <c r="F34" i="17"/>
  <c r="L34" i="17"/>
  <c r="F42" i="17"/>
  <c r="L42" i="17"/>
  <c r="E13" i="17"/>
  <c r="I13" i="17"/>
  <c r="M13" i="17"/>
  <c r="E14" i="17"/>
  <c r="I14" i="17"/>
  <c r="M14" i="17"/>
  <c r="E18" i="17"/>
  <c r="I18" i="17"/>
  <c r="M18" i="17"/>
  <c r="E21" i="17"/>
  <c r="I21" i="17"/>
  <c r="M21" i="17"/>
  <c r="H26" i="17"/>
  <c r="M26" i="17"/>
  <c r="D29" i="17"/>
  <c r="I29" i="17"/>
  <c r="H34" i="17"/>
  <c r="M34" i="17"/>
  <c r="D37" i="17"/>
  <c r="I37" i="17"/>
  <c r="H42" i="17"/>
  <c r="M42" i="17"/>
  <c r="O28" i="17"/>
  <c r="K28" i="17"/>
  <c r="G28" i="17"/>
  <c r="O31" i="17"/>
  <c r="K31" i="17"/>
  <c r="G31" i="17"/>
  <c r="O36" i="17"/>
  <c r="K36" i="17"/>
  <c r="G36" i="17"/>
  <c r="O39" i="17"/>
  <c r="K39" i="17"/>
  <c r="G39" i="17"/>
  <c r="O26" i="17"/>
  <c r="K26" i="17"/>
  <c r="G26" i="17"/>
  <c r="O29" i="17"/>
  <c r="K29" i="17"/>
  <c r="G29" i="17"/>
  <c r="O34" i="17"/>
  <c r="K34" i="17"/>
  <c r="G34" i="17"/>
  <c r="O37" i="17"/>
  <c r="K37" i="17"/>
  <c r="G37" i="17"/>
  <c r="O42" i="17"/>
  <c r="K42" i="17"/>
  <c r="G42" i="17"/>
  <c r="G13" i="17"/>
  <c r="K13" i="17"/>
  <c r="O13" i="17"/>
  <c r="G14" i="17"/>
  <c r="K14" i="17"/>
  <c r="O14" i="17"/>
  <c r="G18" i="17"/>
  <c r="K18" i="17"/>
  <c r="G21" i="17"/>
  <c r="K21" i="17"/>
  <c r="O21" i="17"/>
  <c r="E26" i="17"/>
  <c r="J26" i="17"/>
  <c r="F29" i="17"/>
  <c r="L29" i="17"/>
  <c r="E34" i="17"/>
  <c r="J34" i="17"/>
  <c r="F37" i="17"/>
  <c r="L37" i="17"/>
  <c r="E42" i="17"/>
  <c r="J42" i="17"/>
  <c r="O27" i="17"/>
  <c r="K27" i="17"/>
  <c r="G27" i="17"/>
  <c r="O32" i="17"/>
  <c r="K32" i="17"/>
  <c r="G32" i="17"/>
  <c r="O35" i="17"/>
  <c r="K35" i="17"/>
  <c r="G35" i="17"/>
  <c r="O40" i="17"/>
  <c r="K40" i="17"/>
  <c r="G40" i="17"/>
  <c r="G41" i="17"/>
  <c r="K41" i="17"/>
  <c r="O41" i="17"/>
  <c r="G43" i="17"/>
  <c r="K43" i="17"/>
  <c r="O43" i="17"/>
  <c r="B315" i="19" l="1"/>
  <c r="E103" i="20" l="1"/>
  <c r="E92" i="20"/>
  <c r="G22" i="20"/>
  <c r="G43" i="20" l="1"/>
  <c r="K43" i="20" s="1"/>
  <c r="G42" i="20"/>
  <c r="K42" i="20" s="1"/>
  <c r="G41" i="20"/>
  <c r="G40" i="20"/>
  <c r="K40" i="20" s="1"/>
  <c r="G39" i="20"/>
  <c r="K39" i="20" s="1"/>
  <c r="E102" i="20"/>
  <c r="E101" i="20"/>
  <c r="E100" i="20"/>
  <c r="E99" i="20"/>
  <c r="E98" i="20"/>
  <c r="E97" i="20"/>
  <c r="E96" i="20"/>
  <c r="E95" i="20"/>
  <c r="E94" i="20"/>
  <c r="E93" i="20"/>
  <c r="G26" i="20"/>
  <c r="G23" i="20"/>
  <c r="K164" i="20"/>
  <c r="K163" i="20"/>
  <c r="K162" i="20"/>
  <c r="K161" i="20"/>
  <c r="K41" i="20"/>
  <c r="P11" i="17" l="1"/>
  <c r="N12" i="1"/>
  <c r="J12" i="1"/>
  <c r="F12" i="1"/>
  <c r="M12" i="1"/>
  <c r="I12" i="1"/>
  <c r="E12" i="1"/>
  <c r="O12" i="1"/>
  <c r="K12" i="1"/>
  <c r="G12" i="1"/>
  <c r="H12" i="1"/>
  <c r="L12" i="1"/>
  <c r="D12" i="1"/>
  <c r="N13" i="23" s="1"/>
  <c r="O24" i="1"/>
  <c r="K24" i="1"/>
  <c r="G24" i="1"/>
  <c r="M24" i="1"/>
  <c r="H24" i="1"/>
  <c r="L24" i="1"/>
  <c r="F24" i="1"/>
  <c r="N24" i="1"/>
  <c r="I24" i="1"/>
  <c r="D24" i="1"/>
  <c r="N25" i="23" s="1"/>
  <c r="E24" i="1"/>
  <c r="J24" i="1"/>
  <c r="N36" i="1"/>
  <c r="J36" i="1"/>
  <c r="F36" i="1"/>
  <c r="M36" i="1"/>
  <c r="I36" i="1"/>
  <c r="E36" i="1"/>
  <c r="O36" i="1"/>
  <c r="K36" i="1"/>
  <c r="G36" i="1"/>
  <c r="H36" i="1"/>
  <c r="D36" i="1"/>
  <c r="N37" i="23" s="1"/>
  <c r="L36" i="1"/>
  <c r="N17" i="1"/>
  <c r="J17" i="1"/>
  <c r="F17" i="1"/>
  <c r="M17" i="1"/>
  <c r="I17" i="1"/>
  <c r="E17" i="1"/>
  <c r="O17" i="1"/>
  <c r="K17" i="1"/>
  <c r="G17" i="1"/>
  <c r="H17" i="1"/>
  <c r="D17" i="1"/>
  <c r="N18" i="23" s="1"/>
  <c r="L17" i="1"/>
  <c r="N10" i="1"/>
  <c r="J10" i="1"/>
  <c r="F10" i="1"/>
  <c r="M10" i="1"/>
  <c r="I10" i="1"/>
  <c r="E10" i="1"/>
  <c r="O10" i="1"/>
  <c r="K10" i="1"/>
  <c r="G10" i="1"/>
  <c r="H10" i="1"/>
  <c r="L10" i="1"/>
  <c r="D10" i="1"/>
  <c r="N11" i="23" s="1"/>
  <c r="N18" i="1"/>
  <c r="J18" i="1"/>
  <c r="F18" i="1"/>
  <c r="M18" i="1"/>
  <c r="I18" i="1"/>
  <c r="E18" i="1"/>
  <c r="O18" i="1"/>
  <c r="K18" i="1"/>
  <c r="G18" i="1"/>
  <c r="L18" i="1"/>
  <c r="D18" i="1"/>
  <c r="N19" i="23" s="1"/>
  <c r="H18" i="1"/>
  <c r="O26" i="1"/>
  <c r="K26" i="1"/>
  <c r="G26" i="1"/>
  <c r="J26" i="1"/>
  <c r="E26" i="1"/>
  <c r="N26" i="1"/>
  <c r="I26" i="1"/>
  <c r="D26" i="1"/>
  <c r="N27" i="23" s="1"/>
  <c r="L26" i="1"/>
  <c r="F26" i="1"/>
  <c r="M26" i="1"/>
  <c r="H26" i="1"/>
  <c r="N34" i="1"/>
  <c r="J34" i="1"/>
  <c r="F34" i="1"/>
  <c r="M34" i="1"/>
  <c r="I34" i="1"/>
  <c r="E34" i="1"/>
  <c r="O34" i="1"/>
  <c r="K34" i="1"/>
  <c r="G34" i="1"/>
  <c r="L34" i="1"/>
  <c r="D34" i="1"/>
  <c r="N35" i="23" s="1"/>
  <c r="H34" i="1"/>
  <c r="N7" i="1"/>
  <c r="J7" i="1"/>
  <c r="F7" i="1"/>
  <c r="M7" i="1"/>
  <c r="I7" i="1"/>
  <c r="E7" i="1"/>
  <c r="O7" i="1"/>
  <c r="K7" i="1"/>
  <c r="G7" i="1"/>
  <c r="L7" i="1"/>
  <c r="H7" i="1"/>
  <c r="D7" i="1"/>
  <c r="N8" i="23" s="1"/>
  <c r="N11" i="1"/>
  <c r="J11" i="1"/>
  <c r="F11" i="1"/>
  <c r="M11" i="1"/>
  <c r="I11" i="1"/>
  <c r="E11" i="1"/>
  <c r="O11" i="1"/>
  <c r="K11" i="1"/>
  <c r="G11" i="1"/>
  <c r="H11" i="1"/>
  <c r="D11" i="1"/>
  <c r="N12" i="23" s="1"/>
  <c r="L11" i="1"/>
  <c r="N15" i="1"/>
  <c r="J15" i="1"/>
  <c r="F15" i="1"/>
  <c r="M15" i="1"/>
  <c r="I15" i="1"/>
  <c r="E15" i="1"/>
  <c r="O15" i="1"/>
  <c r="K15" i="1"/>
  <c r="G15" i="1"/>
  <c r="D15" i="1"/>
  <c r="N16" i="23" s="1"/>
  <c r="L15" i="1"/>
  <c r="H15" i="1"/>
  <c r="N19" i="1"/>
  <c r="J19" i="1"/>
  <c r="F19" i="1"/>
  <c r="M19" i="1"/>
  <c r="I19" i="1"/>
  <c r="E19" i="1"/>
  <c r="O19" i="1"/>
  <c r="K19" i="1"/>
  <c r="G19" i="1"/>
  <c r="D19" i="1"/>
  <c r="N20" i="23" s="1"/>
  <c r="L19" i="1"/>
  <c r="H19" i="1"/>
  <c r="O23" i="1"/>
  <c r="N23" i="1"/>
  <c r="J23" i="1"/>
  <c r="F23" i="1"/>
  <c r="M23" i="1"/>
  <c r="I23" i="1"/>
  <c r="E23" i="1"/>
  <c r="K23" i="1"/>
  <c r="G23" i="1"/>
  <c r="D23" i="1"/>
  <c r="N24" i="23" s="1"/>
  <c r="H23" i="1"/>
  <c r="L23" i="1"/>
  <c r="O27" i="1"/>
  <c r="K27" i="1"/>
  <c r="G27" i="1"/>
  <c r="N27" i="1"/>
  <c r="I27" i="1"/>
  <c r="D27" i="1"/>
  <c r="N28" i="23" s="1"/>
  <c r="M27" i="1"/>
  <c r="H27" i="1"/>
  <c r="J27" i="1"/>
  <c r="E27" i="1"/>
  <c r="L27" i="1"/>
  <c r="F27" i="1"/>
  <c r="N31" i="1"/>
  <c r="M31" i="1"/>
  <c r="O31" i="1"/>
  <c r="K31" i="1"/>
  <c r="G31" i="1"/>
  <c r="I31" i="1"/>
  <c r="D31" i="1"/>
  <c r="N32" i="23" s="1"/>
  <c r="H31" i="1"/>
  <c r="J31" i="1"/>
  <c r="E31" i="1"/>
  <c r="F31" i="1"/>
  <c r="L31" i="1"/>
  <c r="N35" i="1"/>
  <c r="J35" i="1"/>
  <c r="F35" i="1"/>
  <c r="M35" i="1"/>
  <c r="I35" i="1"/>
  <c r="E35" i="1"/>
  <c r="O35" i="1"/>
  <c r="K35" i="1"/>
  <c r="G35" i="1"/>
  <c r="D35" i="1"/>
  <c r="N36" i="23" s="1"/>
  <c r="H35" i="1"/>
  <c r="L35" i="1"/>
  <c r="N8" i="1"/>
  <c r="J8" i="1"/>
  <c r="F8" i="1"/>
  <c r="M8" i="1"/>
  <c r="I8" i="1"/>
  <c r="E8" i="1"/>
  <c r="O8" i="1"/>
  <c r="K8" i="1"/>
  <c r="G8" i="1"/>
  <c r="L8" i="1"/>
  <c r="H8" i="1"/>
  <c r="D8" i="1"/>
  <c r="N9" i="23" s="1"/>
  <c r="N20" i="1"/>
  <c r="J20" i="1"/>
  <c r="F20" i="1"/>
  <c r="M20" i="1"/>
  <c r="I20" i="1"/>
  <c r="E20" i="1"/>
  <c r="O20" i="1"/>
  <c r="K20" i="1"/>
  <c r="G20" i="1"/>
  <c r="D20" i="1"/>
  <c r="N21" i="23" s="1"/>
  <c r="L20" i="1"/>
  <c r="H20" i="1"/>
  <c r="N32" i="1"/>
  <c r="J32" i="1"/>
  <c r="F32" i="1"/>
  <c r="M32" i="1"/>
  <c r="I32" i="1"/>
  <c r="E32" i="1"/>
  <c r="O32" i="1"/>
  <c r="K32" i="1"/>
  <c r="G32" i="1"/>
  <c r="H32" i="1"/>
  <c r="D32" i="1"/>
  <c r="N33" i="23" s="1"/>
  <c r="L32" i="1"/>
  <c r="N13" i="1"/>
  <c r="J13" i="1"/>
  <c r="F13" i="1"/>
  <c r="M13" i="1"/>
  <c r="I13" i="1"/>
  <c r="E13" i="1"/>
  <c r="O13" i="1"/>
  <c r="K13" i="1"/>
  <c r="G13" i="1"/>
  <c r="H13" i="1"/>
  <c r="D13" i="1"/>
  <c r="N14" i="23" s="1"/>
  <c r="L13" i="1"/>
  <c r="N21" i="1"/>
  <c r="J21" i="1"/>
  <c r="F21" i="1"/>
  <c r="M21" i="1"/>
  <c r="I21" i="1"/>
  <c r="E21" i="1"/>
  <c r="O21" i="1"/>
  <c r="K21" i="1"/>
  <c r="G21" i="1"/>
  <c r="H21" i="1"/>
  <c r="D21" i="1"/>
  <c r="N22" i="23" s="1"/>
  <c r="L21" i="1"/>
  <c r="O25" i="1"/>
  <c r="K25" i="1"/>
  <c r="G25" i="1"/>
  <c r="L25" i="1"/>
  <c r="F25" i="1"/>
  <c r="J25" i="1"/>
  <c r="E25" i="1"/>
  <c r="M25" i="1"/>
  <c r="H25" i="1"/>
  <c r="I25" i="1"/>
  <c r="N25" i="1"/>
  <c r="D25" i="1"/>
  <c r="N26" i="23" s="1"/>
  <c r="O29" i="1"/>
  <c r="K29" i="1"/>
  <c r="G29" i="1"/>
  <c r="L29" i="1"/>
  <c r="F29" i="1"/>
  <c r="J29" i="1"/>
  <c r="E29" i="1"/>
  <c r="M29" i="1"/>
  <c r="H29" i="1"/>
  <c r="D29" i="1"/>
  <c r="N30" i="23" s="1"/>
  <c r="I29" i="1"/>
  <c r="N29" i="1"/>
  <c r="N33" i="1"/>
  <c r="J33" i="1"/>
  <c r="F33" i="1"/>
  <c r="M33" i="1"/>
  <c r="I33" i="1"/>
  <c r="E33" i="1"/>
  <c r="O33" i="1"/>
  <c r="K33" i="1"/>
  <c r="G33" i="1"/>
  <c r="L33" i="1"/>
  <c r="H33" i="1"/>
  <c r="D33" i="1"/>
  <c r="N34" i="23" s="1"/>
  <c r="N37" i="1"/>
  <c r="J37" i="1"/>
  <c r="F37" i="1"/>
  <c r="M37" i="1"/>
  <c r="I37" i="1"/>
  <c r="E37" i="1"/>
  <c r="O37" i="1"/>
  <c r="K37" i="1"/>
  <c r="G37" i="1"/>
  <c r="L37" i="1"/>
  <c r="H37" i="1"/>
  <c r="D37" i="1"/>
  <c r="N38" i="23" s="1"/>
  <c r="N16" i="1"/>
  <c r="J16" i="1"/>
  <c r="F16" i="1"/>
  <c r="M16" i="1"/>
  <c r="I16" i="1"/>
  <c r="E16" i="1"/>
  <c r="O16" i="1"/>
  <c r="K16" i="1"/>
  <c r="G16" i="1"/>
  <c r="L16" i="1"/>
  <c r="H16" i="1"/>
  <c r="D16" i="1"/>
  <c r="N17" i="23" s="1"/>
  <c r="O28" i="1"/>
  <c r="K28" i="1"/>
  <c r="G28" i="1"/>
  <c r="M28" i="1"/>
  <c r="H28" i="1"/>
  <c r="L28" i="1"/>
  <c r="F28" i="1"/>
  <c r="N28" i="1"/>
  <c r="I28" i="1"/>
  <c r="D28" i="1"/>
  <c r="N29" i="23" s="1"/>
  <c r="E28" i="1"/>
  <c r="J28" i="1"/>
  <c r="N9" i="1"/>
  <c r="J9" i="1"/>
  <c r="F9" i="1"/>
  <c r="M9" i="1"/>
  <c r="I9" i="1"/>
  <c r="E9" i="1"/>
  <c r="O9" i="1"/>
  <c r="K9" i="1"/>
  <c r="G9" i="1"/>
  <c r="L9" i="1"/>
  <c r="H9" i="1"/>
  <c r="D9" i="1"/>
  <c r="N10" i="23" s="1"/>
  <c r="N14" i="1"/>
  <c r="J14" i="1"/>
  <c r="F14" i="1"/>
  <c r="M14" i="1"/>
  <c r="I14" i="1"/>
  <c r="E14" i="1"/>
  <c r="O14" i="1"/>
  <c r="K14" i="1"/>
  <c r="G14" i="1"/>
  <c r="L14" i="1"/>
  <c r="D14" i="1"/>
  <c r="N15" i="23" s="1"/>
  <c r="H14" i="1"/>
  <c r="N22" i="1"/>
  <c r="J22" i="1"/>
  <c r="F22" i="1"/>
  <c r="M22" i="1"/>
  <c r="I22" i="1"/>
  <c r="E22" i="1"/>
  <c r="O22" i="1"/>
  <c r="K22" i="1"/>
  <c r="G22" i="1"/>
  <c r="L22" i="1"/>
  <c r="D22" i="1"/>
  <c r="N23" i="23" s="1"/>
  <c r="H22" i="1"/>
  <c r="O30" i="1"/>
  <c r="K30" i="1"/>
  <c r="G30" i="1"/>
  <c r="J30" i="1"/>
  <c r="E30" i="1"/>
  <c r="N30" i="1"/>
  <c r="I30" i="1"/>
  <c r="D30" i="1"/>
  <c r="N31" i="23" s="1"/>
  <c r="L30" i="1"/>
  <c r="F30" i="1"/>
  <c r="H30" i="1"/>
  <c r="M30" i="1"/>
  <c r="N38" i="1"/>
  <c r="J38" i="1"/>
  <c r="F38" i="1"/>
  <c r="M38" i="1"/>
  <c r="I38" i="1"/>
  <c r="E38" i="1"/>
  <c r="O38" i="1"/>
  <c r="K38" i="1"/>
  <c r="G38" i="1"/>
  <c r="L38" i="1"/>
  <c r="D38" i="1"/>
  <c r="N39" i="23" s="1"/>
  <c r="H38" i="1"/>
  <c r="G165" i="20"/>
  <c r="G158" i="20"/>
  <c r="K158" i="20" s="1"/>
  <c r="G147" i="20"/>
  <c r="K147" i="20" s="1"/>
  <c r="G149" i="20"/>
  <c r="G150" i="20"/>
  <c r="G151" i="20"/>
  <c r="G152" i="20"/>
  <c r="G153" i="20"/>
  <c r="G154" i="20"/>
  <c r="G155" i="20"/>
  <c r="G146" i="20"/>
  <c r="K146" i="20" s="1"/>
  <c r="G139" i="20"/>
  <c r="K139" i="20" s="1"/>
  <c r="G140" i="20"/>
  <c r="G138" i="20"/>
  <c r="K138" i="20" s="1"/>
  <c r="G135" i="20"/>
  <c r="G130" i="20"/>
  <c r="G124" i="20"/>
  <c r="K124" i="20" s="1"/>
  <c r="G125" i="20"/>
  <c r="K125" i="20" s="1"/>
  <c r="G126" i="20"/>
  <c r="K126" i="20" s="1"/>
  <c r="G123" i="20"/>
  <c r="K123" i="20" s="1"/>
  <c r="G119" i="20"/>
  <c r="G118" i="20"/>
  <c r="G112" i="20"/>
  <c r="G111" i="20"/>
  <c r="G110" i="20"/>
  <c r="G117" i="20"/>
  <c r="G122" i="20"/>
  <c r="G129" i="20"/>
  <c r="G134" i="20"/>
  <c r="G137" i="20"/>
  <c r="G145" i="20"/>
  <c r="G160" i="20"/>
  <c r="I161" i="20"/>
  <c r="I163" i="20"/>
  <c r="G108" i="20"/>
  <c r="G80" i="20"/>
  <c r="G81" i="20"/>
  <c r="G82" i="20"/>
  <c r="G83" i="20"/>
  <c r="K83" i="20" s="1"/>
  <c r="G84" i="20"/>
  <c r="G85" i="20"/>
  <c r="G79" i="20"/>
  <c r="G70" i="20"/>
  <c r="G71" i="20"/>
  <c r="G72" i="20"/>
  <c r="G74" i="20"/>
  <c r="G75" i="20"/>
  <c r="G69" i="20"/>
  <c r="G52" i="20"/>
  <c r="K52" i="20" s="1"/>
  <c r="G53" i="20"/>
  <c r="G55" i="20"/>
  <c r="G56" i="20"/>
  <c r="G57" i="20"/>
  <c r="G58" i="20"/>
  <c r="G59" i="20"/>
  <c r="K59" i="20" s="1"/>
  <c r="G60" i="20"/>
  <c r="K60" i="20" s="1"/>
  <c r="G61" i="20"/>
  <c r="G63" i="20"/>
  <c r="G64" i="20"/>
  <c r="G51" i="20"/>
  <c r="K51" i="20" s="1"/>
  <c r="G29" i="20"/>
  <c r="G30" i="20"/>
  <c r="K30" i="20" s="1"/>
  <c r="G31" i="20"/>
  <c r="K31" i="20" s="1"/>
  <c r="G32" i="20"/>
  <c r="K32" i="20" s="1"/>
  <c r="G33" i="20"/>
  <c r="G34" i="20"/>
  <c r="G35" i="20"/>
  <c r="I39" i="20"/>
  <c r="I42" i="20"/>
  <c r="I43" i="20"/>
  <c r="G44" i="20"/>
  <c r="G27" i="20"/>
  <c r="G24" i="20"/>
  <c r="G25" i="20"/>
  <c r="R102" i="20"/>
  <c r="R101" i="20"/>
  <c r="R100" i="20"/>
  <c r="R99" i="20"/>
  <c r="R98" i="20"/>
  <c r="R97" i="20"/>
  <c r="R96" i="20"/>
  <c r="R95" i="20"/>
  <c r="R94" i="20"/>
  <c r="R93" i="20"/>
  <c r="R92" i="20"/>
  <c r="I248" i="20"/>
  <c r="I243" i="20"/>
  <c r="I242" i="20"/>
  <c r="G102" i="20" s="1"/>
  <c r="K102" i="20" s="1"/>
  <c r="I241" i="20"/>
  <c r="G171" i="20" s="1"/>
  <c r="K171" i="20" s="1"/>
  <c r="I240" i="20"/>
  <c r="I239" i="20"/>
  <c r="I238" i="20"/>
  <c r="G101" i="20" s="1"/>
  <c r="K101" i="20" s="1"/>
  <c r="I101" i="20" s="1"/>
  <c r="I237" i="20"/>
  <c r="G199" i="20" s="1"/>
  <c r="I236" i="20"/>
  <c r="G99" i="20" s="1"/>
  <c r="K99" i="20" s="1"/>
  <c r="I235" i="20"/>
  <c r="G197" i="20" s="1"/>
  <c r="I234" i="20"/>
  <c r="G196" i="20" s="1"/>
  <c r="I233" i="20"/>
  <c r="G195" i="20" s="1"/>
  <c r="I232" i="20"/>
  <c r="G95" i="20" s="1"/>
  <c r="K95" i="20" s="1"/>
  <c r="I231" i="20"/>
  <c r="G193" i="20" s="1"/>
  <c r="I230" i="20"/>
  <c r="G93" i="20" s="1"/>
  <c r="K93" i="20" s="1"/>
  <c r="I229" i="20"/>
  <c r="G92" i="20" s="1"/>
  <c r="K92" i="20" s="1"/>
  <c r="I228" i="20"/>
  <c r="E228" i="20"/>
  <c r="E227" i="20"/>
  <c r="I222" i="20"/>
  <c r="I221" i="20"/>
  <c r="I220" i="20"/>
  <c r="I219" i="20"/>
  <c r="I218" i="20"/>
  <c r="L217" i="20"/>
  <c r="K217" i="20"/>
  <c r="I217" i="20"/>
  <c r="G217" i="20"/>
  <c r="I215" i="20"/>
  <c r="I214" i="20"/>
  <c r="I213" i="20"/>
  <c r="I212" i="20"/>
  <c r="I211" i="20"/>
  <c r="I210" i="20"/>
  <c r="I209" i="20"/>
  <c r="I208" i="20"/>
  <c r="I207" i="20"/>
  <c r="I206" i="20"/>
  <c r="I205" i="20"/>
  <c r="G205" i="20"/>
  <c r="I204" i="20"/>
  <c r="I203" i="20"/>
  <c r="I202" i="20"/>
  <c r="I201" i="20"/>
  <c r="I200" i="20"/>
  <c r="G200" i="20"/>
  <c r="I199" i="20"/>
  <c r="I198" i="20"/>
  <c r="G198" i="20"/>
  <c r="I197" i="20"/>
  <c r="I196" i="20"/>
  <c r="I195" i="20"/>
  <c r="I194" i="20"/>
  <c r="I193" i="20"/>
  <c r="I192" i="20"/>
  <c r="G192" i="20"/>
  <c r="I191" i="20"/>
  <c r="L190" i="20"/>
  <c r="K190" i="20"/>
  <c r="I190" i="20"/>
  <c r="G189" i="20"/>
  <c r="I187" i="20"/>
  <c r="I186" i="20"/>
  <c r="I185" i="20"/>
  <c r="L184" i="20"/>
  <c r="K184" i="20"/>
  <c r="I184" i="20"/>
  <c r="G184" i="20"/>
  <c r="I182" i="20"/>
  <c r="I181" i="20"/>
  <c r="I180" i="20"/>
  <c r="I179" i="20"/>
  <c r="I178" i="20"/>
  <c r="I177" i="20"/>
  <c r="I176" i="20"/>
  <c r="K175" i="20"/>
  <c r="I175" i="20"/>
  <c r="G175" i="20"/>
  <c r="I171" i="20"/>
  <c r="I170" i="20"/>
  <c r="I169" i="20"/>
  <c r="K168" i="20"/>
  <c r="I168" i="20"/>
  <c r="G167" i="20"/>
  <c r="I164" i="20"/>
  <c r="I162" i="20"/>
  <c r="K160" i="20"/>
  <c r="I160" i="20"/>
  <c r="K157" i="20"/>
  <c r="I157" i="20"/>
  <c r="K145" i="20"/>
  <c r="I145" i="20"/>
  <c r="K137" i="20"/>
  <c r="I137" i="20"/>
  <c r="N134" i="20"/>
  <c r="K134" i="20"/>
  <c r="I134" i="20"/>
  <c r="K129" i="20"/>
  <c r="I129" i="20"/>
  <c r="K122" i="20"/>
  <c r="I122" i="20"/>
  <c r="K117" i="20"/>
  <c r="I117" i="20"/>
  <c r="K110" i="20"/>
  <c r="I110" i="20"/>
  <c r="K107" i="20"/>
  <c r="I107" i="20"/>
  <c r="G107" i="20"/>
  <c r="I103" i="20"/>
  <c r="I102" i="20"/>
  <c r="I100" i="20"/>
  <c r="I99" i="20"/>
  <c r="I98" i="20"/>
  <c r="I97" i="20"/>
  <c r="I96" i="20"/>
  <c r="I95" i="20"/>
  <c r="I94" i="20"/>
  <c r="I93" i="20"/>
  <c r="I92" i="20"/>
  <c r="K91" i="20"/>
  <c r="I91" i="20"/>
  <c r="G90" i="20"/>
  <c r="K78" i="20"/>
  <c r="I78" i="20"/>
  <c r="G78" i="20"/>
  <c r="N68" i="20"/>
  <c r="K68" i="20"/>
  <c r="I68" i="20"/>
  <c r="G68" i="20"/>
  <c r="N50" i="20"/>
  <c r="K50" i="20"/>
  <c r="I50" i="20"/>
  <c r="G50" i="20"/>
  <c r="I41" i="20"/>
  <c r="I40" i="20"/>
  <c r="N22" i="20"/>
  <c r="N190" i="20" s="1"/>
  <c r="L22" i="20"/>
  <c r="L91" i="20" s="1"/>
  <c r="I18" i="20"/>
  <c r="I17" i="20"/>
  <c r="I16" i="20"/>
  <c r="I15" i="20"/>
  <c r="I14" i="20"/>
  <c r="I12" i="20"/>
  <c r="I10" i="20"/>
  <c r="I9" i="20"/>
  <c r="G8" i="20"/>
  <c r="I8" i="20" s="1"/>
  <c r="I7" i="20"/>
  <c r="G203" i="20" l="1"/>
  <c r="G169" i="20"/>
  <c r="K169" i="20" s="1"/>
  <c r="G202" i="20"/>
  <c r="G103" i="20"/>
  <c r="K103" i="20" s="1"/>
  <c r="L117" i="20"/>
  <c r="G201" i="20"/>
  <c r="G194" i="20"/>
  <c r="G97" i="20"/>
  <c r="K97" i="20" s="1"/>
  <c r="I263" i="20"/>
  <c r="G96" i="20"/>
  <c r="K96" i="20" s="1"/>
  <c r="G94" i="20"/>
  <c r="K94" i="20" s="1"/>
  <c r="G204" i="20"/>
  <c r="G170" i="20"/>
  <c r="K170" i="20" s="1"/>
  <c r="G98" i="20"/>
  <c r="K98" i="20" s="1"/>
  <c r="G100" i="20"/>
  <c r="K100" i="20" s="1"/>
  <c r="I158" i="20"/>
  <c r="K23" i="20"/>
  <c r="I23" i="20" s="1"/>
  <c r="K35" i="20"/>
  <c r="I35" i="20" s="1"/>
  <c r="K55" i="20"/>
  <c r="I55" i="20" s="1"/>
  <c r="K70" i="20"/>
  <c r="I70" i="20" s="1"/>
  <c r="K112" i="20"/>
  <c r="I112" i="20" s="1"/>
  <c r="K149" i="20"/>
  <c r="I149" i="20" s="1"/>
  <c r="K24" i="20"/>
  <c r="I24" i="20" s="1"/>
  <c r="K63" i="20"/>
  <c r="I63" i="20" s="1"/>
  <c r="K58" i="20"/>
  <c r="I58" i="20" s="1"/>
  <c r="K53" i="20"/>
  <c r="I53" i="20" s="1"/>
  <c r="K74" i="20"/>
  <c r="I74" i="20" s="1"/>
  <c r="K79" i="20"/>
  <c r="I79" i="20" s="1"/>
  <c r="K82" i="20"/>
  <c r="I82" i="20" s="1"/>
  <c r="K118" i="20"/>
  <c r="I118" i="20" s="1"/>
  <c r="K152" i="20"/>
  <c r="I152" i="20" s="1"/>
  <c r="K26" i="20"/>
  <c r="I26" i="20" s="1"/>
  <c r="K33" i="20"/>
  <c r="I33" i="20" s="1"/>
  <c r="K29" i="20"/>
  <c r="I29" i="20" s="1"/>
  <c r="K61" i="20"/>
  <c r="I61" i="20" s="1"/>
  <c r="K57" i="20"/>
  <c r="I57" i="20" s="1"/>
  <c r="K72" i="20"/>
  <c r="I72" i="20" s="1"/>
  <c r="K85" i="20"/>
  <c r="I85" i="20" s="1"/>
  <c r="K81" i="20"/>
  <c r="I81" i="20" s="1"/>
  <c r="K119" i="20"/>
  <c r="I119" i="20" s="1"/>
  <c r="K140" i="20"/>
  <c r="I140" i="20" s="1"/>
  <c r="K155" i="20"/>
  <c r="I155" i="20" s="1"/>
  <c r="K151" i="20"/>
  <c r="I151" i="20" s="1"/>
  <c r="K44" i="20"/>
  <c r="I44" i="20" s="1"/>
  <c r="K64" i="20"/>
  <c r="I64" i="20" s="1"/>
  <c r="K75" i="20"/>
  <c r="I75" i="20" s="1"/>
  <c r="K108" i="20"/>
  <c r="I108" i="20" s="1"/>
  <c r="K135" i="20"/>
  <c r="I135" i="20" s="1"/>
  <c r="I259" i="20" s="1"/>
  <c r="K153" i="20"/>
  <c r="I153" i="20" s="1"/>
  <c r="K34" i="20"/>
  <c r="I34" i="20" s="1"/>
  <c r="K25" i="20"/>
  <c r="I25" i="20" s="1"/>
  <c r="K27" i="20"/>
  <c r="I27" i="20" s="1"/>
  <c r="K56" i="20"/>
  <c r="I56" i="20" s="1"/>
  <c r="K69" i="20"/>
  <c r="I69" i="20" s="1"/>
  <c r="K71" i="20"/>
  <c r="I71" i="20" s="1"/>
  <c r="K84" i="20"/>
  <c r="I84" i="20" s="1"/>
  <c r="K80" i="20"/>
  <c r="I80" i="20" s="1"/>
  <c r="K111" i="20"/>
  <c r="I111" i="20" s="1"/>
  <c r="K130" i="20"/>
  <c r="I130" i="20" s="1"/>
  <c r="K154" i="20"/>
  <c r="I154" i="20" s="1"/>
  <c r="K150" i="20"/>
  <c r="I150" i="20" s="1"/>
  <c r="K165" i="20"/>
  <c r="I165" i="20" s="1"/>
  <c r="I265" i="20" s="1"/>
  <c r="I253" i="20"/>
  <c r="G104" i="20"/>
  <c r="I125" i="20"/>
  <c r="I268" i="20"/>
  <c r="I267" i="20"/>
  <c r="L129" i="20"/>
  <c r="I266" i="20"/>
  <c r="N160" i="20"/>
  <c r="I269" i="20"/>
  <c r="I270" i="20"/>
  <c r="N107" i="20"/>
  <c r="L157" i="20"/>
  <c r="G191" i="20"/>
  <c r="I126" i="20"/>
  <c r="I83" i="20"/>
  <c r="I60" i="20"/>
  <c r="I147" i="20"/>
  <c r="I32" i="20"/>
  <c r="I52" i="20"/>
  <c r="I138" i="20"/>
  <c r="I124" i="20"/>
  <c r="I59" i="20"/>
  <c r="I139" i="20"/>
  <c r="I30" i="20"/>
  <c r="I123" i="20"/>
  <c r="I31" i="20"/>
  <c r="I262" i="20"/>
  <c r="I51" i="20"/>
  <c r="L50" i="20"/>
  <c r="N78" i="20"/>
  <c r="N91" i="20"/>
  <c r="L110" i="20"/>
  <c r="L122" i="20"/>
  <c r="L137" i="20"/>
  <c r="L145" i="20"/>
  <c r="L168" i="20"/>
  <c r="N217" i="20"/>
  <c r="L68" i="20"/>
  <c r="L107" i="20"/>
  <c r="N110" i="20"/>
  <c r="N122" i="20"/>
  <c r="L134" i="20"/>
  <c r="N137" i="20"/>
  <c r="N145" i="20"/>
  <c r="L160" i="20"/>
  <c r="N168" i="20"/>
  <c r="N228" i="20"/>
  <c r="N248" i="20"/>
  <c r="L78" i="20"/>
  <c r="N117" i="20"/>
  <c r="N129" i="20"/>
  <c r="N157" i="20"/>
  <c r="N175" i="20"/>
  <c r="N184" i="20"/>
  <c r="E253" i="20" l="1"/>
  <c r="G253" i="20" s="1"/>
  <c r="G120" i="20"/>
  <c r="E256" i="20" s="1"/>
  <c r="G256" i="20" s="1"/>
  <c r="G37" i="20"/>
  <c r="G76" i="20"/>
  <c r="E251" i="20" s="1"/>
  <c r="G251" i="20" s="1"/>
  <c r="E258" i="20"/>
  <c r="G258" i="20" s="1"/>
  <c r="I258" i="20"/>
  <c r="I255" i="20"/>
  <c r="I251" i="20"/>
  <c r="E254" i="20"/>
  <c r="G254" i="20" s="1"/>
  <c r="I254" i="20"/>
  <c r="G28" i="20"/>
  <c r="G46" i="20" s="1"/>
  <c r="E249" i="20" s="1"/>
  <c r="G249" i="20" s="1"/>
  <c r="G86" i="20"/>
  <c r="E252" i="20" s="1"/>
  <c r="G252" i="20" s="1"/>
  <c r="G113" i="20"/>
  <c r="E255" i="20" s="1"/>
  <c r="G255" i="20" s="1"/>
  <c r="E259" i="20"/>
  <c r="G259" i="20" s="1"/>
  <c r="I256" i="20"/>
  <c r="I252" i="20"/>
  <c r="G141" i="20"/>
  <c r="E260" i="20" s="1"/>
  <c r="G260" i="20" s="1"/>
  <c r="I257" i="20"/>
  <c r="G127" i="20"/>
  <c r="E257" i="20" s="1"/>
  <c r="G257" i="20" s="1"/>
  <c r="I260" i="20"/>
  <c r="I249" i="20"/>
  <c r="G66" i="20"/>
  <c r="E250" i="20" s="1"/>
  <c r="G250" i="20" s="1"/>
  <c r="I250" i="20"/>
  <c r="I146" i="20"/>
  <c r="I264" i="20" l="1"/>
  <c r="G148" i="20"/>
  <c r="V3" i="19"/>
  <c r="P43" i="17" l="1"/>
  <c r="P22" i="17" l="1"/>
  <c r="P26" i="17"/>
  <c r="P34" i="17"/>
  <c r="P16" i="17"/>
  <c r="P20" i="17"/>
  <c r="P40" i="17"/>
  <c r="P21" i="17"/>
  <c r="P23" i="17"/>
  <c r="P39" i="17"/>
  <c r="P12" i="17"/>
  <c r="P17" i="17"/>
  <c r="P33" i="17"/>
  <c r="P19" i="17"/>
  <c r="P27" i="17"/>
  <c r="P35" i="17"/>
  <c r="P42" i="17"/>
  <c r="P38" i="17"/>
  <c r="P24" i="17"/>
  <c r="P29" i="17"/>
  <c r="P28" i="17"/>
  <c r="P36" i="17"/>
  <c r="P13" i="17"/>
  <c r="P15" i="17"/>
  <c r="P31" i="17"/>
  <c r="P18" i="17"/>
  <c r="P30" i="17"/>
  <c r="P25" i="17"/>
  <c r="P41" i="17"/>
  <c r="P14" i="17"/>
  <c r="P32" i="17"/>
  <c r="P37" i="17"/>
  <c r="BL2" i="19"/>
  <c r="BL3" i="19" s="1"/>
  <c r="BJ2" i="19" s="1"/>
  <c r="BK3" i="19"/>
  <c r="BJ3" i="19"/>
  <c r="BH2" i="19"/>
  <c r="BH3" i="19" s="1"/>
  <c r="BF2" i="19" s="1"/>
  <c r="BG3" i="19"/>
  <c r="BF3" i="19"/>
  <c r="BD2" i="19"/>
  <c r="BD3" i="19" s="1"/>
  <c r="BB2" i="19" s="1"/>
  <c r="BC3" i="19"/>
  <c r="BB3" i="19"/>
  <c r="AZ2" i="19"/>
  <c r="AZ3" i="19" s="1"/>
  <c r="AX2" i="19" s="1"/>
  <c r="AY3" i="19"/>
  <c r="AX3" i="19"/>
  <c r="AV2" i="19"/>
  <c r="AV3" i="19" s="1"/>
  <c r="AT2" i="19" s="1"/>
  <c r="AU3" i="19"/>
  <c r="AT3" i="19"/>
  <c r="AR2" i="19"/>
  <c r="AR3" i="19" s="1"/>
  <c r="AP2" i="19" s="1"/>
  <c r="AQ3" i="19"/>
  <c r="AP3" i="19"/>
  <c r="AN2" i="19"/>
  <c r="AN3" i="19" s="1"/>
  <c r="AL2" i="19" s="1"/>
  <c r="AM3" i="19"/>
  <c r="AL3" i="19"/>
  <c r="AJ2" i="19"/>
  <c r="AJ3" i="19" s="1"/>
  <c r="AH2" i="19" s="1"/>
  <c r="AI3" i="19"/>
  <c r="AH3" i="19"/>
  <c r="T2" i="19"/>
  <c r="X2" i="19"/>
  <c r="X3" i="19" s="1"/>
  <c r="AB2" i="19"/>
  <c r="AB3" i="19" s="1"/>
  <c r="Z2" i="19" s="1"/>
  <c r="AF2" i="19"/>
  <c r="AF3" i="19" s="1"/>
  <c r="AD2" i="19" s="1"/>
  <c r="AD3" i="19"/>
  <c r="AE3" i="19"/>
  <c r="Z3" i="19"/>
  <c r="AA3" i="19"/>
  <c r="W3" i="19"/>
  <c r="R3" i="19"/>
  <c r="BN3" i="19"/>
  <c r="S3" i="19"/>
  <c r="BO3" i="19"/>
  <c r="BP3" i="19"/>
  <c r="T3" i="19" l="1"/>
  <c r="R2" i="19" s="1"/>
  <c r="B3" i="19" s="1"/>
  <c r="BP34" i="19"/>
  <c r="BP4" i="19"/>
  <c r="BO4" i="19" s="1" a="1"/>
  <c r="BO4" i="19" s="1"/>
  <c r="BP5" i="19"/>
  <c r="BP12" i="19"/>
  <c r="BP9" i="19"/>
  <c r="BP18" i="19"/>
  <c r="BP33" i="19"/>
  <c r="BP28" i="19"/>
  <c r="BP21" i="19"/>
  <c r="BP35" i="19"/>
  <c r="BP10" i="19"/>
  <c r="BP19" i="19"/>
  <c r="BP22" i="19"/>
  <c r="BP23" i="19"/>
  <c r="BP17" i="19"/>
  <c r="BP31" i="19"/>
  <c r="BP25" i="19"/>
  <c r="BP16" i="19"/>
  <c r="BP20" i="19"/>
  <c r="BP11" i="19"/>
  <c r="BP29" i="19"/>
  <c r="BP6" i="19"/>
  <c r="BP24" i="19"/>
  <c r="BP26" i="19"/>
  <c r="BP30" i="19"/>
  <c r="BP14" i="19"/>
  <c r="BP27" i="19"/>
  <c r="BP15" i="19"/>
  <c r="BP13" i="19"/>
  <c r="BP36" i="19"/>
  <c r="BP7" i="19"/>
  <c r="BP32" i="19"/>
  <c r="BP8" i="19"/>
  <c r="V2" i="19"/>
  <c r="B28" i="19" s="1"/>
  <c r="B159" i="19"/>
  <c r="B263" i="19"/>
  <c r="B55" i="19"/>
  <c r="B132" i="19"/>
  <c r="B236" i="19"/>
  <c r="B80" i="19"/>
  <c r="B107" i="19"/>
  <c r="B211" i="19"/>
  <c r="B184" i="19"/>
  <c r="B288" i="19"/>
  <c r="BO26" i="19" l="1" a="1"/>
  <c r="BO26" i="19" s="1"/>
  <c r="BN26" i="19" s="1"/>
  <c r="BO31" i="19" a="1"/>
  <c r="BO31" i="19" s="1"/>
  <c r="BN31" i="19" s="1"/>
  <c r="BO28" i="19" a="1"/>
  <c r="BO28" i="19" s="1"/>
  <c r="BN28" i="19" s="1"/>
  <c r="BO7" i="19" a="1"/>
  <c r="BO7" i="19" s="1"/>
  <c r="BN7" i="19" s="1"/>
  <c r="BO24" i="19" a="1"/>
  <c r="BO24" i="19" s="1"/>
  <c r="BN24" i="19" s="1"/>
  <c r="BO17" i="19" a="1"/>
  <c r="BO17" i="19" s="1"/>
  <c r="BN17" i="19" s="1"/>
  <c r="BO33" i="19" a="1"/>
  <c r="BO33" i="19" s="1"/>
  <c r="BN33" i="19" s="1"/>
  <c r="BO36" i="19" a="1"/>
  <c r="BO36" i="19" s="1"/>
  <c r="BN36" i="19" s="1"/>
  <c r="BO6" i="19" a="1"/>
  <c r="BO6" i="19" s="1"/>
  <c r="BN6" i="19" s="1"/>
  <c r="BO23" i="19" a="1"/>
  <c r="BO23" i="19" s="1"/>
  <c r="BN23" i="19" s="1"/>
  <c r="BO32" i="19" a="1"/>
  <c r="BO32" i="19" s="1"/>
  <c r="BN32" i="19" s="1"/>
  <c r="BO15" i="19" a="1"/>
  <c r="BO15" i="19" s="1"/>
  <c r="BN15" i="19" s="1"/>
  <c r="BO11" i="19" a="1"/>
  <c r="BO11" i="19" s="1"/>
  <c r="BN11" i="19" s="1"/>
  <c r="BO19" i="19" a="1"/>
  <c r="BO19" i="19" s="1"/>
  <c r="BN19" i="19" s="1"/>
  <c r="BO12" i="19" a="1"/>
  <c r="BO12" i="19" s="1"/>
  <c r="BN12" i="19" s="1"/>
  <c r="BO27" i="19" a="1"/>
  <c r="BO27" i="19" s="1"/>
  <c r="BN27" i="19" s="1"/>
  <c r="BO20" i="19" a="1"/>
  <c r="BO20" i="19" s="1"/>
  <c r="BN20" i="19" s="1"/>
  <c r="BO10" i="19" a="1"/>
  <c r="BO10" i="19" s="1"/>
  <c r="BN10" i="19" s="1"/>
  <c r="BO5" i="19" a="1"/>
  <c r="BO5" i="19" s="1"/>
  <c r="BN5" i="19" s="1"/>
  <c r="BO14" i="19" a="1"/>
  <c r="BO14" i="19" s="1"/>
  <c r="BN14" i="19" s="1"/>
  <c r="BO16" i="19" a="1"/>
  <c r="BO16" i="19" s="1"/>
  <c r="BN16" i="19" s="1"/>
  <c r="BO35" i="19" a="1"/>
  <c r="BO35" i="19" s="1"/>
  <c r="BN35" i="19" s="1"/>
  <c r="BO18" i="19" a="1"/>
  <c r="BO18" i="19" s="1"/>
  <c r="BN18" i="19" s="1"/>
  <c r="BO8" i="19" a="1"/>
  <c r="BO8" i="19" s="1"/>
  <c r="BN8" i="19" s="1"/>
  <c r="BO13" i="19" a="1"/>
  <c r="BO13" i="19" s="1"/>
  <c r="BN13" i="19" s="1"/>
  <c r="BO30" i="19" a="1"/>
  <c r="BO30" i="19" s="1"/>
  <c r="BN30" i="19" s="1"/>
  <c r="BO29" i="19" a="1"/>
  <c r="BO29" i="19" s="1"/>
  <c r="BN29" i="19" s="1"/>
  <c r="BO25" i="19" a="1"/>
  <c r="BO25" i="19" s="1"/>
  <c r="BN25" i="19" s="1"/>
  <c r="BO22" i="19" a="1"/>
  <c r="BO22" i="19" s="1"/>
  <c r="BN22" i="19" s="1"/>
  <c r="BO21" i="19" a="1"/>
  <c r="BO21" i="19" s="1"/>
  <c r="BN21" i="19" s="1"/>
  <c r="BO9" i="19" a="1"/>
  <c r="BO9" i="19" s="1"/>
  <c r="BN9" i="19" s="1"/>
  <c r="BO34" i="19" a="1"/>
  <c r="BO34" i="19" s="1"/>
  <c r="BN34" i="19" s="1"/>
  <c r="BN4" i="19" l="1"/>
  <c r="O6" i="1"/>
  <c r="BL21" i="19" s="1"/>
  <c r="G6" i="1"/>
  <c r="AF31" i="19" s="1"/>
  <c r="E6" i="1"/>
  <c r="X7" i="19" s="1"/>
  <c r="F6" i="1"/>
  <c r="AB21" i="19" s="1"/>
  <c r="L6" i="1"/>
  <c r="AZ27" i="19" s="1"/>
  <c r="N6" i="1"/>
  <c r="D6" i="1"/>
  <c r="H6" i="1"/>
  <c r="AJ25" i="19" s="1"/>
  <c r="M6" i="1"/>
  <c r="BD33" i="19" s="1"/>
  <c r="K6" i="1"/>
  <c r="AV9" i="19" s="1"/>
  <c r="J6" i="1"/>
  <c r="AR15" i="19" s="1"/>
  <c r="I6" i="1"/>
  <c r="AN18" i="19" s="1"/>
  <c r="T27" i="19" l="1"/>
  <c r="N7" i="23"/>
  <c r="X13" i="19"/>
  <c r="BL25" i="19"/>
  <c r="BL6" i="19"/>
  <c r="BL11" i="19"/>
  <c r="BL36" i="19"/>
  <c r="X12" i="19"/>
  <c r="X8" i="19"/>
  <c r="BL20" i="19"/>
  <c r="BL23" i="19"/>
  <c r="BL15" i="19"/>
  <c r="AN5" i="19"/>
  <c r="BD36" i="19"/>
  <c r="AZ7" i="19"/>
  <c r="AB8" i="19"/>
  <c r="AF19" i="19"/>
  <c r="AJ27" i="19"/>
  <c r="AB31" i="19"/>
  <c r="AB17" i="19"/>
  <c r="AR12" i="19"/>
  <c r="AZ14" i="19"/>
  <c r="AZ35" i="19"/>
  <c r="BD25" i="19"/>
  <c r="AR23" i="19"/>
  <c r="AJ22" i="19"/>
  <c r="BD12" i="19"/>
  <c r="AB30" i="19"/>
  <c r="AR31" i="19"/>
  <c r="X30" i="19"/>
  <c r="AZ4" i="19"/>
  <c r="AY4" i="19" s="1" a="1"/>
  <c r="AY4" i="19" s="1"/>
  <c r="AX4" i="19" s="1"/>
  <c r="AJ4" i="19"/>
  <c r="AI4" i="19" s="1" a="1"/>
  <c r="AI4" i="19" s="1"/>
  <c r="AH4" i="19" s="1"/>
  <c r="AZ16" i="19"/>
  <c r="BL7" i="19"/>
  <c r="AZ29" i="19"/>
  <c r="T28" i="19"/>
  <c r="X31" i="19"/>
  <c r="AR4" i="19"/>
  <c r="AQ4" i="19" s="1" a="1"/>
  <c r="AQ4" i="19" s="1"/>
  <c r="AP4" i="19" s="1"/>
  <c r="T26" i="19"/>
  <c r="AZ31" i="19"/>
  <c r="AN33" i="19"/>
  <c r="X5" i="19"/>
  <c r="AN36" i="19"/>
  <c r="AN6" i="19"/>
  <c r="AN23" i="19"/>
  <c r="AB4" i="19"/>
  <c r="AA4" i="19" s="1" a="1"/>
  <c r="AA4" i="19" s="1"/>
  <c r="Z4" i="19" s="1"/>
  <c r="BD7" i="19"/>
  <c r="T25" i="19"/>
  <c r="T31" i="19"/>
  <c r="AB24" i="19"/>
  <c r="T20" i="19"/>
  <c r="T19" i="19"/>
  <c r="AR7" i="19"/>
  <c r="AN8" i="19"/>
  <c r="AN22" i="19"/>
  <c r="BD8" i="19"/>
  <c r="AF13" i="19"/>
  <c r="AJ8" i="19"/>
  <c r="AN10" i="19"/>
  <c r="AJ29" i="19"/>
  <c r="T33" i="19"/>
  <c r="AJ34" i="19"/>
  <c r="AN4" i="19"/>
  <c r="AM4" i="19" s="1" a="1"/>
  <c r="AM4" i="19" s="1"/>
  <c r="AL4" i="19" s="1"/>
  <c r="T30" i="19"/>
  <c r="AF14" i="19"/>
  <c r="X6" i="19"/>
  <c r="AN24" i="19"/>
  <c r="BD11" i="19"/>
  <c r="AN12" i="19"/>
  <c r="BH32" i="19"/>
  <c r="BH15" i="19"/>
  <c r="BH6" i="19"/>
  <c r="BH21" i="19"/>
  <c r="BH10" i="19"/>
  <c r="BH8" i="19"/>
  <c r="BH34" i="19"/>
  <c r="BH16" i="19"/>
  <c r="BH27" i="19"/>
  <c r="BH25" i="19"/>
  <c r="BH22" i="19"/>
  <c r="BH28" i="19"/>
  <c r="BH23" i="19"/>
  <c r="BH29" i="19"/>
  <c r="BH33" i="19"/>
  <c r="BH7" i="19"/>
  <c r="BH11" i="19"/>
  <c r="BH9" i="19"/>
  <c r="BH36" i="19"/>
  <c r="AV20" i="19"/>
  <c r="BH12" i="19"/>
  <c r="AZ18" i="19"/>
  <c r="AZ28" i="19"/>
  <c r="AZ20" i="19"/>
  <c r="AZ21" i="19"/>
  <c r="AZ24" i="19"/>
  <c r="AZ17" i="19"/>
  <c r="AZ8" i="19"/>
  <c r="AZ26" i="19"/>
  <c r="AZ13" i="19"/>
  <c r="AZ12" i="19"/>
  <c r="AZ11" i="19"/>
  <c r="AZ30" i="19"/>
  <c r="AZ15" i="19"/>
  <c r="AF17" i="19"/>
  <c r="AZ32" i="19"/>
  <c r="AF9" i="19"/>
  <c r="AF21" i="19"/>
  <c r="AR13" i="19"/>
  <c r="AF30" i="19"/>
  <c r="BH35" i="19"/>
  <c r="AV10" i="19"/>
  <c r="AV32" i="19"/>
  <c r="AV5" i="19"/>
  <c r="BH31" i="19"/>
  <c r="AF27" i="19"/>
  <c r="T34" i="19"/>
  <c r="AF12" i="19"/>
  <c r="AN16" i="19"/>
  <c r="AN26" i="19"/>
  <c r="AN20" i="19"/>
  <c r="AN9" i="19"/>
  <c r="AN21" i="19"/>
  <c r="AN27" i="19"/>
  <c r="AN35" i="19"/>
  <c r="AN31" i="19"/>
  <c r="AN34" i="19"/>
  <c r="AN17" i="19"/>
  <c r="AN19" i="19"/>
  <c r="AN11" i="19"/>
  <c r="AN32" i="19"/>
  <c r="AN30" i="19"/>
  <c r="AN7" i="19"/>
  <c r="AN25" i="19"/>
  <c r="AN13" i="19"/>
  <c r="BD20" i="19"/>
  <c r="AJ21" i="19"/>
  <c r="AJ20" i="19"/>
  <c r="AJ5" i="19"/>
  <c r="AJ33" i="19"/>
  <c r="AJ7" i="19"/>
  <c r="AJ31" i="19"/>
  <c r="AJ12" i="19"/>
  <c r="AJ35" i="19"/>
  <c r="AJ10" i="19"/>
  <c r="AJ18" i="19"/>
  <c r="AJ24" i="19"/>
  <c r="AJ11" i="19"/>
  <c r="AJ14" i="19"/>
  <c r="AJ9" i="19"/>
  <c r="AJ15" i="19"/>
  <c r="AJ13" i="19"/>
  <c r="AJ36" i="19"/>
  <c r="AJ6" i="19"/>
  <c r="AJ30" i="19"/>
  <c r="AJ23" i="19"/>
  <c r="AJ28" i="19"/>
  <c r="AJ26" i="19"/>
  <c r="AJ19" i="19"/>
  <c r="T15" i="19"/>
  <c r="BD10" i="19"/>
  <c r="AB12" i="19"/>
  <c r="AB14" i="19"/>
  <c r="AB15" i="19"/>
  <c r="AB26" i="19"/>
  <c r="AB5" i="19"/>
  <c r="AB20" i="19"/>
  <c r="AB34" i="19"/>
  <c r="AB35" i="19"/>
  <c r="AB36" i="19"/>
  <c r="AB32" i="19"/>
  <c r="AB25" i="19"/>
  <c r="AB28" i="19"/>
  <c r="AB23" i="19"/>
  <c r="AB19" i="19"/>
  <c r="AB10" i="19"/>
  <c r="AB33" i="19"/>
  <c r="AB16" i="19"/>
  <c r="AB11" i="19"/>
  <c r="AB6" i="19"/>
  <c r="X18" i="19"/>
  <c r="X17" i="19"/>
  <c r="X16" i="19"/>
  <c r="X24" i="19"/>
  <c r="X36" i="19"/>
  <c r="X11" i="19"/>
  <c r="X29" i="19"/>
  <c r="X15" i="19"/>
  <c r="X35" i="19"/>
  <c r="X33" i="19"/>
  <c r="X21" i="19"/>
  <c r="X26" i="19"/>
  <c r="X9" i="19"/>
  <c r="X28" i="19"/>
  <c r="X27" i="19"/>
  <c r="X10" i="19"/>
  <c r="X32" i="19"/>
  <c r="AJ32" i="19"/>
  <c r="AV18" i="19"/>
  <c r="BL34" i="19"/>
  <c r="BL8" i="19"/>
  <c r="BL17" i="19"/>
  <c r="BL35" i="19"/>
  <c r="BL18" i="19"/>
  <c r="BL24" i="19"/>
  <c r="BL14" i="19"/>
  <c r="BL27" i="19"/>
  <c r="BL28" i="19"/>
  <c r="BL4" i="19"/>
  <c r="BL22" i="19"/>
  <c r="BL30" i="19"/>
  <c r="BL29" i="19"/>
  <c r="BL19" i="19"/>
  <c r="BL31" i="19"/>
  <c r="BL16" i="19"/>
  <c r="BL10" i="19"/>
  <c r="X20" i="19"/>
  <c r="AV29" i="19"/>
  <c r="AR24" i="19"/>
  <c r="X23" i="19"/>
  <c r="BH17" i="19"/>
  <c r="BL9" i="19"/>
  <c r="BD32" i="19"/>
  <c r="AZ23" i="19"/>
  <c r="BL12" i="19"/>
  <c r="BD30" i="19"/>
  <c r="BL33" i="19"/>
  <c r="T14" i="19"/>
  <c r="AN28" i="19"/>
  <c r="BH26" i="19"/>
  <c r="AZ33" i="19"/>
  <c r="AV13" i="19"/>
  <c r="X22" i="19"/>
  <c r="BL5" i="19"/>
  <c r="AF32" i="19"/>
  <c r="AV16" i="19"/>
  <c r="X4" i="19"/>
  <c r="X19" i="19"/>
  <c r="AV7" i="19"/>
  <c r="BH19" i="19"/>
  <c r="AB22" i="19"/>
  <c r="BH5" i="19"/>
  <c r="BL26" i="19"/>
  <c r="X34" i="19"/>
  <c r="AZ22" i="19"/>
  <c r="AZ6" i="19"/>
  <c r="AF29" i="19"/>
  <c r="AB13" i="19"/>
  <c r="BL32" i="19"/>
  <c r="AF23" i="19"/>
  <c r="AB9" i="19"/>
  <c r="AB7" i="19"/>
  <c r="AV14" i="19"/>
  <c r="AV28" i="19"/>
  <c r="AV31" i="19"/>
  <c r="AV17" i="19"/>
  <c r="AV8" i="19"/>
  <c r="AV33" i="19"/>
  <c r="AV6" i="19"/>
  <c r="AV26" i="19"/>
  <c r="AV25" i="19"/>
  <c r="AV23" i="19"/>
  <c r="AV22" i="19"/>
  <c r="AV24" i="19"/>
  <c r="AV15" i="19"/>
  <c r="AV11" i="19"/>
  <c r="AV35" i="19"/>
  <c r="BH24" i="19"/>
  <c r="AV12" i="19"/>
  <c r="BH4" i="19"/>
  <c r="BG4" i="19" s="1" a="1"/>
  <c r="BG4" i="19" s="1"/>
  <c r="BF4" i="19" s="1"/>
  <c r="AV30" i="19"/>
  <c r="AR21" i="19"/>
  <c r="AR28" i="19"/>
  <c r="AR8" i="19"/>
  <c r="AR10" i="19"/>
  <c r="AR35" i="19"/>
  <c r="AR17" i="19"/>
  <c r="AR25" i="19"/>
  <c r="AR36" i="19"/>
  <c r="AR29" i="19"/>
  <c r="AR30" i="19"/>
  <c r="AR18" i="19"/>
  <c r="AR11" i="19"/>
  <c r="AR27" i="19"/>
  <c r="AR5" i="19"/>
  <c r="AR32" i="19"/>
  <c r="AR34" i="19"/>
  <c r="AR19" i="19"/>
  <c r="AR9" i="19"/>
  <c r="AR26" i="19"/>
  <c r="AR22" i="19"/>
  <c r="AF33" i="19"/>
  <c r="AF22" i="19"/>
  <c r="AF20" i="19"/>
  <c r="AF4" i="19"/>
  <c r="AE4" i="19" s="1" a="1"/>
  <c r="AE4" i="19" s="1"/>
  <c r="AD4" i="19" s="1"/>
  <c r="AF25" i="19"/>
  <c r="AF10" i="19"/>
  <c r="AF26" i="19"/>
  <c r="AF18" i="19"/>
  <c r="AF11" i="19"/>
  <c r="AF16" i="19"/>
  <c r="AF15" i="19"/>
  <c r="AF5" i="19"/>
  <c r="AE5" i="19" s="1" a="1"/>
  <c r="AE5" i="19" s="1"/>
  <c r="AD5" i="19" s="1"/>
  <c r="AF24" i="19"/>
  <c r="AF35" i="19"/>
  <c r="AF6" i="19"/>
  <c r="AF36" i="19"/>
  <c r="AF34" i="19"/>
  <c r="AV34" i="19"/>
  <c r="AR16" i="19"/>
  <c r="AF28" i="19"/>
  <c r="AZ19" i="19"/>
  <c r="AR20" i="19"/>
  <c r="AV19" i="19"/>
  <c r="AV21" i="19"/>
  <c r="BD14" i="19"/>
  <c r="BD24" i="19"/>
  <c r="BD26" i="19"/>
  <c r="BD31" i="19"/>
  <c r="BD13" i="19"/>
  <c r="BD17" i="19"/>
  <c r="BD9" i="19"/>
  <c r="BD22" i="19"/>
  <c r="BD18" i="19"/>
  <c r="BD27" i="19"/>
  <c r="BD4" i="19"/>
  <c r="BD29" i="19"/>
  <c r="BD28" i="19"/>
  <c r="BD6" i="19"/>
  <c r="BD21" i="19"/>
  <c r="BD34" i="19"/>
  <c r="BD15" i="19"/>
  <c r="BD35" i="19"/>
  <c r="BD23" i="19"/>
  <c r="T29" i="19"/>
  <c r="T24" i="19"/>
  <c r="T4" i="19"/>
  <c r="S4" i="19" s="1" a="1"/>
  <c r="S4" i="19" s="1"/>
  <c r="T22" i="19"/>
  <c r="T5" i="19"/>
  <c r="T9" i="19"/>
  <c r="T21" i="19"/>
  <c r="T23" i="19"/>
  <c r="T17" i="19"/>
  <c r="T16" i="19"/>
  <c r="T11" i="19"/>
  <c r="T12" i="19"/>
  <c r="T6" i="19"/>
  <c r="T36" i="19"/>
  <c r="T13" i="19"/>
  <c r="BH13" i="19"/>
  <c r="AZ36" i="19"/>
  <c r="T7" i="19"/>
  <c r="AF8" i="19"/>
  <c r="AZ9" i="19"/>
  <c r="AJ17" i="19"/>
  <c r="AR33" i="19"/>
  <c r="AR6" i="19"/>
  <c r="AV36" i="19"/>
  <c r="T35" i="19"/>
  <c r="BH30" i="19"/>
  <c r="AZ25" i="19"/>
  <c r="AV27" i="19"/>
  <c r="T18" i="19"/>
  <c r="T8" i="19"/>
  <c r="AB18" i="19"/>
  <c r="T10" i="19"/>
  <c r="AN14" i="19"/>
  <c r="T32" i="19"/>
  <c r="BD5" i="19"/>
  <c r="AR14" i="19"/>
  <c r="AZ34" i="19"/>
  <c r="AN29" i="19"/>
  <c r="AV4" i="19"/>
  <c r="AU4" i="19" s="1" a="1"/>
  <c r="AU4" i="19" s="1"/>
  <c r="AT4" i="19" s="1"/>
  <c r="BL13" i="19"/>
  <c r="BH18" i="19"/>
  <c r="BH14" i="19"/>
  <c r="AN15" i="19"/>
  <c r="BD16" i="19"/>
  <c r="X14" i="19"/>
  <c r="AZ5" i="19"/>
  <c r="BD19" i="19"/>
  <c r="AF7" i="19"/>
  <c r="X25" i="19"/>
  <c r="AB27" i="19"/>
  <c r="AZ10" i="19"/>
  <c r="AB29" i="19"/>
  <c r="AJ16" i="19"/>
  <c r="BH20" i="19"/>
  <c r="S34" i="23" l="1"/>
  <c r="S35" i="23"/>
  <c r="S36" i="23"/>
  <c r="S38" i="23"/>
  <c r="S31" i="23"/>
  <c r="S37" i="23"/>
  <c r="S33" i="23"/>
  <c r="S39" i="23"/>
  <c r="S30" i="23"/>
  <c r="S8" i="23"/>
  <c r="S12" i="23"/>
  <c r="S16" i="23"/>
  <c r="S20" i="23"/>
  <c r="S24" i="23"/>
  <c r="S28" i="23"/>
  <c r="S32" i="23"/>
  <c r="S7" i="23"/>
  <c r="S9" i="23"/>
  <c r="S13" i="23"/>
  <c r="S17" i="23"/>
  <c r="S21" i="23"/>
  <c r="S25" i="23"/>
  <c r="S29" i="23"/>
  <c r="S10" i="23"/>
  <c r="S14" i="23"/>
  <c r="S18" i="23"/>
  <c r="S22" i="23"/>
  <c r="S26" i="23"/>
  <c r="S11" i="23"/>
  <c r="S15" i="23"/>
  <c r="S19" i="23"/>
  <c r="S23" i="23"/>
  <c r="S27" i="23"/>
  <c r="W5" i="19" a="1"/>
  <c r="W5" i="19" s="1"/>
  <c r="V5" i="19" s="1"/>
  <c r="BK5" i="19" a="1"/>
  <c r="BK5" i="19" s="1"/>
  <c r="BJ5" i="19" s="1"/>
  <c r="AM8" i="19" a="1"/>
  <c r="AM8" i="19" s="1"/>
  <c r="AL8" i="19" s="1"/>
  <c r="AA29" i="19" a="1"/>
  <c r="AA29" i="19" s="1"/>
  <c r="Z29" i="19" s="1"/>
  <c r="AQ6" i="19" a="1"/>
  <c r="AQ6" i="19" s="1"/>
  <c r="AP6" i="19" s="1"/>
  <c r="AQ5" i="19" a="1"/>
  <c r="AQ5" i="19" s="1"/>
  <c r="AP5" i="19" s="1"/>
  <c r="AE7" i="19" a="1"/>
  <c r="AE7" i="19" s="1"/>
  <c r="AD7" i="19" s="1"/>
  <c r="BK13" i="19" a="1"/>
  <c r="BK13" i="19" s="1"/>
  <c r="BJ13" i="19" s="1"/>
  <c r="AA8" i="19" a="1"/>
  <c r="AA8" i="19" s="1"/>
  <c r="Z8" i="19" s="1"/>
  <c r="BC16" i="19" a="1"/>
  <c r="BC16" i="19" s="1"/>
  <c r="BB16" i="19" s="1"/>
  <c r="AQ14" i="19" a="1"/>
  <c r="AQ14" i="19" s="1"/>
  <c r="AP14" i="19" s="1"/>
  <c r="S10" i="19" a="1"/>
  <c r="S10" i="19" s="1"/>
  <c r="R10" i="19" s="1"/>
  <c r="AU27" i="19" a="1"/>
  <c r="AU27" i="19" s="1"/>
  <c r="AT27" i="19" s="1"/>
  <c r="AU36" i="19" a="1"/>
  <c r="AU36" i="19" s="1"/>
  <c r="AT36" i="19" s="1"/>
  <c r="AY9" i="19" a="1"/>
  <c r="AY9" i="19" s="1"/>
  <c r="AX9" i="19" s="1"/>
  <c r="BG13" i="19" a="1"/>
  <c r="BG13" i="19" s="1"/>
  <c r="BF13" i="19" s="1"/>
  <c r="BC9" i="19" a="1"/>
  <c r="BC9" i="19" s="1"/>
  <c r="BB9" i="19" s="1"/>
  <c r="AU19" i="19" a="1"/>
  <c r="AU19" i="19" s="1"/>
  <c r="AT19" i="19" s="1"/>
  <c r="AM6" i="19" a="1"/>
  <c r="AM6" i="19" s="1"/>
  <c r="AL6" i="19" s="1"/>
  <c r="AY5" i="19" a="1"/>
  <c r="AY5" i="19" s="1"/>
  <c r="AX5" i="19" s="1"/>
  <c r="AU12" i="19" a="1"/>
  <c r="AU12" i="19" s="1"/>
  <c r="AT12" i="19" s="1"/>
  <c r="AY6" i="19" a="1"/>
  <c r="AY6" i="19" s="1"/>
  <c r="AX6" i="19" s="1"/>
  <c r="BG5" i="19" a="1"/>
  <c r="BG5" i="19" s="1"/>
  <c r="BF5" i="19" s="1"/>
  <c r="W19" i="19" a="1"/>
  <c r="W19" i="19" s="1"/>
  <c r="V19" i="19" s="1"/>
  <c r="AI32" i="19" a="1"/>
  <c r="AI32" i="19" s="1"/>
  <c r="AH32" i="19" s="1"/>
  <c r="W11" i="19" a="1"/>
  <c r="W11" i="19" s="1"/>
  <c r="V11" i="19" s="1"/>
  <c r="AA16" i="19" a="1"/>
  <c r="AA16" i="19" s="1"/>
  <c r="Z16" i="19" s="1"/>
  <c r="AA17" i="19" a="1"/>
  <c r="AA17" i="19" s="1"/>
  <c r="Z17" i="19" s="1"/>
  <c r="AI26" i="19" a="1"/>
  <c r="AI26" i="19" s="1"/>
  <c r="AH26" i="19" s="1"/>
  <c r="AI6" i="19" a="1"/>
  <c r="AI6" i="19" s="1"/>
  <c r="AH6" i="19" s="1"/>
  <c r="AM25" i="19" a="1"/>
  <c r="AM25" i="19" s="1"/>
  <c r="AL25" i="19" s="1"/>
  <c r="AM11" i="19" a="1"/>
  <c r="AM11" i="19" s="1"/>
  <c r="AL11" i="19" s="1"/>
  <c r="AM9" i="19" a="1"/>
  <c r="AM9" i="19" s="1"/>
  <c r="AL9" i="19" s="1"/>
  <c r="AU5" i="19" a="1"/>
  <c r="AU5" i="19" s="1"/>
  <c r="AT5" i="19" s="1"/>
  <c r="AQ11" i="19" a="1"/>
  <c r="AQ11" i="19" s="1"/>
  <c r="AP11" i="19" s="1"/>
  <c r="AQ10" i="19" a="1"/>
  <c r="AQ10" i="19" s="1"/>
  <c r="AP10" i="19" s="1"/>
  <c r="AM23" i="19" a="1"/>
  <c r="AM23" i="19" s="1"/>
  <c r="AL23" i="19" s="1"/>
  <c r="AM5" i="19" a="1"/>
  <c r="AM5" i="19" s="1"/>
  <c r="AL5" i="19" s="1"/>
  <c r="S23" i="19" a="1"/>
  <c r="S23" i="19" s="1"/>
  <c r="R23" i="19" s="1"/>
  <c r="BC23" i="19" a="1"/>
  <c r="BC23" i="19" s="1"/>
  <c r="BB23" i="19" s="1"/>
  <c r="BC21" i="19" a="1"/>
  <c r="BC21" i="19" s="1"/>
  <c r="BB21" i="19" s="1"/>
  <c r="BC4" i="19" a="1"/>
  <c r="BC4" i="19" s="1"/>
  <c r="BB4" i="19" s="1"/>
  <c r="BC12" i="19" a="1"/>
  <c r="BC12" i="19" s="1"/>
  <c r="BB12" i="19" s="1"/>
  <c r="AE36" i="19" a="1"/>
  <c r="AE36" i="19" s="1"/>
  <c r="AD36" i="19" s="1"/>
  <c r="AE18" i="19" a="1"/>
  <c r="AE18" i="19" s="1"/>
  <c r="AD18" i="19" s="1"/>
  <c r="AQ22" i="19" a="1"/>
  <c r="AQ22" i="19" s="1"/>
  <c r="AP22" i="19" s="1"/>
  <c r="AU30" i="19" a="1"/>
  <c r="AU30" i="19" s="1"/>
  <c r="AT30" i="19" s="1"/>
  <c r="AU35" i="19" a="1"/>
  <c r="AU35" i="19" s="1"/>
  <c r="AT35" i="19" s="1"/>
  <c r="AU33" i="19" a="1"/>
  <c r="AU33" i="19" s="1"/>
  <c r="AT33" i="19" s="1"/>
  <c r="AE23" i="19" a="1"/>
  <c r="AE23" i="19" s="1"/>
  <c r="AD23" i="19" s="1"/>
  <c r="BC30" i="19" a="1"/>
  <c r="BC30" i="19" s="1"/>
  <c r="BB30" i="19" s="1"/>
  <c r="AU29" i="19" a="1"/>
  <c r="AU29" i="19" s="1"/>
  <c r="AT29" i="19" s="1"/>
  <c r="BK22" i="19" a="1"/>
  <c r="BK22" i="19" s="1"/>
  <c r="BJ22" i="19" s="1"/>
  <c r="BK17" i="19" a="1"/>
  <c r="BK17" i="19" s="1"/>
  <c r="BJ17" i="19" s="1"/>
  <c r="W28" i="19" a="1"/>
  <c r="W28" i="19" s="1"/>
  <c r="V28" i="19" s="1"/>
  <c r="W33" i="19" a="1"/>
  <c r="W33" i="19" s="1"/>
  <c r="V33" i="19" s="1"/>
  <c r="W17" i="19" a="1"/>
  <c r="W17" i="19" s="1"/>
  <c r="V17" i="19" s="1"/>
  <c r="AA23" i="19" a="1"/>
  <c r="AA23" i="19" s="1"/>
  <c r="Z23" i="19" s="1"/>
  <c r="AA12" i="19" a="1"/>
  <c r="AA12" i="19" s="1"/>
  <c r="Z12" i="19" s="1"/>
  <c r="AI18" i="19" a="1"/>
  <c r="AI18" i="19" s="1"/>
  <c r="AH18" i="19" s="1"/>
  <c r="AI20" i="19" a="1"/>
  <c r="AI20" i="19" s="1"/>
  <c r="AH20" i="19" s="1"/>
  <c r="S30" i="19" a="1"/>
  <c r="S30" i="19" s="1"/>
  <c r="R30" i="19" s="1"/>
  <c r="AY13" i="19" a="1"/>
  <c r="AY13" i="19" s="1"/>
  <c r="AX13" i="19" s="1"/>
  <c r="AY18" i="19" a="1"/>
  <c r="AY18" i="19" s="1"/>
  <c r="AX18" i="19" s="1"/>
  <c r="BC11" i="19" a="1"/>
  <c r="BC11" i="19" s="1"/>
  <c r="BB11" i="19" s="1"/>
  <c r="BG36" i="19" a="1"/>
  <c r="BG36" i="19" s="1"/>
  <c r="BF36" i="19" s="1"/>
  <c r="BG22" i="19" a="1"/>
  <c r="BG22" i="19" s="1"/>
  <c r="BF22" i="19" s="1"/>
  <c r="BG6" i="19" a="1"/>
  <c r="BG6" i="19" s="1"/>
  <c r="BF6" i="19" s="1"/>
  <c r="BC33" i="19" a="1"/>
  <c r="BC33" i="19" s="1"/>
  <c r="BB33" i="19" s="1"/>
  <c r="AM10" i="19" a="1"/>
  <c r="AM10" i="19" s="1"/>
  <c r="AL10" i="19" s="1"/>
  <c r="BK36" i="19" a="1"/>
  <c r="BK36" i="19" s="1"/>
  <c r="BJ36" i="19" s="1"/>
  <c r="BC19" i="19" a="1"/>
  <c r="BC19" i="19" s="1"/>
  <c r="BB19" i="19" s="1"/>
  <c r="AA18" i="19" a="1"/>
  <c r="AA18" i="19" s="1"/>
  <c r="Z18" i="19" s="1"/>
  <c r="AY25" i="19" a="1"/>
  <c r="AY25" i="19" s="1"/>
  <c r="AX25" i="19" s="1"/>
  <c r="S13" i="19" a="1"/>
  <c r="S13" i="19" s="1"/>
  <c r="R13" i="19" s="1"/>
  <c r="S11" i="19" a="1"/>
  <c r="S11" i="19" s="1"/>
  <c r="R11" i="19" s="1"/>
  <c r="BC35" i="19" a="1"/>
  <c r="BC35" i="19" s="1"/>
  <c r="BB35" i="19" s="1"/>
  <c r="BC27" i="19" a="1"/>
  <c r="BC27" i="19" s="1"/>
  <c r="BB27" i="19" s="1"/>
  <c r="BC24" i="19" a="1"/>
  <c r="BC24" i="19" s="1"/>
  <c r="BB24" i="19" s="1"/>
  <c r="AU34" i="19" a="1"/>
  <c r="AU34" i="19" s="1"/>
  <c r="AT34" i="19" s="1"/>
  <c r="AE15" i="19" a="1"/>
  <c r="AE15" i="19" s="1"/>
  <c r="AD15" i="19" s="1"/>
  <c r="AE20" i="19" a="1"/>
  <c r="AE20" i="19" s="1"/>
  <c r="AD20" i="19" s="1"/>
  <c r="AQ18" i="19" a="1"/>
  <c r="AQ18" i="19" s="1"/>
  <c r="AP18" i="19" s="1"/>
  <c r="AQ8" i="19" a="1"/>
  <c r="AQ8" i="19" s="1"/>
  <c r="AP8" i="19" s="1"/>
  <c r="AU15" i="19" a="1"/>
  <c r="AU15" i="19" s="1"/>
  <c r="AT15" i="19" s="1"/>
  <c r="AU8" i="19" a="1"/>
  <c r="AU8" i="19" s="1"/>
  <c r="AT8" i="19" s="1"/>
  <c r="BK32" i="19" a="1"/>
  <c r="BK32" i="19" s="1"/>
  <c r="BJ32" i="19" s="1"/>
  <c r="AA22" i="19" a="1"/>
  <c r="AA22" i="19" s="1"/>
  <c r="Z22" i="19" s="1"/>
  <c r="W4" i="19" a="1"/>
  <c r="W4" i="19" s="1"/>
  <c r="V4" i="19" s="1"/>
  <c r="W6" i="19" a="1"/>
  <c r="W6" i="19" s="1"/>
  <c r="V6" i="19" s="1"/>
  <c r="W30" i="19" a="1"/>
  <c r="W30" i="19" s="1"/>
  <c r="V30" i="19" s="1"/>
  <c r="W13" i="19" a="1"/>
  <c r="W13" i="19" s="1"/>
  <c r="V13" i="19" s="1"/>
  <c r="AM28" i="19" a="1"/>
  <c r="AM28" i="19" s="1"/>
  <c r="AL28" i="19" s="1"/>
  <c r="BG17" i="19" a="1"/>
  <c r="BG17" i="19" s="1"/>
  <c r="BF17" i="19" s="1"/>
  <c r="BK19" i="19" a="1"/>
  <c r="BK19" i="19" s="1"/>
  <c r="BJ19" i="19" s="1"/>
  <c r="BK4" i="19" a="1"/>
  <c r="BK4" i="19" s="1"/>
  <c r="BJ4" i="19" s="1"/>
  <c r="BK7" i="19" a="1"/>
  <c r="BK7" i="19" s="1"/>
  <c r="BJ7" i="19" s="1"/>
  <c r="BK25" i="19" a="1"/>
  <c r="BK25" i="19" s="1"/>
  <c r="BJ25" i="19" s="1"/>
  <c r="BK8" i="19" a="1"/>
  <c r="BK8" i="19" s="1"/>
  <c r="BJ8" i="19" s="1"/>
  <c r="W9" i="19" a="1"/>
  <c r="W9" i="19" s="1"/>
  <c r="V9" i="19" s="1"/>
  <c r="W18" i="19" a="1"/>
  <c r="W18" i="19" s="1"/>
  <c r="V18" i="19" s="1"/>
  <c r="AA28" i="19" a="1"/>
  <c r="AA28" i="19" s="1"/>
  <c r="Z28" i="19" s="1"/>
  <c r="AA35" i="19" a="1"/>
  <c r="AA35" i="19" s="1"/>
  <c r="Z35" i="19" s="1"/>
  <c r="AI28" i="19" a="1"/>
  <c r="AI28" i="19" s="1"/>
  <c r="AH28" i="19" s="1"/>
  <c r="AI14" i="19" a="1"/>
  <c r="AI14" i="19" s="1"/>
  <c r="AH14" i="19" s="1"/>
  <c r="AI7" i="19" a="1"/>
  <c r="AI7" i="19" s="1"/>
  <c r="AH7" i="19" s="1"/>
  <c r="AM19" i="19" a="1"/>
  <c r="AM19" i="19" s="1"/>
  <c r="AL19" i="19" s="1"/>
  <c r="AM20" i="19" a="1"/>
  <c r="AM20" i="19" s="1"/>
  <c r="AL20" i="19" s="1"/>
  <c r="AU32" i="19" a="1"/>
  <c r="AU32" i="19" s="1"/>
  <c r="AT32" i="19" s="1"/>
  <c r="AY32" i="19" a="1"/>
  <c r="AY32" i="19" s="1"/>
  <c r="AX32" i="19" s="1"/>
  <c r="AY26" i="19" a="1"/>
  <c r="AY26" i="19" s="1"/>
  <c r="AX26" i="19" s="1"/>
  <c r="BC25" i="19" a="1"/>
  <c r="BC25" i="19" s="1"/>
  <c r="BB25" i="19" s="1"/>
  <c r="AY31" i="19" a="1"/>
  <c r="AY31" i="19" s="1"/>
  <c r="AX31" i="19" s="1"/>
  <c r="BK20" i="19" a="1"/>
  <c r="BK20" i="19" s="1"/>
  <c r="BJ20" i="19" s="1"/>
  <c r="BG29" i="19" a="1"/>
  <c r="BG29" i="19" s="1"/>
  <c r="BF29" i="19" s="1"/>
  <c r="BG8" i="19" a="1"/>
  <c r="BG8" i="19" s="1"/>
  <c r="BF8" i="19" s="1"/>
  <c r="BC36" i="19" a="1"/>
  <c r="BC36" i="19" s="1"/>
  <c r="BB36" i="19" s="1"/>
  <c r="AQ23" i="19" a="1"/>
  <c r="AQ23" i="19" s="1"/>
  <c r="AP23" i="19" s="1"/>
  <c r="BC8" i="19" a="1"/>
  <c r="BC8" i="19" s="1"/>
  <c r="BB8" i="19" s="1"/>
  <c r="BG20" i="19" a="1"/>
  <c r="BG20" i="19" s="1"/>
  <c r="BF20" i="19" s="1"/>
  <c r="BG14" i="19" a="1"/>
  <c r="BG14" i="19" s="1"/>
  <c r="BF14" i="19" s="1"/>
  <c r="AM29" i="19" a="1"/>
  <c r="AM29" i="19" s="1"/>
  <c r="AL29" i="19" s="1"/>
  <c r="S32" i="19" a="1"/>
  <c r="S32" i="19" s="1"/>
  <c r="R32" i="19" s="1"/>
  <c r="S8" i="19" a="1"/>
  <c r="S8" i="19" s="1"/>
  <c r="R8" i="19" s="1"/>
  <c r="BG30" i="19" a="1"/>
  <c r="BG30" i="19" s="1"/>
  <c r="BF30" i="19" s="1"/>
  <c r="AQ33" i="19" a="1"/>
  <c r="AQ33" i="19" s="1"/>
  <c r="AP33" i="19" s="1"/>
  <c r="S7" i="19" a="1"/>
  <c r="S7" i="19" s="1"/>
  <c r="R7" i="19" s="1"/>
  <c r="S36" i="19" a="1"/>
  <c r="S36" i="19" s="1"/>
  <c r="R36" i="19" s="1"/>
  <c r="S16" i="19" a="1"/>
  <c r="S16" i="19" s="1"/>
  <c r="R16" i="19" s="1"/>
  <c r="S9" i="19" a="1"/>
  <c r="S9" i="19" s="1"/>
  <c r="R9" i="19" s="1"/>
  <c r="S24" i="19" a="1"/>
  <c r="S24" i="19" s="1"/>
  <c r="R24" i="19" s="1"/>
  <c r="BC15" i="19" a="1"/>
  <c r="BC15" i="19" s="1"/>
  <c r="BB15" i="19" s="1"/>
  <c r="BC28" i="19" a="1"/>
  <c r="BC28" i="19" s="1"/>
  <c r="BB28" i="19" s="1"/>
  <c r="BC18" i="19" a="1"/>
  <c r="BC18" i="19" s="1"/>
  <c r="BB18" i="19" s="1"/>
  <c r="BC13" i="19" a="1"/>
  <c r="BC13" i="19" s="1"/>
  <c r="BB13" i="19" s="1"/>
  <c r="BC14" i="19" a="1"/>
  <c r="BC14" i="19" s="1"/>
  <c r="BB14" i="19" s="1"/>
  <c r="AY19" i="19" a="1"/>
  <c r="AY19" i="19" s="1"/>
  <c r="AX19" i="19" s="1"/>
  <c r="BK21" i="19" a="1"/>
  <c r="BK21" i="19" s="1"/>
  <c r="BJ21" i="19" s="1"/>
  <c r="AE35" i="19" a="1"/>
  <c r="AE35" i="19" s="1"/>
  <c r="AD35" i="19" s="1"/>
  <c r="AE16" i="19" a="1"/>
  <c r="AE16" i="19" s="1"/>
  <c r="AD16" i="19" s="1"/>
  <c r="AE10" i="19" a="1"/>
  <c r="AE10" i="19" s="1"/>
  <c r="AD10" i="19" s="1"/>
  <c r="AE22" i="19" a="1"/>
  <c r="AE22" i="19" s="1"/>
  <c r="AD22" i="19" s="1"/>
  <c r="AQ9" i="19" a="1"/>
  <c r="AQ9" i="19" s="1"/>
  <c r="AP9" i="19" s="1"/>
  <c r="AQ30" i="19" a="1"/>
  <c r="AQ30" i="19" s="1"/>
  <c r="AP30" i="19" s="1"/>
  <c r="AQ17" i="19" a="1"/>
  <c r="AQ17" i="19" s="1"/>
  <c r="AP17" i="19" s="1"/>
  <c r="AQ28" i="19" a="1"/>
  <c r="AQ28" i="19" s="1"/>
  <c r="AP28" i="19" s="1"/>
  <c r="AM36" i="19" a="1"/>
  <c r="AM36" i="19" s="1"/>
  <c r="AL36" i="19" s="1"/>
  <c r="AY14" i="19" a="1"/>
  <c r="AY14" i="19" s="1"/>
  <c r="AX14" i="19" s="1"/>
  <c r="AQ12" i="19" a="1"/>
  <c r="AQ12" i="19" s="1"/>
  <c r="AP12" i="19" s="1"/>
  <c r="BK15" i="19" a="1"/>
  <c r="BK15" i="19" s="1"/>
  <c r="BJ15" i="19" s="1"/>
  <c r="AU11" i="19" a="1"/>
  <c r="AU11" i="19" s="1"/>
  <c r="AT11" i="19" s="1"/>
  <c r="AU24" i="19" a="1"/>
  <c r="AU24" i="19" s="1"/>
  <c r="AT24" i="19" s="1"/>
  <c r="AU26" i="19" a="1"/>
  <c r="AU26" i="19" s="1"/>
  <c r="AT26" i="19" s="1"/>
  <c r="AU17" i="19" a="1"/>
  <c r="AU17" i="19" s="1"/>
  <c r="AT17" i="19" s="1"/>
  <c r="AA7" i="19" a="1"/>
  <c r="AA7" i="19" s="1"/>
  <c r="Z7" i="19" s="1"/>
  <c r="AA13" i="19" a="1"/>
  <c r="AA13" i="19" s="1"/>
  <c r="Z13" i="19" s="1"/>
  <c r="W34" i="19" a="1"/>
  <c r="W34" i="19" s="1"/>
  <c r="V34" i="19" s="1"/>
  <c r="BG19" i="19" a="1"/>
  <c r="BG19" i="19" s="1"/>
  <c r="BF19" i="19" s="1"/>
  <c r="AU16" i="19" a="1"/>
  <c r="AU16" i="19" s="1"/>
  <c r="AT16" i="19" s="1"/>
  <c r="AU13" i="19" a="1"/>
  <c r="AU13" i="19" s="1"/>
  <c r="AT13" i="19" s="1"/>
  <c r="S14" i="19" a="1"/>
  <c r="S14" i="19" s="1"/>
  <c r="R14" i="19" s="1"/>
  <c r="AY23" i="19" a="1"/>
  <c r="AY23" i="19" s="1"/>
  <c r="AX23" i="19" s="1"/>
  <c r="W23" i="19" a="1"/>
  <c r="W23" i="19" s="1"/>
  <c r="V23" i="19" s="1"/>
  <c r="BK10" i="19" a="1"/>
  <c r="BK10" i="19" s="1"/>
  <c r="BJ10" i="19" s="1"/>
  <c r="BK29" i="19" a="1"/>
  <c r="BK29" i="19" s="1"/>
  <c r="BJ29" i="19" s="1"/>
  <c r="BK28" i="19" a="1"/>
  <c r="BK28" i="19" s="1"/>
  <c r="BJ28" i="19" s="1"/>
  <c r="BK18" i="19" a="1"/>
  <c r="BK18" i="19" s="1"/>
  <c r="BJ18" i="19" s="1"/>
  <c r="BK34" i="19" a="1"/>
  <c r="BK34" i="19" s="1"/>
  <c r="BJ34" i="19" s="1"/>
  <c r="W10" i="19" a="1"/>
  <c r="W10" i="19" s="1"/>
  <c r="V10" i="19" s="1"/>
  <c r="W26" i="19" a="1"/>
  <c r="W26" i="19" s="1"/>
  <c r="V26" i="19" s="1"/>
  <c r="W15" i="19" a="1"/>
  <c r="W15" i="19" s="1"/>
  <c r="V15" i="19" s="1"/>
  <c r="W24" i="19" a="1"/>
  <c r="W24" i="19" s="1"/>
  <c r="V24" i="19" s="1"/>
  <c r="AA6" i="19" a="1"/>
  <c r="AA6" i="19" s="1"/>
  <c r="Z6" i="19" s="1"/>
  <c r="AA10" i="19" a="1"/>
  <c r="AA10" i="19" s="1"/>
  <c r="Z10" i="19" s="1"/>
  <c r="AA25" i="19" a="1"/>
  <c r="AA25" i="19" s="1"/>
  <c r="Z25" i="19" s="1"/>
  <c r="AA34" i="19" a="1"/>
  <c r="AA34" i="19" s="1"/>
  <c r="Z34" i="19" s="1"/>
  <c r="AA15" i="19" a="1"/>
  <c r="AA15" i="19" s="1"/>
  <c r="Z15" i="19" s="1"/>
  <c r="S15" i="19" a="1"/>
  <c r="S15" i="19" s="1"/>
  <c r="R15" i="19" s="1"/>
  <c r="AI23" i="19" a="1"/>
  <c r="AI23" i="19" s="1"/>
  <c r="AH23" i="19" s="1"/>
  <c r="AI13" i="19" a="1"/>
  <c r="AI13" i="19" s="1"/>
  <c r="AH13" i="19" s="1"/>
  <c r="AI11" i="19" a="1"/>
  <c r="AI11" i="19" s="1"/>
  <c r="AH11" i="19" s="1"/>
  <c r="AI35" i="19" a="1"/>
  <c r="AI35" i="19" s="1"/>
  <c r="AH35" i="19" s="1"/>
  <c r="AI33" i="19" a="1"/>
  <c r="AI33" i="19" s="1"/>
  <c r="AH33" i="19" s="1"/>
  <c r="BC20" i="19" a="1"/>
  <c r="BC20" i="19" s="1"/>
  <c r="BB20" i="19" s="1"/>
  <c r="AM30" i="19" a="1"/>
  <c r="AM30" i="19" s="1"/>
  <c r="AL30" i="19" s="1"/>
  <c r="AM17" i="19" a="1"/>
  <c r="AM17" i="19" s="1"/>
  <c r="AL17" i="19" s="1"/>
  <c r="AM27" i="19" a="1"/>
  <c r="AM27" i="19" s="1"/>
  <c r="AL27" i="19" s="1"/>
  <c r="AM26" i="19" a="1"/>
  <c r="AM26" i="19" s="1"/>
  <c r="AL26" i="19" s="1"/>
  <c r="AE27" i="19" a="1"/>
  <c r="AE27" i="19" s="1"/>
  <c r="AD27" i="19" s="1"/>
  <c r="AU10" i="19" a="1"/>
  <c r="AU10" i="19" s="1"/>
  <c r="AT10" i="19" s="1"/>
  <c r="AE21" i="19" a="1"/>
  <c r="AE21" i="19" s="1"/>
  <c r="AD21" i="19" s="1"/>
  <c r="BK11" i="19" a="1"/>
  <c r="BK11" i="19" s="1"/>
  <c r="BJ11" i="19" s="1"/>
  <c r="AY11" i="19" a="1"/>
  <c r="AY11" i="19" s="1"/>
  <c r="AX11" i="19" s="1"/>
  <c r="AY8" i="19" a="1"/>
  <c r="AY8" i="19" s="1"/>
  <c r="AX8" i="19" s="1"/>
  <c r="AY20" i="19" a="1"/>
  <c r="AY20" i="19" s="1"/>
  <c r="AX20" i="19" s="1"/>
  <c r="BK6" i="19" a="1"/>
  <c r="BK6" i="19" s="1"/>
  <c r="BJ6" i="19" s="1"/>
  <c r="AM33" i="19" a="1"/>
  <c r="AM33" i="19" s="1"/>
  <c r="AL33" i="19" s="1"/>
  <c r="AM24" i="19" a="1"/>
  <c r="AM24" i="19" s="1"/>
  <c r="AL24" i="19" s="1"/>
  <c r="AU20" i="19" a="1"/>
  <c r="AU20" i="19" s="1"/>
  <c r="AT20" i="19" s="1"/>
  <c r="BG11" i="19" a="1"/>
  <c r="BG11" i="19" s="1"/>
  <c r="BF11" i="19" s="1"/>
  <c r="BG23" i="19" a="1"/>
  <c r="BG23" i="19" s="1"/>
  <c r="BF23" i="19" s="1"/>
  <c r="BG27" i="19" a="1"/>
  <c r="BG27" i="19" s="1"/>
  <c r="BF27" i="19" s="1"/>
  <c r="BG10" i="19" a="1"/>
  <c r="BG10" i="19" s="1"/>
  <c r="BF10" i="19" s="1"/>
  <c r="BG32" i="19" a="1"/>
  <c r="BG32" i="19" s="1"/>
  <c r="BF32" i="19" s="1"/>
  <c r="AE31" i="19" a="1"/>
  <c r="AE31" i="19" s="1"/>
  <c r="AD31" i="19" s="1"/>
  <c r="AE14" i="19" a="1"/>
  <c r="AE14" i="19" s="1"/>
  <c r="AD14" i="19" s="1"/>
  <c r="AE13" i="19" a="1"/>
  <c r="AE13" i="19" s="1"/>
  <c r="AD13" i="19" s="1"/>
  <c r="AU9" i="19" a="1"/>
  <c r="AU9" i="19" s="1"/>
  <c r="AT9" i="19" s="1"/>
  <c r="AQ15" i="19" a="1"/>
  <c r="AQ15" i="19" s="1"/>
  <c r="AP15" i="19" s="1"/>
  <c r="S12" i="19" a="1"/>
  <c r="S12" i="19" s="1"/>
  <c r="R12" i="19" s="1"/>
  <c r="S22" i="19" a="1"/>
  <c r="S22" i="19" s="1"/>
  <c r="R22" i="19" s="1"/>
  <c r="BC26" i="19" a="1"/>
  <c r="BC26" i="19" s="1"/>
  <c r="BB26" i="19" s="1"/>
  <c r="AQ16" i="19" a="1"/>
  <c r="AQ16" i="19" s="1"/>
  <c r="AP16" i="19" s="1"/>
  <c r="AQ34" i="19" a="1"/>
  <c r="AQ34" i="19" s="1"/>
  <c r="AP34" i="19" s="1"/>
  <c r="AQ36" i="19" a="1"/>
  <c r="AQ36" i="19" s="1"/>
  <c r="AP36" i="19" s="1"/>
  <c r="AA31" i="19" a="1"/>
  <c r="AA31" i="19" s="1"/>
  <c r="Z31" i="19" s="1"/>
  <c r="AU23" i="19" a="1"/>
  <c r="AU23" i="19" s="1"/>
  <c r="AT23" i="19" s="1"/>
  <c r="AU28" i="19" a="1"/>
  <c r="AU28" i="19" s="1"/>
  <c r="AT28" i="19" s="1"/>
  <c r="BG26" i="19" a="1"/>
  <c r="BG26" i="19" s="1"/>
  <c r="BF26" i="19" s="1"/>
  <c r="BK9" i="19" a="1"/>
  <c r="BK9" i="19" s="1"/>
  <c r="BJ9" i="19" s="1"/>
  <c r="BK31" i="19" a="1"/>
  <c r="BK31" i="19" s="1"/>
  <c r="BJ31" i="19" s="1"/>
  <c r="BK14" i="19" a="1"/>
  <c r="BK14" i="19" s="1"/>
  <c r="BJ14" i="19" s="1"/>
  <c r="AA36" i="19" a="1"/>
  <c r="AA36" i="19" s="1"/>
  <c r="Z36" i="19" s="1"/>
  <c r="AA5" i="19" a="1"/>
  <c r="AA5" i="19" s="1"/>
  <c r="Z5" i="19" s="1"/>
  <c r="AA30" i="19" a="1"/>
  <c r="AA30" i="19" s="1"/>
  <c r="Z30" i="19" s="1"/>
  <c r="AI9" i="19" a="1"/>
  <c r="AI9" i="19" s="1"/>
  <c r="AH9" i="19" s="1"/>
  <c r="AI31" i="19" a="1"/>
  <c r="AI31" i="19" s="1"/>
  <c r="AH31" i="19" s="1"/>
  <c r="AM31" i="19" a="1"/>
  <c r="AM31" i="19" s="1"/>
  <c r="AL31" i="19" s="1"/>
  <c r="AE12" i="19" a="1"/>
  <c r="AE12" i="19" s="1"/>
  <c r="AD12" i="19" s="1"/>
  <c r="AE30" i="19" a="1"/>
  <c r="AE30" i="19" s="1"/>
  <c r="AD30" i="19" s="1"/>
  <c r="AY15" i="19" a="1"/>
  <c r="AY15" i="19" s="1"/>
  <c r="AX15" i="19" s="1"/>
  <c r="AY24" i="19" a="1"/>
  <c r="AY24" i="19" s="1"/>
  <c r="AX24" i="19" s="1"/>
  <c r="S31" i="19" a="1"/>
  <c r="S31" i="19" s="1"/>
  <c r="R31" i="19" s="1"/>
  <c r="BG33" i="19" a="1"/>
  <c r="BG33" i="19" s="1"/>
  <c r="BF33" i="19" s="1"/>
  <c r="BG34" i="19" a="1"/>
  <c r="BG34" i="19" s="1"/>
  <c r="BF34" i="19" s="1"/>
  <c r="AY7" i="19" a="1"/>
  <c r="AY7" i="19" s="1"/>
  <c r="AX7" i="19" s="1"/>
  <c r="AY29" i="19" a="1"/>
  <c r="AY29" i="19" s="1"/>
  <c r="AX29" i="19" s="1"/>
  <c r="AY27" i="19" a="1"/>
  <c r="AY27" i="19" s="1"/>
  <c r="AX27" i="19" s="1"/>
  <c r="AY10" i="19" a="1"/>
  <c r="AY10" i="19" s="1"/>
  <c r="AX10" i="19" s="1"/>
  <c r="AM15" i="19" a="1"/>
  <c r="AM15" i="19" s="1"/>
  <c r="AL15" i="19" s="1"/>
  <c r="BC5" i="19" a="1"/>
  <c r="BC5" i="19" s="1"/>
  <c r="BB5" i="19" s="1"/>
  <c r="AE8" i="19" a="1"/>
  <c r="AE8" i="19" s="1"/>
  <c r="AD8" i="19" s="1"/>
  <c r="S21" i="19" a="1"/>
  <c r="S21" i="19" s="1"/>
  <c r="R21" i="19" s="1"/>
  <c r="S20" i="19" a="1"/>
  <c r="S20" i="19" s="1"/>
  <c r="R20" i="19" s="1"/>
  <c r="S25" i="19" a="1"/>
  <c r="S25" i="19" s="1"/>
  <c r="R25" i="19" s="1"/>
  <c r="S33" i="19" a="1"/>
  <c r="S33" i="19" s="1"/>
  <c r="R33" i="19" s="1"/>
  <c r="R4" i="19"/>
  <c r="S26" i="19" a="1"/>
  <c r="S26" i="19" s="1"/>
  <c r="R26" i="19" s="1"/>
  <c r="S28" i="19" a="1"/>
  <c r="S28" i="19" s="1"/>
  <c r="R28" i="19" s="1"/>
  <c r="BC6" i="19" a="1"/>
  <c r="BC6" i="19" s="1"/>
  <c r="BB6" i="19" s="1"/>
  <c r="BC17" i="19" a="1"/>
  <c r="BC17" i="19" s="1"/>
  <c r="BB17" i="19" s="1"/>
  <c r="AQ20" i="19" a="1"/>
  <c r="AQ20" i="19" s="1"/>
  <c r="AP20" i="19" s="1"/>
  <c r="AE6" i="19" a="1"/>
  <c r="AE6" i="19" s="1"/>
  <c r="AD6" i="19" s="1"/>
  <c r="AE26" i="19" a="1"/>
  <c r="AE26" i="19" s="1"/>
  <c r="AD26" i="19" s="1"/>
  <c r="AQ26" i="19" a="1"/>
  <c r="AQ26" i="19" s="1"/>
  <c r="AP26" i="19" s="1"/>
  <c r="AQ32" i="19" a="1"/>
  <c r="AQ32" i="19" s="1"/>
  <c r="AP32" i="19" s="1"/>
  <c r="AQ25" i="19" a="1"/>
  <c r="AQ25" i="19" s="1"/>
  <c r="AP25" i="19" s="1"/>
  <c r="AM18" i="19" a="1"/>
  <c r="AM18" i="19" s="1"/>
  <c r="AL18" i="19" s="1"/>
  <c r="BG24" i="19" a="1"/>
  <c r="BG24" i="19" s="1"/>
  <c r="BF24" i="19" s="1"/>
  <c r="W31" i="19" a="1"/>
  <c r="W31" i="19" s="1"/>
  <c r="V31" i="19" s="1"/>
  <c r="AU25" i="19" a="1"/>
  <c r="AU25" i="19" s="1"/>
  <c r="AT25" i="19" s="1"/>
  <c r="AU14" i="19" a="1"/>
  <c r="AU14" i="19" s="1"/>
  <c r="AT14" i="19" s="1"/>
  <c r="AY22" i="19" a="1"/>
  <c r="AY22" i="19" s="1"/>
  <c r="AX22" i="19" s="1"/>
  <c r="W22" i="19" a="1"/>
  <c r="W22" i="19" s="1"/>
  <c r="V22" i="19" s="1"/>
  <c r="BK12" i="19" a="1"/>
  <c r="BK12" i="19" s="1"/>
  <c r="BJ12" i="19" s="1"/>
  <c r="W20" i="19" a="1"/>
  <c r="W20" i="19" s="1"/>
  <c r="V20" i="19" s="1"/>
  <c r="BK24" i="19" a="1"/>
  <c r="BK24" i="19" s="1"/>
  <c r="BJ24" i="19" s="1"/>
  <c r="W32" i="19" a="1"/>
  <c r="W32" i="19" s="1"/>
  <c r="V32" i="19" s="1"/>
  <c r="W35" i="19" a="1"/>
  <c r="W35" i="19" s="1"/>
  <c r="V35" i="19" s="1"/>
  <c r="W36" i="19" a="1"/>
  <c r="W36" i="19" s="1"/>
  <c r="V36" i="19" s="1"/>
  <c r="AA33" i="19" a="1"/>
  <c r="AA33" i="19" s="1"/>
  <c r="Z33" i="19" s="1"/>
  <c r="AA26" i="19" a="1"/>
  <c r="AA26" i="19" s="1"/>
  <c r="Z26" i="19" s="1"/>
  <c r="BC10" i="19" a="1"/>
  <c r="BC10" i="19" s="1"/>
  <c r="BB10" i="19" s="1"/>
  <c r="AI36" i="19" a="1"/>
  <c r="AI36" i="19" s="1"/>
  <c r="AH36" i="19" s="1"/>
  <c r="AI10" i="19" a="1"/>
  <c r="AI10" i="19" s="1"/>
  <c r="AH10" i="19" s="1"/>
  <c r="AI21" i="19" a="1"/>
  <c r="AI21" i="19" s="1"/>
  <c r="AH21" i="19" s="1"/>
  <c r="AM7" i="19" a="1"/>
  <c r="AM7" i="19" s="1"/>
  <c r="AL7" i="19" s="1"/>
  <c r="AM22" i="19" a="1"/>
  <c r="AM22" i="19" s="1"/>
  <c r="AL22" i="19" s="1"/>
  <c r="AM35" i="19" a="1"/>
  <c r="AM35" i="19" s="1"/>
  <c r="AL35" i="19" s="1"/>
  <c r="S34" i="19" a="1"/>
  <c r="S34" i="19" s="1"/>
  <c r="R34" i="19" s="1"/>
  <c r="AQ13" i="19" a="1"/>
  <c r="AQ13" i="19" s="1"/>
  <c r="AP13" i="19" s="1"/>
  <c r="AY30" i="19" a="1"/>
  <c r="AY30" i="19" s="1"/>
  <c r="AX30" i="19" s="1"/>
  <c r="AY21" i="19" a="1"/>
  <c r="AY21" i="19" s="1"/>
  <c r="AX21" i="19" s="1"/>
  <c r="W7" i="19" a="1"/>
  <c r="W7" i="19" s="1"/>
  <c r="V7" i="19" s="1"/>
  <c r="BG9" i="19" a="1"/>
  <c r="BG9" i="19" s="1"/>
  <c r="BF9" i="19" s="1"/>
  <c r="BG25" i="19" a="1"/>
  <c r="BG25" i="19" s="1"/>
  <c r="BF25" i="19" s="1"/>
  <c r="BG15" i="19" a="1"/>
  <c r="BG15" i="19" s="1"/>
  <c r="BF15" i="19" s="1"/>
  <c r="W8" i="19" a="1"/>
  <c r="W8" i="19" s="1"/>
  <c r="V8" i="19" s="1"/>
  <c r="AI8" i="19" a="1"/>
  <c r="AI8" i="19" s="1"/>
  <c r="AH8" i="19" s="1"/>
  <c r="BK23" i="19" a="1"/>
  <c r="BK23" i="19" s="1"/>
  <c r="BJ23" i="19" s="1"/>
  <c r="AA27" i="19" a="1"/>
  <c r="AA27" i="19" s="1"/>
  <c r="Z27" i="19" s="1"/>
  <c r="AI16" i="19" a="1"/>
  <c r="AI16" i="19" s="1"/>
  <c r="AH16" i="19" s="1"/>
  <c r="W25" i="19" a="1"/>
  <c r="W25" i="19" s="1"/>
  <c r="V25" i="19" s="1"/>
  <c r="W14" i="19" a="1"/>
  <c r="W14" i="19" s="1"/>
  <c r="V14" i="19" s="1"/>
  <c r="BG18" i="19" a="1"/>
  <c r="BG18" i="19" s="1"/>
  <c r="BF18" i="19" s="1"/>
  <c r="AY34" i="19" a="1"/>
  <c r="AY34" i="19" s="1"/>
  <c r="AX34" i="19" s="1"/>
  <c r="AM14" i="19" a="1"/>
  <c r="AM14" i="19" s="1"/>
  <c r="AL14" i="19" s="1"/>
  <c r="S18" i="19" a="1"/>
  <c r="S18" i="19" s="1"/>
  <c r="R18" i="19" s="1"/>
  <c r="S35" i="19" a="1"/>
  <c r="S35" i="19" s="1"/>
  <c r="R35" i="19" s="1"/>
  <c r="AI17" i="19" a="1"/>
  <c r="AI17" i="19" s="1"/>
  <c r="AH17" i="19" s="1"/>
  <c r="AY36" i="19" a="1"/>
  <c r="AY36" i="19" s="1"/>
  <c r="AX36" i="19" s="1"/>
  <c r="S6" i="19" a="1"/>
  <c r="S6" i="19" s="1"/>
  <c r="R6" i="19" s="1"/>
  <c r="S17" i="19" a="1"/>
  <c r="S17" i="19" s="1"/>
  <c r="R17" i="19" s="1"/>
  <c r="S5" i="19" a="1"/>
  <c r="S5" i="19" s="1"/>
  <c r="R5" i="19" s="1"/>
  <c r="S29" i="19" a="1"/>
  <c r="S29" i="19" s="1"/>
  <c r="R29" i="19" s="1"/>
  <c r="BC34" i="19" a="1"/>
  <c r="BC34" i="19" s="1"/>
  <c r="BB34" i="19" s="1"/>
  <c r="BC29" i="19" a="1"/>
  <c r="BC29" i="19" s="1"/>
  <c r="BB29" i="19" s="1"/>
  <c r="BC22" i="19" a="1"/>
  <c r="BC22" i="19" s="1"/>
  <c r="BB22" i="19" s="1"/>
  <c r="BC31" i="19" a="1"/>
  <c r="BC31" i="19" s="1"/>
  <c r="BB31" i="19" s="1"/>
  <c r="AU21" i="19" a="1"/>
  <c r="AU21" i="19" s="1"/>
  <c r="AT21" i="19" s="1"/>
  <c r="AE28" i="19" a="1"/>
  <c r="AE28" i="19" s="1"/>
  <c r="AD28" i="19" s="1"/>
  <c r="AE34" i="19" a="1"/>
  <c r="AE34" i="19" s="1"/>
  <c r="AD34" i="19" s="1"/>
  <c r="AE24" i="19" a="1"/>
  <c r="AE24" i="19" s="1"/>
  <c r="AD24" i="19" s="1"/>
  <c r="AE11" i="19" a="1"/>
  <c r="AE11" i="19" s="1"/>
  <c r="AD11" i="19" s="1"/>
  <c r="AE25" i="19" a="1"/>
  <c r="AE25" i="19" s="1"/>
  <c r="AD25" i="19" s="1"/>
  <c r="AE33" i="19" a="1"/>
  <c r="AE33" i="19" s="1"/>
  <c r="AD33" i="19" s="1"/>
  <c r="AQ19" i="19" a="1"/>
  <c r="AQ19" i="19" s="1"/>
  <c r="AP19" i="19" s="1"/>
  <c r="AQ27" i="19" a="1"/>
  <c r="AQ27" i="19" s="1"/>
  <c r="AP27" i="19" s="1"/>
  <c r="AQ29" i="19" a="1"/>
  <c r="AQ29" i="19" s="1"/>
  <c r="AP29" i="19" s="1"/>
  <c r="AQ35" i="19" a="1"/>
  <c r="AQ35" i="19" s="1"/>
  <c r="AP35" i="19" s="1"/>
  <c r="AQ21" i="19" a="1"/>
  <c r="AQ21" i="19" s="1"/>
  <c r="AP21" i="19" s="1"/>
  <c r="AY35" i="19" a="1"/>
  <c r="AY35" i="19" s="1"/>
  <c r="AX35" i="19" s="1"/>
  <c r="AQ7" i="19" a="1"/>
  <c r="AQ7" i="19" s="1"/>
  <c r="AP7" i="19" s="1"/>
  <c r="S19" i="19" a="1"/>
  <c r="S19" i="19" s="1"/>
  <c r="R19" i="19" s="1"/>
  <c r="AA24" i="19" a="1"/>
  <c r="AA24" i="19" s="1"/>
  <c r="Z24" i="19" s="1"/>
  <c r="AI27" i="19" a="1"/>
  <c r="AI27" i="19" s="1"/>
  <c r="AH27" i="19" s="1"/>
  <c r="AU22" i="19" a="1"/>
  <c r="AU22" i="19" s="1"/>
  <c r="AT22" i="19" s="1"/>
  <c r="AU6" i="19" a="1"/>
  <c r="AU6" i="19" s="1"/>
  <c r="AT6" i="19" s="1"/>
  <c r="AU31" i="19" a="1"/>
  <c r="AU31" i="19" s="1"/>
  <c r="AT31" i="19" s="1"/>
  <c r="AA9" i="19" a="1"/>
  <c r="AA9" i="19" s="1"/>
  <c r="Z9" i="19" s="1"/>
  <c r="AE29" i="19" a="1"/>
  <c r="AE29" i="19" s="1"/>
  <c r="AD29" i="19" s="1"/>
  <c r="BK26" i="19" a="1"/>
  <c r="BK26" i="19" s="1"/>
  <c r="BJ26" i="19" s="1"/>
  <c r="AU7" i="19" a="1"/>
  <c r="AU7" i="19" s="1"/>
  <c r="AT7" i="19" s="1"/>
  <c r="AE32" i="19" a="1"/>
  <c r="AE32" i="19" s="1"/>
  <c r="AD32" i="19" s="1"/>
  <c r="AY33" i="19" a="1"/>
  <c r="AY33" i="19" s="1"/>
  <c r="AX33" i="19" s="1"/>
  <c r="BK33" i="19" a="1"/>
  <c r="BK33" i="19" s="1"/>
  <c r="BJ33" i="19" s="1"/>
  <c r="BC32" i="19" a="1"/>
  <c r="BC32" i="19" s="1"/>
  <c r="BB32" i="19" s="1"/>
  <c r="AQ24" i="19" a="1"/>
  <c r="AQ24" i="19" s="1"/>
  <c r="AP24" i="19" s="1"/>
  <c r="BK16" i="19" a="1"/>
  <c r="BK16" i="19" s="1"/>
  <c r="BJ16" i="19" s="1"/>
  <c r="BK30" i="19" a="1"/>
  <c r="BK30" i="19" s="1"/>
  <c r="BJ30" i="19" s="1"/>
  <c r="BK27" i="19" a="1"/>
  <c r="BK27" i="19" s="1"/>
  <c r="BJ27" i="19" s="1"/>
  <c r="BK35" i="19" a="1"/>
  <c r="BK35" i="19" s="1"/>
  <c r="BJ35" i="19" s="1"/>
  <c r="AU18" i="19" a="1"/>
  <c r="AU18" i="19" s="1"/>
  <c r="AT18" i="19" s="1"/>
  <c r="W27" i="19" a="1"/>
  <c r="W27" i="19" s="1"/>
  <c r="V27" i="19" s="1"/>
  <c r="W21" i="19" a="1"/>
  <c r="W21" i="19" s="1"/>
  <c r="V21" i="19" s="1"/>
  <c r="W29" i="19" a="1"/>
  <c r="W29" i="19" s="1"/>
  <c r="V29" i="19" s="1"/>
  <c r="W16" i="19" a="1"/>
  <c r="W16" i="19" s="1"/>
  <c r="V16" i="19" s="1"/>
  <c r="AA11" i="19" a="1"/>
  <c r="AA11" i="19" s="1"/>
  <c r="Z11" i="19" s="1"/>
  <c r="AA19" i="19" a="1"/>
  <c r="AA19" i="19" s="1"/>
  <c r="Z19" i="19" s="1"/>
  <c r="AA32" i="19" a="1"/>
  <c r="AA32" i="19" s="1"/>
  <c r="Z32" i="19" s="1"/>
  <c r="AA20" i="19" a="1"/>
  <c r="AA20" i="19" s="1"/>
  <c r="Z20" i="19" s="1"/>
  <c r="AA14" i="19" a="1"/>
  <c r="AA14" i="19" s="1"/>
  <c r="Z14" i="19" s="1"/>
  <c r="AI19" i="19" a="1"/>
  <c r="AI19" i="19" s="1"/>
  <c r="AH19" i="19" s="1"/>
  <c r="AI30" i="19" a="1"/>
  <c r="AI30" i="19" s="1"/>
  <c r="AH30" i="19" s="1"/>
  <c r="AI15" i="19" a="1"/>
  <c r="AI15" i="19" s="1"/>
  <c r="AH15" i="19" s="1"/>
  <c r="AI24" i="19" a="1"/>
  <c r="AI24" i="19" s="1"/>
  <c r="AH24" i="19" s="1"/>
  <c r="AI12" i="19" a="1"/>
  <c r="AI12" i="19" s="1"/>
  <c r="AH12" i="19" s="1"/>
  <c r="AI5" i="19" a="1"/>
  <c r="AI5" i="19" s="1"/>
  <c r="AH5" i="19" s="1"/>
  <c r="AI34" i="19" a="1"/>
  <c r="AI34" i="19" s="1"/>
  <c r="AH34" i="19" s="1"/>
  <c r="AI22" i="19" a="1"/>
  <c r="AI22" i="19" s="1"/>
  <c r="AH22" i="19" s="1"/>
  <c r="AM13" i="19" a="1"/>
  <c r="AM13" i="19" s="1"/>
  <c r="AL13" i="19" s="1"/>
  <c r="AM32" i="19" a="1"/>
  <c r="AM32" i="19" s="1"/>
  <c r="AL32" i="19" s="1"/>
  <c r="AM34" i="19" a="1"/>
  <c r="AM34" i="19" s="1"/>
  <c r="AL34" i="19" s="1"/>
  <c r="AM21" i="19" a="1"/>
  <c r="AM21" i="19" s="1"/>
  <c r="AL21" i="19" s="1"/>
  <c r="AM16" i="19" a="1"/>
  <c r="AM16" i="19" s="1"/>
  <c r="AL16" i="19" s="1"/>
  <c r="BG31" i="19" a="1"/>
  <c r="BG31" i="19" s="1"/>
  <c r="BF31" i="19" s="1"/>
  <c r="BG35" i="19" a="1"/>
  <c r="BG35" i="19" s="1"/>
  <c r="BF35" i="19" s="1"/>
  <c r="AE9" i="19" a="1"/>
  <c r="AE9" i="19" s="1"/>
  <c r="AD9" i="19" s="1"/>
  <c r="AE17" i="19" a="1"/>
  <c r="AE17" i="19" s="1"/>
  <c r="AD17" i="19" s="1"/>
  <c r="AY12" i="19" a="1"/>
  <c r="AY12" i="19" s="1"/>
  <c r="AX12" i="19" s="1"/>
  <c r="AY17" i="19" a="1"/>
  <c r="AY17" i="19" s="1"/>
  <c r="AX17" i="19" s="1"/>
  <c r="AY28" i="19" a="1"/>
  <c r="AY28" i="19" s="1"/>
  <c r="AX28" i="19" s="1"/>
  <c r="AM12" i="19" a="1"/>
  <c r="AM12" i="19" s="1"/>
  <c r="AL12" i="19" s="1"/>
  <c r="BG12" i="19" a="1"/>
  <c r="BG12" i="19" s="1"/>
  <c r="BF12" i="19" s="1"/>
  <c r="AI25" i="19" a="1"/>
  <c r="AI25" i="19" s="1"/>
  <c r="AH25" i="19" s="1"/>
  <c r="AY16" i="19" a="1"/>
  <c r="AY16" i="19" s="1"/>
  <c r="AX16" i="19" s="1"/>
  <c r="BG7" i="19" a="1"/>
  <c r="BG7" i="19" s="1"/>
  <c r="BF7" i="19" s="1"/>
  <c r="BG28" i="19" a="1"/>
  <c r="BG28" i="19" s="1"/>
  <c r="BF28" i="19" s="1"/>
  <c r="BG16" i="19" a="1"/>
  <c r="BG16" i="19" s="1"/>
  <c r="BF16" i="19" s="1"/>
  <c r="BG21" i="19" a="1"/>
  <c r="BG21" i="19" s="1"/>
  <c r="BF21" i="19" s="1"/>
  <c r="AE19" i="19" a="1"/>
  <c r="AE19" i="19" s="1"/>
  <c r="AD19" i="19" s="1"/>
  <c r="S27" i="19" a="1"/>
  <c r="S27" i="19" s="1"/>
  <c r="R27" i="19" s="1"/>
  <c r="W12" i="19" a="1"/>
  <c r="W12" i="19" s="1"/>
  <c r="V12" i="19" s="1"/>
  <c r="AI29" i="19" a="1"/>
  <c r="AI29" i="19" s="1"/>
  <c r="AH29" i="19" s="1"/>
  <c r="AA21" i="19" a="1"/>
  <c r="AA21" i="19" s="1"/>
  <c r="Z21" i="19" s="1"/>
  <c r="BC7" i="19" a="1"/>
  <c r="BC7" i="19" s="1"/>
  <c r="BB7" i="19" s="1"/>
  <c r="AQ31" i="19" a="1"/>
  <c r="AQ31" i="19" s="1"/>
  <c r="AP31" i="19" s="1"/>
  <c r="Q7" i="23" l="1" a="1"/>
  <c r="Q7" i="23" s="1"/>
  <c r="R7" i="23" s="1"/>
  <c r="T7" i="23" s="1"/>
  <c r="Q31" i="23" a="1"/>
  <c r="Q31" i="23" s="1"/>
  <c r="Q15" i="23" a="1"/>
  <c r="Q15" i="23" s="1"/>
  <c r="R15" i="23" s="1"/>
  <c r="T15" i="23" s="1"/>
  <c r="Q14" i="23" a="1"/>
  <c r="Q14" i="23" s="1"/>
  <c r="R14" i="23" s="1"/>
  <c r="T14" i="23" s="1"/>
  <c r="Q13" i="23" a="1"/>
  <c r="Q13" i="23" s="1"/>
  <c r="R13" i="23" s="1"/>
  <c r="T13" i="23" s="1"/>
  <c r="Q39" i="23" a="1"/>
  <c r="Q39" i="23" s="1"/>
  <c r="R39" i="23" s="1"/>
  <c r="Q23" i="23" a="1"/>
  <c r="Q23" i="23" s="1"/>
  <c r="R23" i="23" s="1"/>
  <c r="T23" i="23" s="1"/>
  <c r="Q30" i="23" a="1"/>
  <c r="Q30" i="23" s="1"/>
  <c r="Q29" i="23" a="1"/>
  <c r="Q29" i="23" s="1"/>
  <c r="R29" i="23" s="1"/>
  <c r="T29" i="23" s="1"/>
  <c r="Q32" i="23" a="1"/>
  <c r="Q32" i="23" s="1"/>
  <c r="R32" i="23" s="1"/>
  <c r="T32" i="23" s="1"/>
  <c r="Q16" i="23" a="1"/>
  <c r="Q16" i="23" s="1"/>
  <c r="R16" i="23" s="1"/>
  <c r="T16" i="23" s="1"/>
  <c r="Q27" i="23" a="1"/>
  <c r="Q27" i="23" s="1"/>
  <c r="R27" i="23" s="1"/>
  <c r="T27" i="23" s="1"/>
  <c r="Q11" i="23" a="1"/>
  <c r="Q11" i="23" s="1"/>
  <c r="R11" i="23" s="1"/>
  <c r="T11" i="23" s="1"/>
  <c r="Q26" i="23" a="1"/>
  <c r="Q26" i="23" s="1"/>
  <c r="R26" i="23" s="1"/>
  <c r="T26" i="23" s="1"/>
  <c r="Q10" i="23" a="1"/>
  <c r="Q10" i="23" s="1"/>
  <c r="R10" i="23" s="1"/>
  <c r="T10" i="23" s="1"/>
  <c r="Q25" i="23" a="1"/>
  <c r="Q25" i="23" s="1"/>
  <c r="R25" i="23" s="1"/>
  <c r="T25" i="23" s="1"/>
  <c r="Q9" i="23" a="1"/>
  <c r="Q9" i="23" s="1"/>
  <c r="R9" i="23" s="1"/>
  <c r="T9" i="23" s="1"/>
  <c r="Q28" i="23" a="1"/>
  <c r="Q28" i="23" s="1"/>
  <c r="R28" i="23" s="1"/>
  <c r="T28" i="23" s="1"/>
  <c r="Q12" i="23" a="1"/>
  <c r="Q12" i="23" s="1"/>
  <c r="R12" i="23" s="1"/>
  <c r="T12" i="23" s="1"/>
  <c r="Q38" i="23" a="1"/>
  <c r="Q38" i="23" s="1"/>
  <c r="R38" i="23" s="1"/>
  <c r="Q22" i="23" a="1"/>
  <c r="Q22" i="23" s="1"/>
  <c r="R22" i="23" s="1"/>
  <c r="T22" i="23" s="1"/>
  <c r="Q37" i="23" a="1"/>
  <c r="Q37" i="23" s="1"/>
  <c r="Q21" i="23" a="1"/>
  <c r="Q21" i="23" s="1"/>
  <c r="R21" i="23" s="1"/>
  <c r="T21" i="23" s="1"/>
  <c r="Q24" i="23" a="1"/>
  <c r="Q24" i="23" s="1"/>
  <c r="R24" i="23" s="1"/>
  <c r="T24" i="23" s="1"/>
  <c r="Q8" i="23" a="1"/>
  <c r="Q8" i="23" s="1"/>
  <c r="R8" i="23" s="1"/>
  <c r="T8" i="23" s="1"/>
  <c r="Q35" i="23" a="1"/>
  <c r="Q35" i="23" s="1"/>
  <c r="Q19" i="23" a="1"/>
  <c r="Q19" i="23" s="1"/>
  <c r="R19" i="23" s="1"/>
  <c r="T19" i="23" s="1"/>
  <c r="Q34" i="23" a="1"/>
  <c r="Q34" i="23" s="1"/>
  <c r="Q18" i="23" a="1"/>
  <c r="Q18" i="23" s="1"/>
  <c r="R18" i="23" s="1"/>
  <c r="T18" i="23" s="1"/>
  <c r="Q33" i="23" a="1"/>
  <c r="Q33" i="23" s="1"/>
  <c r="Q17" i="23" a="1"/>
  <c r="Q17" i="23" s="1"/>
  <c r="R17" i="23" s="1"/>
  <c r="T17" i="23" s="1"/>
  <c r="Q36" i="23" a="1"/>
  <c r="Q36" i="23" s="1"/>
  <c r="R36" i="23" s="1"/>
  <c r="Q20" i="23" a="1"/>
  <c r="Q20" i="23" s="1"/>
  <c r="R20" i="23" s="1"/>
  <c r="T20" i="23" s="1"/>
  <c r="R34" i="23" l="1"/>
  <c r="T34" i="23" s="1"/>
  <c r="R35" i="23"/>
  <c r="T35" i="23" s="1"/>
  <c r="R31" i="23"/>
  <c r="T31" i="23" s="1"/>
  <c r="R37" i="23"/>
  <c r="T37" i="23" s="1"/>
  <c r="T36" i="23"/>
  <c r="R30" i="23"/>
  <c r="T30" i="23" s="1"/>
  <c r="R33" i="23"/>
  <c r="T33" i="23" s="1"/>
  <c r="T39" i="23"/>
  <c r="T38" i="23"/>
  <c r="P11" i="23"/>
  <c r="P9" i="23"/>
  <c r="P7" i="23"/>
  <c r="P10" i="23"/>
  <c r="P21" i="23"/>
  <c r="P23" i="23"/>
  <c r="P25" i="23"/>
  <c r="P32" i="23"/>
  <c r="P30" i="23"/>
  <c r="P36" i="23"/>
  <c r="P18" i="23"/>
  <c r="P37" i="23"/>
  <c r="P39" i="23"/>
  <c r="P26" i="23"/>
  <c r="P13" i="23"/>
  <c r="P15" i="23"/>
  <c r="P33" i="23"/>
  <c r="P19" i="23"/>
  <c r="P8" i="23"/>
  <c r="P22" i="23"/>
  <c r="P12" i="23"/>
  <c r="P27" i="23"/>
  <c r="P29" i="23"/>
  <c r="P31" i="23"/>
  <c r="P34" i="23"/>
  <c r="P35" i="23"/>
  <c r="P24" i="23"/>
  <c r="P38" i="23"/>
  <c r="P28" i="23"/>
  <c r="P16" i="23"/>
  <c r="P14" i="23"/>
  <c r="P20" i="23"/>
  <c r="P17" i="23"/>
  <c r="X16" i="23" l="1"/>
  <c r="X32" i="23"/>
  <c r="X17" i="23"/>
  <c r="X33" i="23"/>
  <c r="X18" i="23"/>
  <c r="X34" i="23"/>
  <c r="X15" i="23"/>
  <c r="X31" i="23"/>
  <c r="X24" i="23"/>
  <c r="X10" i="23"/>
  <c r="X7" i="23"/>
  <c r="X39" i="23"/>
  <c r="X12" i="23"/>
  <c r="X13" i="23"/>
  <c r="X14" i="23"/>
  <c r="X11" i="23"/>
  <c r="X20" i="23"/>
  <c r="X36" i="23"/>
  <c r="X21" i="23"/>
  <c r="X37" i="23"/>
  <c r="X22" i="23"/>
  <c r="X38" i="23"/>
  <c r="X19" i="23"/>
  <c r="X35" i="23"/>
  <c r="X8" i="23"/>
  <c r="X9" i="23"/>
  <c r="X25" i="23"/>
  <c r="X26" i="23"/>
  <c r="X23" i="23"/>
  <c r="X28" i="23"/>
  <c r="X29" i="23"/>
  <c r="X30" i="23"/>
  <c r="X27" i="23"/>
  <c r="W30" i="23" l="1" a="1"/>
  <c r="W30" i="23" s="1"/>
  <c r="V30" i="23" s="1"/>
  <c r="W26" i="23" a="1"/>
  <c r="W26" i="23" s="1"/>
  <c r="V26" i="23" s="1"/>
  <c r="W12" i="23" a="1"/>
  <c r="W12" i="23" s="1"/>
  <c r="V12" i="23" s="1"/>
  <c r="W8" i="23" a="1"/>
  <c r="W8" i="23" s="1"/>
  <c r="V8" i="23" s="1"/>
  <c r="W9" i="23" a="1"/>
  <c r="W9" i="23" s="1"/>
  <c r="V9" i="23" s="1"/>
  <c r="W31" i="23" a="1"/>
  <c r="W31" i="23" s="1"/>
  <c r="V31" i="23" s="1"/>
  <c r="W21" i="23" a="1"/>
  <c r="W21" i="23" s="1"/>
  <c r="V21" i="23" s="1"/>
  <c r="W35" i="23" a="1"/>
  <c r="W35" i="23" s="1"/>
  <c r="V35" i="23" s="1"/>
  <c r="W37" i="23" a="1"/>
  <c r="W37" i="23" s="1"/>
  <c r="V37" i="23" s="1"/>
  <c r="W39" i="23" a="1"/>
  <c r="W39" i="23" s="1"/>
  <c r="V39" i="23" s="1"/>
  <c r="W23" i="23" a="1"/>
  <c r="W23" i="23" s="1"/>
  <c r="V23" i="23" s="1"/>
  <c r="W17" i="23" a="1"/>
  <c r="W17" i="23" s="1"/>
  <c r="V17" i="23" s="1"/>
  <c r="W13" i="23" a="1"/>
  <c r="W13" i="23" s="1"/>
  <c r="V13" i="23" s="1"/>
  <c r="W29" i="23" a="1"/>
  <c r="W29" i="23" s="1"/>
  <c r="V29" i="23" s="1"/>
  <c r="W25" i="23" a="1"/>
  <c r="W25" i="23" s="1"/>
  <c r="V25" i="23" s="1"/>
  <c r="W14" i="23" a="1"/>
  <c r="W14" i="23" s="1"/>
  <c r="V14" i="23" s="1"/>
  <c r="W16" i="23" a="1"/>
  <c r="W16" i="23" s="1"/>
  <c r="V16" i="23" s="1"/>
  <c r="W15" i="23" a="1"/>
  <c r="W15" i="23" s="1"/>
  <c r="V15" i="23" s="1"/>
  <c r="W7" i="23" a="1"/>
  <c r="W7" i="23" s="1"/>
  <c r="V7" i="23" s="1"/>
  <c r="W33" i="23" a="1"/>
  <c r="W33" i="23" s="1"/>
  <c r="V33" i="23" s="1"/>
  <c r="W27" i="23" a="1"/>
  <c r="W27" i="23" s="1"/>
  <c r="V27" i="23" s="1"/>
  <c r="W32" i="23" a="1"/>
  <c r="W32" i="23" s="1"/>
  <c r="V32" i="23" s="1"/>
  <c r="W20" i="23" a="1"/>
  <c r="W20" i="23" s="1"/>
  <c r="V20" i="23" s="1"/>
  <c r="W22" i="23" a="1"/>
  <c r="W22" i="23" s="1"/>
  <c r="V22" i="23" s="1"/>
  <c r="W28" i="23" a="1"/>
  <c r="W28" i="23" s="1"/>
  <c r="V28" i="23" s="1"/>
  <c r="W38" i="23" a="1"/>
  <c r="W38" i="23" s="1"/>
  <c r="V38" i="23" s="1"/>
  <c r="W10" i="23" a="1"/>
  <c r="W10" i="23" s="1"/>
  <c r="V10" i="23" s="1"/>
  <c r="W19" i="23" a="1"/>
  <c r="W19" i="23" s="1"/>
  <c r="V19" i="23" s="1"/>
  <c r="W18" i="23" a="1"/>
  <c r="W18" i="23" s="1"/>
  <c r="V18" i="23" s="1"/>
  <c r="W24" i="23" a="1"/>
  <c r="W24" i="23" s="1"/>
  <c r="V24" i="23" s="1"/>
  <c r="W36" i="23" a="1"/>
  <c r="W36" i="23" s="1"/>
  <c r="V36" i="23" s="1"/>
  <c r="W11" i="23" a="1"/>
  <c r="W11" i="23" s="1"/>
  <c r="V11" i="23" s="1"/>
  <c r="W34" i="23" a="1"/>
  <c r="W34" i="23" s="1"/>
  <c r="V34" i="23" s="1"/>
</calcChain>
</file>

<file path=xl/sharedStrings.xml><?xml version="1.0" encoding="utf-8"?>
<sst xmlns="http://schemas.openxmlformats.org/spreadsheetml/2006/main" count="1526" uniqueCount="791">
  <si>
    <t>ID_RSSD</t>
  </si>
  <si>
    <t>RISKM350</t>
  </si>
  <si>
    <t>RISKM362</t>
  </si>
  <si>
    <t>RISKM370</t>
  </si>
  <si>
    <t>RISKM376</t>
  </si>
  <si>
    <t>RISKM390</t>
  </si>
  <si>
    <t>RISKM405</t>
  </si>
  <si>
    <t>RISKM408</t>
  </si>
  <si>
    <t>RISKM411</t>
  </si>
  <si>
    <t>RISKN255</t>
  </si>
  <si>
    <t>RISKG506</t>
  </si>
  <si>
    <t>RISKM422</t>
  </si>
  <si>
    <t>RISKM426</t>
  </si>
  <si>
    <t>Size</t>
  </si>
  <si>
    <t>Interconnectedness</t>
  </si>
  <si>
    <t>Complexity</t>
  </si>
  <si>
    <t>Cross-Jurisdictional Activity</t>
  </si>
  <si>
    <t>Total Exposures</t>
  </si>
  <si>
    <t>General Bank Data</t>
  </si>
  <si>
    <t>Substitutability</t>
  </si>
  <si>
    <t>Trading and AFS Securities</t>
  </si>
  <si>
    <t>Level 3 Assets</t>
  </si>
  <si>
    <t>Cross-Jurisdictional Claims</t>
  </si>
  <si>
    <t>OTC Derivatives</t>
  </si>
  <si>
    <t>Assets Under Custody</t>
  </si>
  <si>
    <t>Underwriting</t>
  </si>
  <si>
    <t>Response</t>
  </si>
  <si>
    <t>Checks</t>
  </si>
  <si>
    <t>(1) Country code</t>
  </si>
  <si>
    <t>1.a.(1)</t>
  </si>
  <si>
    <t>(2) Bank name</t>
  </si>
  <si>
    <t>1.a.(2)</t>
  </si>
  <si>
    <t>1.a.(3)</t>
  </si>
  <si>
    <t>b. General Information provided by the reporting institution:</t>
  </si>
  <si>
    <t>1.b.(1)</t>
  </si>
  <si>
    <t>1.b.(2)</t>
  </si>
  <si>
    <t>Comments</t>
  </si>
  <si>
    <t>1.b.(3)</t>
  </si>
  <si>
    <t>1.b.(4)</t>
  </si>
  <si>
    <t>1.b.(5)</t>
  </si>
  <si>
    <t>Size Indicator</t>
  </si>
  <si>
    <t>Remarks</t>
  </si>
  <si>
    <t>2.a.</t>
  </si>
  <si>
    <t>b. Gross value of securities financing transactions (SFTs)</t>
  </si>
  <si>
    <t>2.b.</t>
  </si>
  <si>
    <t>c. Counterparty exposure of SFTs</t>
  </si>
  <si>
    <t>2.c.</t>
  </si>
  <si>
    <t>d. Other assets</t>
  </si>
  <si>
    <t>2.d.</t>
  </si>
  <si>
    <t>(1) Securities received in SFTs that are recognised as assets</t>
  </si>
  <si>
    <t>2.d.(1)</t>
  </si>
  <si>
    <t>2.e.</t>
  </si>
  <si>
    <t>2.f.</t>
  </si>
  <si>
    <t>2.g.</t>
  </si>
  <si>
    <t>(1) Unconditionally cancellable credit card commitments</t>
  </si>
  <si>
    <t>2.g.(1)</t>
  </si>
  <si>
    <t xml:space="preserve">(2) Other unconditionally cancellable commitments </t>
  </si>
  <si>
    <t>2.g.(2)</t>
  </si>
  <si>
    <t>2.h.</t>
  </si>
  <si>
    <t>2.i.</t>
  </si>
  <si>
    <t>2.j.</t>
  </si>
  <si>
    <t>2.k.</t>
  </si>
  <si>
    <t>l. Entities consolidated for accounting purposes but not for risk-based regulatory purposes:</t>
  </si>
  <si>
    <t>2.l.(1)</t>
  </si>
  <si>
    <t>(2) Potential future exposure of derivatives contracts</t>
  </si>
  <si>
    <t>2.l.(2)</t>
  </si>
  <si>
    <t>(3) Unconditionally cancellable commitments</t>
  </si>
  <si>
    <t>2.l.(3)</t>
  </si>
  <si>
    <t>2.l.(4)</t>
  </si>
  <si>
    <t>(5) Investment value in the consolidated entities</t>
  </si>
  <si>
    <t>2.l.(5)</t>
  </si>
  <si>
    <t>m. Regulatory adjustments</t>
  </si>
  <si>
    <t>2.m.</t>
  </si>
  <si>
    <t>Interconnectedness Indicators</t>
  </si>
  <si>
    <t>a. Funds deposited with or lent to other financial institutions</t>
  </si>
  <si>
    <t>3.a.</t>
  </si>
  <si>
    <t xml:space="preserve">(1) Certificates of deposit </t>
  </si>
  <si>
    <t>3.a.(1)</t>
  </si>
  <si>
    <t>3.b.</t>
  </si>
  <si>
    <t>c. Holdings of securities issued by other financial institutions:</t>
  </si>
  <si>
    <t>(1) Secured debt securities</t>
  </si>
  <si>
    <t>3.c.(1)</t>
  </si>
  <si>
    <t>(2) Senior unsecured debt securities</t>
  </si>
  <si>
    <t>3.c.(2)</t>
  </si>
  <si>
    <t>(3) Subordinated debt securities</t>
  </si>
  <si>
    <t>3.c.(3)</t>
  </si>
  <si>
    <t xml:space="preserve">(4) Commercial paper </t>
  </si>
  <si>
    <t>3.c.(4)</t>
  </si>
  <si>
    <t>3.c.(5)</t>
  </si>
  <si>
    <t>3.c.(6)</t>
  </si>
  <si>
    <t>d. Net positive current exposure of securities financing transactions with other financial institutions</t>
  </si>
  <si>
    <t>3.d.</t>
  </si>
  <si>
    <t>3.e.(1)</t>
  </si>
  <si>
    <t>(2) Potential future exposure</t>
  </si>
  <si>
    <t>3.e.(2)</t>
  </si>
  <si>
    <t>f. Intra-financial system assets indicator (sum of items 3.a, 3.b through 3.c.(5), 3.d, 3.e.(1), and 3.e.(2), minus 3.c.(6))</t>
  </si>
  <si>
    <t>3.f.</t>
  </si>
  <si>
    <t>a. Deposits due to depository institutions</t>
  </si>
  <si>
    <t>4.a.</t>
  </si>
  <si>
    <t>b. Deposits due to non-depository financial institutions</t>
  </si>
  <si>
    <t>4.b.</t>
  </si>
  <si>
    <t>4.c.</t>
  </si>
  <si>
    <t>d. Net negative current exposure of securities financing transactions with other financial institutions</t>
  </si>
  <si>
    <t>4.d.</t>
  </si>
  <si>
    <t>4.e.(1)</t>
  </si>
  <si>
    <t>4.e.(2)</t>
  </si>
  <si>
    <t>a. Secured debt securities</t>
  </si>
  <si>
    <t>5.a.</t>
  </si>
  <si>
    <t>b. Senior unsecured debt securities</t>
  </si>
  <si>
    <t>5.b.</t>
  </si>
  <si>
    <t>c. Subordinated debt securities</t>
  </si>
  <si>
    <t>5.c.</t>
  </si>
  <si>
    <t>d. Commercial paper</t>
  </si>
  <si>
    <t>5.d.</t>
  </si>
  <si>
    <t>e. Certificates of deposit</t>
  </si>
  <si>
    <t>5.e.</t>
  </si>
  <si>
    <t>f. Common equity</t>
  </si>
  <si>
    <t>5.f.</t>
  </si>
  <si>
    <t>g. Preferred shares and any other forms of subordinated funding not captured in item 5.c.</t>
  </si>
  <si>
    <t>5.g.</t>
  </si>
  <si>
    <t>Substitutability/Financial Institution Infrastructure Indicators</t>
  </si>
  <si>
    <t>Reported in</t>
  </si>
  <si>
    <t>a. Australian dollars</t>
  </si>
  <si>
    <t>AUD</t>
  </si>
  <si>
    <t>6.a.</t>
  </si>
  <si>
    <t>b. Brazilian real</t>
  </si>
  <si>
    <t>BRL</t>
  </si>
  <si>
    <t>6.b.</t>
  </si>
  <si>
    <t>c. Canadian dollars</t>
  </si>
  <si>
    <t>CAD</t>
  </si>
  <si>
    <t>6.c.</t>
  </si>
  <si>
    <t>d. Swiss francs</t>
  </si>
  <si>
    <t>CHF</t>
  </si>
  <si>
    <t>6.d.</t>
  </si>
  <si>
    <t>e. Chinese yuan</t>
  </si>
  <si>
    <t>CNY</t>
  </si>
  <si>
    <t>6.e.</t>
  </si>
  <si>
    <t>f. Euros</t>
  </si>
  <si>
    <t>EUR</t>
  </si>
  <si>
    <t>6.f.</t>
  </si>
  <si>
    <t>g. British pounds</t>
  </si>
  <si>
    <t>GBP</t>
  </si>
  <si>
    <t>6.g.</t>
  </si>
  <si>
    <t>h. Hong Kong dollars</t>
  </si>
  <si>
    <t>HKD</t>
  </si>
  <si>
    <t>6.h.</t>
  </si>
  <si>
    <t>i. Indian rupee</t>
  </si>
  <si>
    <t>INR</t>
  </si>
  <si>
    <t>6.i.</t>
  </si>
  <si>
    <t>j. Japanese yen</t>
  </si>
  <si>
    <t>JPY</t>
  </si>
  <si>
    <t>6.j.</t>
  </si>
  <si>
    <t>k. Swedish krona</t>
  </si>
  <si>
    <t>SEK</t>
  </si>
  <si>
    <t>6.k.</t>
  </si>
  <si>
    <t>l. United States dollars</t>
  </si>
  <si>
    <t>USD</t>
  </si>
  <si>
    <t>6.l.</t>
  </si>
  <si>
    <t>a. Equity underwriting activity</t>
  </si>
  <si>
    <t>8.a.</t>
  </si>
  <si>
    <t>b. Debt underwriting activity</t>
  </si>
  <si>
    <t>8.b.</t>
  </si>
  <si>
    <t>Complexity indicators</t>
  </si>
  <si>
    <t>a. OTC derivatives cleared through a central counterparty</t>
  </si>
  <si>
    <t>9.a.</t>
  </si>
  <si>
    <t>b. OTC derivatives settled bilaterally</t>
  </si>
  <si>
    <t>9.b.</t>
  </si>
  <si>
    <t>c. OTC derivatives indicator (sum of items 9.a and 9.b)</t>
  </si>
  <si>
    <t>9.c.</t>
  </si>
  <si>
    <t>a. Held-for-trading securities (HFT)</t>
  </si>
  <si>
    <t>10.a.</t>
  </si>
  <si>
    <t>b. Available-for-sale securities (AFS)</t>
  </si>
  <si>
    <t>10.b.</t>
  </si>
  <si>
    <t>c. Trading and AFS securities that meet the definition of Level 1 assets</t>
  </si>
  <si>
    <t xml:space="preserve">10.c. </t>
  </si>
  <si>
    <t>d. Trading and AFS securities that meet the definition of Level 2 assets, with haircuts</t>
  </si>
  <si>
    <t>10.d.</t>
  </si>
  <si>
    <t>11.a.</t>
  </si>
  <si>
    <t>Cross-Jurisdictional Activity Indicators</t>
  </si>
  <si>
    <t>a. Foreign liabilities (excluding derivatives and local liabilities in local currency)</t>
  </si>
  <si>
    <t>13.a.</t>
  </si>
  <si>
    <t>(1) Any foreign liabilities to related offices included in item 13.a.</t>
  </si>
  <si>
    <t>13.a.(1)</t>
  </si>
  <si>
    <t>b. Local liabilities in local currency (excluding derivatives activity)</t>
  </si>
  <si>
    <t>13.b.</t>
  </si>
  <si>
    <t>a. Total liabilities</t>
  </si>
  <si>
    <t>14.a.</t>
  </si>
  <si>
    <t>b. Retail funding</t>
  </si>
  <si>
    <t>14.b.</t>
  </si>
  <si>
    <t>c. Wholesale funding dependence ratio (the difference between items 14.a and 14.b, divided by 14.a)</t>
  </si>
  <si>
    <t>14.c.</t>
  </si>
  <si>
    <t>14.d.</t>
  </si>
  <si>
    <t>e. Total net revenue</t>
  </si>
  <si>
    <t>14.e.</t>
  </si>
  <si>
    <t>14.f.</t>
  </si>
  <si>
    <t>g. Gross value of cash lent and gross fair value of securities lent in SFTs</t>
  </si>
  <si>
    <t>14.g.</t>
  </si>
  <si>
    <t>h. Gross value of cash borrowed and gross fair value of securities borrowed in SFTs</t>
  </si>
  <si>
    <t>14.h.</t>
  </si>
  <si>
    <t>i. Gross positive fair value of over-the-counter (OTC) derivatives transactions</t>
  </si>
  <si>
    <t>Amount in single units</t>
  </si>
  <si>
    <t xml:space="preserve">k. Number of jurisdictions </t>
  </si>
  <si>
    <t>14.k.</t>
  </si>
  <si>
    <t>15.a.</t>
  </si>
  <si>
    <t>15.b.</t>
  </si>
  <si>
    <t>15.c.</t>
  </si>
  <si>
    <t>15.d.</t>
  </si>
  <si>
    <t>15.e.</t>
  </si>
  <si>
    <t>(1) Mexican pesos</t>
  </si>
  <si>
    <t>MXN</t>
  </si>
  <si>
    <t>(2) New Zealand dollars</t>
  </si>
  <si>
    <t>NZD</t>
  </si>
  <si>
    <t>(3) Russian rubles</t>
  </si>
  <si>
    <t>RUB</t>
  </si>
  <si>
    <t>16.a.</t>
  </si>
  <si>
    <t>16.b.</t>
  </si>
  <si>
    <t>16.c.</t>
  </si>
  <si>
    <t>16.d.</t>
  </si>
  <si>
    <t>16.e.</t>
  </si>
  <si>
    <t>16.f.</t>
  </si>
  <si>
    <t>16.g.</t>
  </si>
  <si>
    <t>k. Mexican pesos</t>
  </si>
  <si>
    <t>l. New Zealand dollars</t>
  </si>
  <si>
    <t>m. Russian rubles</t>
  </si>
  <si>
    <t>n. Swedish krona</t>
  </si>
  <si>
    <t>o. United States dollars</t>
  </si>
  <si>
    <t>Checks Summary</t>
  </si>
  <si>
    <t>Indicator value</t>
  </si>
  <si>
    <t>in million EUR</t>
  </si>
  <si>
    <t>US</t>
  </si>
  <si>
    <t>US GAAP</t>
  </si>
  <si>
    <t>RISKM334</t>
  </si>
  <si>
    <t>RISKN507</t>
  </si>
  <si>
    <t>RISKM335</t>
  </si>
  <si>
    <t>RISKM339</t>
  </si>
  <si>
    <t>RISKM342</t>
  </si>
  <si>
    <t>RISKM343</t>
  </si>
  <si>
    <t>RISKM344</t>
  </si>
  <si>
    <t>RISKM718</t>
  </si>
  <si>
    <t>RISKM346</t>
  </si>
  <si>
    <t>RISKM347</t>
  </si>
  <si>
    <t>RISKM349</t>
  </si>
  <si>
    <t>RISKM351</t>
  </si>
  <si>
    <t>RISKM355</t>
  </si>
  <si>
    <t>RISKJ458</t>
  </si>
  <si>
    <t>RISKM352</t>
  </si>
  <si>
    <t>RISKM353</t>
  </si>
  <si>
    <t>RISKM354</t>
  </si>
  <si>
    <t>RISKM345</t>
  </si>
  <si>
    <t>RISKM356</t>
  </si>
  <si>
    <t>RISKM357</t>
  </si>
  <si>
    <t>RISKM358</t>
  </si>
  <si>
    <t>RISKM359</t>
  </si>
  <si>
    <t>RISKM360</t>
  </si>
  <si>
    <t>RISKM363</t>
  </si>
  <si>
    <t>RISKM364</t>
  </si>
  <si>
    <t>RISKM365</t>
  </si>
  <si>
    <t>RISKM366</t>
  </si>
  <si>
    <t>RISKM367</t>
  </si>
  <si>
    <t>RISKM368</t>
  </si>
  <si>
    <t>RISKM371</t>
  </si>
  <si>
    <t>RISKM372</t>
  </si>
  <si>
    <t>RISKM373</t>
  </si>
  <si>
    <t>RISK2309</t>
  </si>
  <si>
    <t>RISKM374</t>
  </si>
  <si>
    <t>RISKM375</t>
  </si>
  <si>
    <t>RISKN509</t>
  </si>
  <si>
    <t>RISKM388</t>
  </si>
  <si>
    <t>RISKM406</t>
  </si>
  <si>
    <t>RISKM407</t>
  </si>
  <si>
    <t>RISKM409</t>
  </si>
  <si>
    <t>RISKM410</t>
  </si>
  <si>
    <t>RISKM412</t>
  </si>
  <si>
    <t>RISK1773</t>
  </si>
  <si>
    <t>RISKN510</t>
  </si>
  <si>
    <t>RISKN511</t>
  </si>
  <si>
    <t>RISK1754</t>
  </si>
  <si>
    <t>RISKM423</t>
  </si>
  <si>
    <t>RISKM424</t>
  </si>
  <si>
    <t>RISKM425</t>
  </si>
  <si>
    <t>RISK2948</t>
  </si>
  <si>
    <t>RISKM427</t>
  </si>
  <si>
    <t>RISKM429</t>
  </si>
  <si>
    <t>RISKM428</t>
  </si>
  <si>
    <t>RISKM430</t>
  </si>
  <si>
    <t>RISKM432</t>
  </si>
  <si>
    <t>RISKM433</t>
  </si>
  <si>
    <t>RISKM434</t>
  </si>
  <si>
    <t>RISKM435</t>
  </si>
  <si>
    <t>RISKM437</t>
  </si>
  <si>
    <t>Amount in specified currency</t>
  </si>
  <si>
    <t>in reporting currency</t>
  </si>
  <si>
    <t>RISK2170</t>
  </si>
  <si>
    <t>RISKB989</t>
  </si>
  <si>
    <t>RISKM336</t>
  </si>
  <si>
    <t>RISKM337</t>
  </si>
  <si>
    <t>RISKM338</t>
  </si>
  <si>
    <t>RISKM340</t>
  </si>
  <si>
    <t>RISKM341</t>
  </si>
  <si>
    <t>RISKM348</t>
  </si>
  <si>
    <t>RISKM361</t>
  </si>
  <si>
    <t>RISKM369</t>
  </si>
  <si>
    <t>RISKM377</t>
  </si>
  <si>
    <t>RISKM378</t>
  </si>
  <si>
    <t>RISKM379</t>
  </si>
  <si>
    <t>RISKM380</t>
  </si>
  <si>
    <t>RISKM381</t>
  </si>
  <si>
    <t>RISKM382</t>
  </si>
  <si>
    <t>RISKM383</t>
  </si>
  <si>
    <t>RISKM384</t>
  </si>
  <si>
    <t>RISKM385</t>
  </si>
  <si>
    <t>RISKM386</t>
  </si>
  <si>
    <t>RISKM387</t>
  </si>
  <si>
    <t>RISKM389</t>
  </si>
  <si>
    <t>RISKM413</t>
  </si>
  <si>
    <t>RISKM414</t>
  </si>
  <si>
    <t>RISKM415</t>
  </si>
  <si>
    <t>RISKM416</t>
  </si>
  <si>
    <t>RISKM417</t>
  </si>
  <si>
    <t>RISKM418</t>
  </si>
  <si>
    <t>RISKM419</t>
  </si>
  <si>
    <t>RISKM420</t>
  </si>
  <si>
    <t>RISKM421</t>
  </si>
  <si>
    <t>RISKM431</t>
  </si>
  <si>
    <t>RISKM436</t>
  </si>
  <si>
    <t>RISKC490</t>
  </si>
  <si>
    <t>RISKJ196</t>
  </si>
  <si>
    <t>RISK8901</t>
  </si>
  <si>
    <t>RISK8902</t>
  </si>
  <si>
    <t>RISK9116</t>
  </si>
  <si>
    <t>RISK4086</t>
  </si>
  <si>
    <t>RISKN506</t>
  </si>
  <si>
    <t>RISKN508</t>
  </si>
  <si>
    <t>Intra-Financial System Assets</t>
  </si>
  <si>
    <t>Intra-Financial System Liabilities</t>
  </si>
  <si>
    <t>Securities Outstanding</t>
  </si>
  <si>
    <t>(millions of USD)</t>
  </si>
  <si>
    <t>Institution Name</t>
  </si>
  <si>
    <t>2014 Scores</t>
  </si>
  <si>
    <t>End-2014 G-SIB Assessment Exercise</t>
  </si>
  <si>
    <t>v4.1.0</t>
  </si>
  <si>
    <t>Section 1 - General Information</t>
  </si>
  <si>
    <t>GSIB</t>
  </si>
  <si>
    <t>a. General information provided by the relevant supervisory authority:</t>
    <phoneticPr fontId="0" type="noConversion"/>
  </si>
  <si>
    <t>(3) Reporting date (yyyy-mm-dd)</t>
  </si>
  <si>
    <t>(4) Reporting currency</t>
  </si>
  <si>
    <t>1.a.(4)</t>
  </si>
  <si>
    <t>(5) Euro conversion rate</t>
  </si>
  <si>
    <t>1.a.(5)</t>
  </si>
  <si>
    <t>(6) Submission date (yyyy-mm-dd)</t>
  </si>
  <si>
    <t>1.a.(6)</t>
  </si>
  <si>
    <t>(1) Reporting unit</t>
  </si>
  <si>
    <t>(2) Accounting standard</t>
  </si>
  <si>
    <t>Supervisor Comments</t>
  </si>
  <si>
    <t>(3) Date of public disclosure (yyyy-mm-dd)</t>
  </si>
  <si>
    <t>(4) Language of public disclosure</t>
  </si>
  <si>
    <t>English</t>
  </si>
  <si>
    <t>(5) Web address of public disclosure</t>
  </si>
  <si>
    <t>http://www.ffiec.gov/nicpubweb/nicweb/nichome.aspx</t>
  </si>
  <si>
    <t>Section 2 - Total Exposures</t>
  </si>
  <si>
    <t>a. Counterparty exposure of derivatives contracts</t>
  </si>
  <si>
    <t>e. Total on-balance-sheet items (sum of items 2.a, 2.b, 2.c, and 2.d, minus 2.d.(1))</t>
  </si>
  <si>
    <t>f. Potential future exposure of derivative contracts</t>
  </si>
  <si>
    <t>g. Notional amount of off-balance-sheet items with a 0% credit conversion factor</t>
  </si>
  <si>
    <t>h. Notional amount of off-balance-sheet items with a 20% credit conversion factor</t>
  </si>
  <si>
    <t>i. Notional amount of off-balance-sheet items with a 50% credit conversion factor</t>
  </si>
  <si>
    <t>j. Notional amount of off-balance-sheet items with a 100% credit conversion factor</t>
  </si>
  <si>
    <t>k. Total off-balance-sheet items (sum of items 2.f, 2.g, and 2.h through 2.j, minus 0.9 times the sum of items 2.g.(1) and 2.g.(2))</t>
  </si>
  <si>
    <t>(1) On-balance-sheet assets</t>
  </si>
  <si>
    <t>(4) Other off-balance-sheet commitments</t>
  </si>
  <si>
    <t>n. Total exposures indicator (sum of items 2.e, 2.k, 2.l.(1), 2.l.(2), 0.1 times 2.l.(3), 2.l.(4), minus the sum of items 2.l.(5) and 2.m)</t>
    <phoneticPr fontId="0" type="noConversion"/>
  </si>
  <si>
    <t>2.n.</t>
    <phoneticPr fontId="0" type="noConversion"/>
  </si>
  <si>
    <t>Section 3 - Intra-Financial System Assets</t>
  </si>
  <si>
    <t>b. Unused portion of committed lines extended to other financial institutions</t>
  </si>
  <si>
    <t>(5) Equity securities</t>
  </si>
  <si>
    <t>(6) Offsetting short positions in relation to the specific equity securities included in item 3.c.(5)</t>
  </si>
  <si>
    <t>e. Over-the-counter derivatives with other financial institutions that have a net positive fair value:</t>
  </si>
  <si>
    <t>(1) Net positive fair value</t>
  </si>
  <si>
    <t>Section 4 - Intra-Financial System Liabilities</t>
  </si>
  <si>
    <t>c. Unused portion of committed lines obtained from other financial institutions</t>
  </si>
  <si>
    <t>e. Over-the-counter derivatives with other financial institutions that have a net negative fair value:</t>
  </si>
  <si>
    <t>(1) Net negative fair value</t>
  </si>
  <si>
    <t>f. Intra-financial system liabilities indicator (sum of items 4.a through 4.e.(2))</t>
    <phoneticPr fontId="0" type="noConversion"/>
  </si>
  <si>
    <t>4.f.</t>
    <phoneticPr fontId="0" type="noConversion"/>
  </si>
  <si>
    <t>Section 5 - Securities Outstanding</t>
  </si>
  <si>
    <t>h. Securities outstanding indicator (sum of items 5.a through 5.g)</t>
    <phoneticPr fontId="0" type="noConversion"/>
  </si>
  <si>
    <t>5.h.</t>
    <phoneticPr fontId="0" type="noConversion"/>
  </si>
  <si>
    <t>Section 6 - Payments made in the reporting year (excluding intragroup payments)</t>
  </si>
  <si>
    <t>m. Payments activity indicator (sum of items 6.a through 6.l)</t>
    <phoneticPr fontId="0" type="noConversion"/>
  </si>
  <si>
    <t>6.m.</t>
    <phoneticPr fontId="0" type="noConversion"/>
  </si>
  <si>
    <t>Section 7 - Assets Under Custody</t>
  </si>
  <si>
    <t>a. Assets under custody indicator</t>
    <phoneticPr fontId="0" type="noConversion"/>
  </si>
  <si>
    <t>7.a.</t>
    <phoneticPr fontId="0" type="noConversion"/>
  </si>
  <si>
    <t>Section 8 - Underwritten Transactions in Debt and Equity Markets</t>
  </si>
  <si>
    <t>c. Underwriting activity indicator (sum of items 8.a and 8.b)</t>
    <phoneticPr fontId="0" type="noConversion"/>
  </si>
  <si>
    <t>8.c.</t>
    <phoneticPr fontId="0" type="noConversion"/>
  </si>
  <si>
    <t>Section 9 - Notional Amount of Over-the-Counter (OTC) Derivatives</t>
  </si>
  <si>
    <t>Section 10 - Trading and Available-for-Sale Securities</t>
  </si>
  <si>
    <t>e. Trading and AFS securities indicator (sum of items 10.a and 10.b, minus the sum of 10.c and 10.d)</t>
    <phoneticPr fontId="0" type="noConversion"/>
  </si>
  <si>
    <t>10.e.</t>
    <phoneticPr fontId="0" type="noConversion"/>
  </si>
  <si>
    <t>Section 11 - Level 3 Assets</t>
  </si>
  <si>
    <t>a. Level 3 assets indicator (Assets valued using Level 3 measurement inputs)</t>
  </si>
  <si>
    <t>Section 12 - Cross-Jurisdictional Claims</t>
  </si>
  <si>
    <t>a. Cross-jurisdictional claims indicator (Total foreign claims on an ultimate risk basis)</t>
  </si>
  <si>
    <t>12.a.</t>
    <phoneticPr fontId="0" type="noConversion"/>
  </si>
  <si>
    <t>Section 13 - Cross-Jurisdictional Liabilities</t>
  </si>
  <si>
    <t>c. Cross-jurisdictional liabilities indicator (sum of items 13.a and 13.b, minus 13.a.(1))</t>
    <phoneticPr fontId="0" type="noConversion"/>
  </si>
  <si>
    <t>13.c.</t>
    <phoneticPr fontId="0" type="noConversion"/>
  </si>
  <si>
    <t>Ancillary Data</t>
  </si>
  <si>
    <t>Section 14 - Ancillary Indicators</t>
  </si>
  <si>
    <t>d. Total gross revenue</t>
  </si>
  <si>
    <t>f. Foreign net revenue</t>
  </si>
  <si>
    <t>14.i.</t>
    <phoneticPr fontId="0" type="noConversion"/>
  </si>
  <si>
    <t>j. Gross negative fair value of OTC derivatives transactions</t>
    <phoneticPr fontId="0" type="noConversion"/>
  </si>
  <si>
    <t>14.j.</t>
    <phoneticPr fontId="0" type="noConversion"/>
  </si>
  <si>
    <t>Section 15 - Ancillary Items</t>
  </si>
  <si>
    <t>a. Total exposures prior to regulatory adjustments (January 2014 definition)</t>
  </si>
  <si>
    <t>b. Total exposures for the calculation of the leverage ratio (January 2014 definition)</t>
  </si>
  <si>
    <t>c. Loans obtained from other financial institutions</t>
  </si>
  <si>
    <t>d. Certificates of deposit included in items 4.a and 4.b</t>
  </si>
  <si>
    <t>e. Held-to-maturity securities</t>
  </si>
  <si>
    <t>f. Payments made in the reporting year</t>
  </si>
  <si>
    <t>15.f.(1)</t>
  </si>
  <si>
    <t>15.f.(2)</t>
  </si>
  <si>
    <t>15.f.(3)</t>
  </si>
  <si>
    <t>Memorandum Items</t>
  </si>
  <si>
    <t>Section 16 - Size Items</t>
  </si>
  <si>
    <t>Comments Regarding Data Quality/Availability</t>
  </si>
  <si>
    <t>a. Total assets under the regulatory scope of consolidation</t>
  </si>
  <si>
    <t>b. Total assets under the accounting scope of consolidation</t>
  </si>
  <si>
    <t>&lt;&lt;Does the total include insurance subsidiaries?&gt;&gt;</t>
  </si>
  <si>
    <t>c. Total assets of insurance subsidiaries gross of intragroup exposures</t>
  </si>
  <si>
    <t>d. Total assets of insurance subsidiaries net of non-insurance intragroup exposures</t>
  </si>
  <si>
    <t>&lt;&lt;What types of transactions were netted out?&gt;&gt;</t>
  </si>
  <si>
    <t>e. Total off-balance-sheet assets of insurance subsidiaries gross of intragroup exposures</t>
  </si>
  <si>
    <t>f. Total off-balance-sheet assets of insurance subsidiaries net of non-insurance intragroup exposures</t>
  </si>
  <si>
    <t>g. Total exposures including investments in insurance subs outside the regulatory scope of consolidation</t>
  </si>
  <si>
    <t>Section 17 - Interconnectedness Items</t>
  </si>
  <si>
    <t>a. Book value of equities for which a market price is unavailable</t>
  </si>
  <si>
    <t>17.a.</t>
  </si>
  <si>
    <t>b. Certificates of mutual banks</t>
  </si>
  <si>
    <t>17.b.</t>
  </si>
  <si>
    <t>c. Minority interest</t>
  </si>
  <si>
    <t>17.c.</t>
  </si>
  <si>
    <t>Section 18 - Substitutability/Financial Infra. Items</t>
  </si>
  <si>
    <t>a. Payments made as a correspondent for other banks</t>
  </si>
  <si>
    <t>(1) Australian dollars</t>
  </si>
  <si>
    <t>18.a.(1)</t>
  </si>
  <si>
    <t>(2) Brazilian real</t>
  </si>
  <si>
    <t>18.a.(2)</t>
  </si>
  <si>
    <t>(3) Canadian dollars</t>
  </si>
  <si>
    <t>18.a.(3)</t>
  </si>
  <si>
    <t>(4) Swiss francs</t>
  </si>
  <si>
    <t>18.a.(4)</t>
  </si>
  <si>
    <t>(5) Chinese yuan</t>
  </si>
  <si>
    <t>18.a.(5)</t>
  </si>
  <si>
    <t>(6) Euros</t>
  </si>
  <si>
    <t>18.a.(6)</t>
  </si>
  <si>
    <t>(7) British pounds</t>
  </si>
  <si>
    <t>18.a.(7)</t>
  </si>
  <si>
    <t>(8) Hong Kong dollars</t>
  </si>
  <si>
    <t>18.a.(8)</t>
  </si>
  <si>
    <t>(9) Indian rupee</t>
  </si>
  <si>
    <t>18.a.(9)</t>
  </si>
  <si>
    <t>(10) Japanese yen</t>
  </si>
  <si>
    <t>18.a.(10)</t>
  </si>
  <si>
    <t>(11) Swedish krona</t>
  </si>
  <si>
    <t>18.a.(11)</t>
  </si>
  <si>
    <t>(12) United States dollars</t>
  </si>
  <si>
    <t>18.a.(12)</t>
  </si>
  <si>
    <t>(13) Mexican pesos</t>
  </si>
  <si>
    <t>18.a.(13)</t>
  </si>
  <si>
    <t>(14) New Zealand dollars</t>
  </si>
  <si>
    <t>18.a.(14)</t>
  </si>
  <si>
    <t>(15) Russian rubles</t>
  </si>
  <si>
    <t>18.a.(15)</t>
  </si>
  <si>
    <t>b  Trading volume of securities issued by sovereigns</t>
  </si>
  <si>
    <t>18.b.</t>
  </si>
  <si>
    <t>c. Trading volume of securities issued by other public sector entities</t>
  </si>
  <si>
    <t>18.c.</t>
  </si>
  <si>
    <t>d. Trading volume of other fixed income securities</t>
  </si>
  <si>
    <t>18.d.</t>
  </si>
  <si>
    <t>e. Trading volume of listed equities</t>
  </si>
  <si>
    <t>18.e.</t>
  </si>
  <si>
    <t>f. Trading volume of all other securities</t>
  </si>
  <si>
    <t>18.f.</t>
  </si>
  <si>
    <t>g. Initial margin posted to central counterparties (CCPs) on behalf of clients</t>
  </si>
  <si>
    <t>18.g.</t>
  </si>
  <si>
    <t>h. Initial margin posted to CCPs for the reporting group’s own account</t>
  </si>
  <si>
    <t>18.h.</t>
  </si>
  <si>
    <t>i. Default fund contributions to CCPs</t>
  </si>
  <si>
    <t>18.i.</t>
  </si>
  <si>
    <t>j. Other facilities to CCPs</t>
  </si>
  <si>
    <t>18.j.</t>
  </si>
  <si>
    <t>k. Provision of settlement services in connection with centrally-cleared transactions</t>
  </si>
  <si>
    <t>18.k.</t>
  </si>
  <si>
    <t>Section 19 - Cross-Jurisdictional Activity Items</t>
  </si>
  <si>
    <t>a. Foreign derivative claims on an ultimate risk basis</t>
  </si>
  <si>
    <t>19.a.</t>
  </si>
  <si>
    <t>b. Foreign derivative liabilities (aggregation of BIS locational statistics)</t>
  </si>
  <si>
    <t>19.b.</t>
  </si>
  <si>
    <t>c. Foreign liabilities on an immediate risk basis (including derivatives)</t>
  </si>
  <si>
    <t>19.c.</t>
  </si>
  <si>
    <t>d. Foreign derivative liabilities on an immediate risk basis</t>
  </si>
  <si>
    <t>19.d.</t>
  </si>
  <si>
    <t>e. Foreign debt security liabilities on an immediate risk basis</t>
  </si>
  <si>
    <t>19.e.</t>
  </si>
  <si>
    <t>Annual Average Exchange Rates</t>
  </si>
  <si>
    <t>Section 20 - Average Exchange Rates</t>
  </si>
  <si>
    <t>20.a.</t>
  </si>
  <si>
    <t>20.b.</t>
  </si>
  <si>
    <t>20.c.</t>
  </si>
  <si>
    <t>20.d.</t>
  </si>
  <si>
    <t>20.e.</t>
  </si>
  <si>
    <t>20.f.</t>
  </si>
  <si>
    <t>20.g.</t>
  </si>
  <si>
    <t>20.h.</t>
  </si>
  <si>
    <t>20.i.</t>
  </si>
  <si>
    <t>20.j.</t>
  </si>
  <si>
    <t>20.k.</t>
  </si>
  <si>
    <t>20.l.</t>
  </si>
  <si>
    <t>20.m.</t>
  </si>
  <si>
    <t>20.n.</t>
  </si>
  <si>
    <t>20.o.</t>
  </si>
  <si>
    <t>Section 21 - Indicator Values</t>
  </si>
  <si>
    <t>Explanation of large year-over-year changes</t>
  </si>
  <si>
    <t>a. Section 2 - Total exposures indicator</t>
  </si>
  <si>
    <t>21.a.</t>
  </si>
  <si>
    <t>b. Section 3 - Intra-financial system assets indicator</t>
  </si>
  <si>
    <t>21.b.</t>
  </si>
  <si>
    <t>c. Section 4 - Intra-financial system liabilities indicator</t>
  </si>
  <si>
    <t>21.c.</t>
  </si>
  <si>
    <t>d. Section 5 - Securities outstanding indicator</t>
  </si>
  <si>
    <t>21.d.</t>
  </si>
  <si>
    <t>e. Section 6 - Payments activity indicator</t>
  </si>
  <si>
    <t>21.e.</t>
  </si>
  <si>
    <t>f. Section 7 - Assets under custody indicator</t>
  </si>
  <si>
    <t>21.f.</t>
  </si>
  <si>
    <t>g. Section 8 - Underwriting activity indicator</t>
  </si>
  <si>
    <t>21.g.</t>
  </si>
  <si>
    <t>h. Section 9 - OTC derivatives indicator</t>
  </si>
  <si>
    <t>21.h.</t>
  </si>
  <si>
    <t>i. Section 10 - Trading and AFS securities indicator</t>
  </si>
  <si>
    <t>21.i.</t>
  </si>
  <si>
    <t>j. Section 11 - Level 3 assets indicator</t>
  </si>
  <si>
    <t>21.j.</t>
  </si>
  <si>
    <t>k. Section 12 - Cross-jurisdictional claims indicator</t>
  </si>
  <si>
    <t>21.k.</t>
  </si>
  <si>
    <t>l. Section 13 - Cross-jurisdictional liabilities indicator</t>
  </si>
  <si>
    <t>21.l.</t>
  </si>
  <si>
    <t>m. Other Sections</t>
  </si>
  <si>
    <t>(1) Item 1.a - General information provided by the supervisory authority</t>
    <phoneticPr fontId="0" type="noConversion"/>
  </si>
  <si>
    <t>21.m.(1)</t>
  </si>
  <si>
    <t>(2) Item 1.b - General Information provided by the reporting institution</t>
  </si>
  <si>
    <t>21.m.(2)</t>
  </si>
  <si>
    <t>(3) Section 14 - Ancillary Indicators</t>
  </si>
  <si>
    <t>21.m.(3)</t>
  </si>
  <si>
    <t>(4) Section 15 - Ancillary Items</t>
  </si>
  <si>
    <t>21.m.(4)</t>
  </si>
  <si>
    <t>(5) Section 16 - Size Items</t>
  </si>
  <si>
    <t>21.m.(5)</t>
  </si>
  <si>
    <t>(6) Section 17 - Interconnectedness Items</t>
  </si>
  <si>
    <t>21.m.(6)</t>
  </si>
  <si>
    <t>(7) Section 18 - Substitutability/Financial Infra. Items</t>
  </si>
  <si>
    <t>21.m.(7)</t>
  </si>
  <si>
    <t>(8) Section 19 - Cross-Jurisdictional Activity Items</t>
  </si>
  <si>
    <t>21.m.(8)</t>
  </si>
  <si>
    <t>(9) Section 20 - Average Exchange Rates</t>
  </si>
  <si>
    <t>21.m.(9)</t>
  </si>
  <si>
    <t>FR Y-15 MDRMs</t>
  </si>
  <si>
    <t>----</t>
  </si>
  <si>
    <t>--</t>
  </si>
  <si>
    <t>--------</t>
  </si>
  <si>
    <t>→</t>
  </si>
  <si>
    <t>Insert Global Denominator (million USD)</t>
  </si>
  <si>
    <t>Insert Indicator Weight (%)</t>
  </si>
  <si>
    <t>Select Institution Name</t>
  </si>
  <si>
    <t>Graph 13: Scores (basis points)</t>
  </si>
  <si>
    <t>Payments</t>
  </si>
  <si>
    <t>DT</t>
  </si>
  <si>
    <t>NAME</t>
  </si>
  <si>
    <t>ID Number</t>
  </si>
  <si>
    <t>Systemic Score (bps)</t>
  </si>
  <si>
    <t>Unweighted Cap on Substitutability Category (bp)</t>
  </si>
  <si>
    <t>2013 Indicators</t>
  </si>
  <si>
    <t xml:space="preserve">ALLY FINANCIAL INC.                                                                                                     </t>
  </si>
  <si>
    <t xml:space="preserve">AMERICAN EXPRESS COMPANY                                                                                                </t>
  </si>
  <si>
    <t xml:space="preserve">BANCWEST CORPORATION                                                                                                    </t>
  </si>
  <si>
    <t xml:space="preserve">BANK OF AMERICA CORPORATION                                                                                             </t>
  </si>
  <si>
    <t xml:space="preserve">BANK OF NEW YORK MELLON CORPORATION, THE                                                                                </t>
  </si>
  <si>
    <t xml:space="preserve">BB&amp;T CORPORATION                                                                                                        </t>
  </si>
  <si>
    <t xml:space="preserve">BBVA COMPASS BANCSHARES, INC.                                                                                           </t>
  </si>
  <si>
    <t xml:space="preserve">BMO FINANCIAL CORP.                                                                                                     </t>
  </si>
  <si>
    <t xml:space="preserve">CAPITAL ONE FINANCIAL CORPORATION                                                                                       </t>
  </si>
  <si>
    <t xml:space="preserve">CITIGROUP INC.                                                                                                          </t>
  </si>
  <si>
    <t xml:space="preserve">COMERICA INCORPORATED                                                                                                   </t>
  </si>
  <si>
    <t xml:space="preserve">DEUTSCHE BANK TRUST CORPORATION                                                                                         </t>
  </si>
  <si>
    <t xml:space="preserve">DISCOVER FINANCIAL SERVICES                                                                                             </t>
  </si>
  <si>
    <t xml:space="preserve">FIFTH THIRD BANCORP                                                                                                     </t>
  </si>
  <si>
    <t xml:space="preserve">GOLDMAN SACHS GROUP, INC., THE                                                                                          </t>
  </si>
  <si>
    <t xml:space="preserve">HSBC NORTH AMERICA HOLDINGS INC.                                                                                        </t>
  </si>
  <si>
    <t xml:space="preserve">HUNTINGTON BANCSHARES INCORPORATED                                                                                      </t>
  </si>
  <si>
    <t xml:space="preserve">JPMORGAN CHASE &amp; CO.                                                                                                    </t>
  </si>
  <si>
    <t xml:space="preserve">KEYCORP                                                                                                                 </t>
  </si>
  <si>
    <t xml:space="preserve">M&amp;T BANK CORPORATION                                                                                                    </t>
  </si>
  <si>
    <t xml:space="preserve">MORGAN STANLEY                                                                                                          </t>
  </si>
  <si>
    <t xml:space="preserve">NORTHERN TRUST CORPORATION                                                                                              </t>
  </si>
  <si>
    <t xml:space="preserve">PNC FINANCIAL SERVICES GROUP, INC., THE                                                                                 </t>
  </si>
  <si>
    <t xml:space="preserve">RBS CITIZENS FINANCIAL GROUP, INC.                                                                                      </t>
  </si>
  <si>
    <t xml:space="preserve">REGIONS FINANCIAL CORPORATION                                                                                           </t>
  </si>
  <si>
    <t xml:space="preserve">SANTANDER HOLDINGS USA, INC.                                                                                            </t>
  </si>
  <si>
    <t xml:space="preserve">STATE STREET CORPORATION                                                                                                </t>
  </si>
  <si>
    <t xml:space="preserve">SUNTRUST BANKS, INC.                                                                                                    </t>
  </si>
  <si>
    <t xml:space="preserve">TD BANK US HOLDING COMPANY                                                                                              </t>
  </si>
  <si>
    <t xml:space="preserve">U.S. BANCORP                                                                                                            </t>
  </si>
  <si>
    <t xml:space="preserve">UNIONBANCAL CORPORATION                                                                                                 </t>
  </si>
  <si>
    <t xml:space="preserve">WELLS FARGO &amp; COMPANY                                                                                                   </t>
  </si>
  <si>
    <t xml:space="preserve">ZIONS BANCORPORATION                                                                                                    </t>
  </si>
  <si>
    <t>Select Indicator</t>
  </si>
  <si>
    <t>% Change</t>
  </si>
  <si>
    <t>Q4 2013</t>
  </si>
  <si>
    <t>Q4 2014</t>
  </si>
  <si>
    <t>2014 Indicators*</t>
  </si>
  <si>
    <t>* These indicators are measures of systemic importance found on the FR Y-15.</t>
  </si>
  <si>
    <t>-------</t>
  </si>
  <si>
    <t>NULL</t>
  </si>
  <si>
    <t>Christopher Halmy</t>
  </si>
  <si>
    <t>Edward Zwicky</t>
  </si>
  <si>
    <t>704 444-5183</t>
  </si>
  <si>
    <t>704 444-7841</t>
  </si>
  <si>
    <t>edward.zwicky@ally.com</t>
  </si>
  <si>
    <t>Jeffrey C Campbell</t>
  </si>
  <si>
    <t>Kanchan Roy, VP-U.S. Regulatory Reporting</t>
  </si>
  <si>
    <t>203-658-9749</t>
  </si>
  <si>
    <t>203-658-9361</t>
  </si>
  <si>
    <t>kanchan.r.roy@aexp.com</t>
  </si>
  <si>
    <t>Madhukar Dayal</t>
  </si>
  <si>
    <t>Hazel T. Domingo</t>
  </si>
  <si>
    <t>925-843-8690</t>
  </si>
  <si>
    <t>925-843-9968</t>
  </si>
  <si>
    <t>Hazel.Domingo@bakofthewest.com</t>
  </si>
  <si>
    <t>Bruce Thompson</t>
  </si>
  <si>
    <t>Laura Kempster/Managing Director</t>
  </si>
  <si>
    <t>646/743-0989</t>
  </si>
  <si>
    <t>646/855-5464</t>
  </si>
  <si>
    <t>laura.kempster@bankofamerica.com</t>
  </si>
  <si>
    <t>Thomas P. Gibbons</t>
  </si>
  <si>
    <t>Marc Sanniola/Managing Director</t>
  </si>
  <si>
    <t>212-635-1348</t>
  </si>
  <si>
    <t>212-635-8750</t>
  </si>
  <si>
    <t>marc.sanniola@bnymellon.com</t>
  </si>
  <si>
    <t>Daryl N. Bible</t>
  </si>
  <si>
    <t>March 06,</t>
  </si>
  <si>
    <t>Blair Diamond, Regulatory Reporting Policy Manager</t>
  </si>
  <si>
    <t>336-733-3979</t>
  </si>
  <si>
    <t>336-733-0118</t>
  </si>
  <si>
    <t>BDiamond@BBandT.com</t>
  </si>
  <si>
    <t>Angel Reglero</t>
  </si>
  <si>
    <t>Chris Butler, SVP</t>
  </si>
  <si>
    <t>205-297-3395</t>
  </si>
  <si>
    <t>205-297-5747</t>
  </si>
  <si>
    <t>chris.butler@bbva.com</t>
  </si>
  <si>
    <t>Stephen Taylor</t>
  </si>
  <si>
    <t>Denise Jordan/Vice President</t>
  </si>
  <si>
    <t>262-814-5631</t>
  </si>
  <si>
    <t>262-814-5690</t>
  </si>
  <si>
    <t>denise.jordan@bmo.com</t>
  </si>
  <si>
    <t>Stephen S. Crawford</t>
  </si>
  <si>
    <t>Ryan Hopson, Manager</t>
  </si>
  <si>
    <t>804-525-0930</t>
  </si>
  <si>
    <t>804-284-6365</t>
  </si>
  <si>
    <t>ryan.hopson@capitalone.com</t>
  </si>
  <si>
    <t>John C. Gerspach</t>
  </si>
  <si>
    <t>Shirley C. Wong, Director</t>
  </si>
  <si>
    <t>347-648-1073</t>
  </si>
  <si>
    <t>347-648-6652</t>
  </si>
  <si>
    <t>wongs@citi.com</t>
  </si>
  <si>
    <t xml:space="preserve">CITIZENS FINANCIAL GROUP, INC.                                                                                          </t>
  </si>
  <si>
    <t>John Fawcett</t>
  </si>
  <si>
    <t>Jonathan Gaudioso, SVP</t>
  </si>
  <si>
    <t>401-757-5430</t>
  </si>
  <si>
    <t>401-757-5333</t>
  </si>
  <si>
    <t>Jonathan.M.Gaudioso@citizensbank.com</t>
  </si>
  <si>
    <t>Karen L. Parkhill</t>
  </si>
  <si>
    <t>Linda L. Mangliers, SVP Financial Reporting</t>
  </si>
  <si>
    <t>248-371-6853</t>
  </si>
  <si>
    <t>248-371-6841</t>
  </si>
  <si>
    <t>llmangliers@comerica.com</t>
  </si>
  <si>
    <t>George Oommen</t>
  </si>
  <si>
    <t>Helen Wong-Lew</t>
  </si>
  <si>
    <t>(212) 250-6737</t>
  </si>
  <si>
    <t>(212) 797-5376</t>
  </si>
  <si>
    <t>helen.wong-lew@db.com</t>
  </si>
  <si>
    <t>R. Mark Graf</t>
  </si>
  <si>
    <t>Tom Bonifas</t>
  </si>
  <si>
    <t>224-405-1082</t>
  </si>
  <si>
    <t>224-405-3542</t>
  </si>
  <si>
    <t>TomBonifas@discover.com</t>
  </si>
  <si>
    <t>Tayfun Tuzun, EVP/CFO</t>
  </si>
  <si>
    <t>Jennifer Burgas, VP</t>
  </si>
  <si>
    <t>513-534-1983</t>
  </si>
  <si>
    <t>513-534-3614</t>
  </si>
  <si>
    <t>jennifer.burgas@53.com</t>
  </si>
  <si>
    <t>Harvey M. Schwartz</t>
  </si>
  <si>
    <t>Lisanne Malandruccolo  / Vice President</t>
  </si>
  <si>
    <t>212-357-8455</t>
  </si>
  <si>
    <t>212-256-4782</t>
  </si>
  <si>
    <t>lisanne.malandruccolo@gs.com</t>
  </si>
  <si>
    <t>GERARD MATTIA</t>
  </si>
  <si>
    <t>M. WILLIAMS, DIRECTOR - REGULATORY REPORTING</t>
  </si>
  <si>
    <t>MICHELLE.T.WILLIAMS@US.HSBC.COM</t>
  </si>
  <si>
    <t>Howell D. McCullough III</t>
  </si>
  <si>
    <t>Mary Beth Noack</t>
  </si>
  <si>
    <t>614-480-5378</t>
  </si>
  <si>
    <t>888-490-6663</t>
  </si>
  <si>
    <t>marybeth.noack@huntington.com</t>
  </si>
  <si>
    <t>Marianne Lake</t>
  </si>
  <si>
    <t>Andres A. Romero, VP</t>
  </si>
  <si>
    <t>212-552-9263</t>
  </si>
  <si>
    <t>212-552-0886</t>
  </si>
  <si>
    <t>andres.a.romero@chase.com</t>
  </si>
  <si>
    <t>Donald R. Kimble, Chief Financial Officer</t>
  </si>
  <si>
    <t>Ronald S. Lewis, Senior Vice President</t>
  </si>
  <si>
    <t>216-689-5213</t>
  </si>
  <si>
    <t>216-689-7108</t>
  </si>
  <si>
    <t>Ronald_S_Lewis@KeyBank.com</t>
  </si>
  <si>
    <t>Rene F. Jones, Executive Vice President</t>
  </si>
  <si>
    <t>Barry Mckenzie, Vice President</t>
  </si>
  <si>
    <t>(716) 842-5344</t>
  </si>
  <si>
    <t>(716)279-4147</t>
  </si>
  <si>
    <t>bmckenzie@mtb.com</t>
  </si>
  <si>
    <t>Paul Wirth</t>
  </si>
  <si>
    <t>Frank Tredici</t>
  </si>
  <si>
    <t>212-276-2070</t>
  </si>
  <si>
    <t>212-507-0495</t>
  </si>
  <si>
    <t>Frank.Tredici@morganstanley.com</t>
  </si>
  <si>
    <t xml:space="preserve">MUFG AMERICAS HOLDINGS CORPORATION                                                                                      </t>
  </si>
  <si>
    <t>John F. Woods</t>
  </si>
  <si>
    <t>Annette Hackett, Managing Director - Regulatory Reporting</t>
  </si>
  <si>
    <t>415-765-2496</t>
  </si>
  <si>
    <t>415-765-2230</t>
  </si>
  <si>
    <t>annette.hackett@unionbank.com</t>
  </si>
  <si>
    <t>Biff Bowman</t>
  </si>
  <si>
    <t>Rachelle Saieg/Vice President</t>
  </si>
  <si>
    <t>312-444-4924</t>
  </si>
  <si>
    <t>312-630-6107</t>
  </si>
  <si>
    <t>rm87@ntrs.com</t>
  </si>
  <si>
    <t>ROBERT Q. REILLY</t>
  </si>
  <si>
    <t>PATRICIA PONGIBOVE/VICE PRESIDENT</t>
  </si>
  <si>
    <t>412-762-4350</t>
  </si>
  <si>
    <t>412-705-1501</t>
  </si>
  <si>
    <t>patricia.pongibove@pnc.com</t>
  </si>
  <si>
    <t>David J. Turner, Jr.</t>
  </si>
  <si>
    <t>Michael Cooley / SVP, Regulation W Officer</t>
  </si>
  <si>
    <t>(205) 326-5320</t>
  </si>
  <si>
    <t>(205) 326-4922</t>
  </si>
  <si>
    <t>michael.cooley@regions.com</t>
  </si>
  <si>
    <t>Guillermo Sabater</t>
  </si>
  <si>
    <t>Sean Mulcahy, Director of Financial Reporting</t>
  </si>
  <si>
    <t>smulcahy@santander.us</t>
  </si>
  <si>
    <t>Michael W. Bell</t>
  </si>
  <si>
    <t>Nicholas Edmonds, Vice President</t>
  </si>
  <si>
    <t>617-664-9361</t>
  </si>
  <si>
    <t>617-664-0266</t>
  </si>
  <si>
    <t>njedmonds@statestreet.com</t>
  </si>
  <si>
    <t>Aleem Gillani</t>
  </si>
  <si>
    <t>April Thompson First Vice President</t>
  </si>
  <si>
    <t>404-588-8482</t>
  </si>
  <si>
    <t>404-827-6501</t>
  </si>
  <si>
    <t>april.thompson@suntrust.com</t>
  </si>
  <si>
    <t>Steve Boyle</t>
  </si>
  <si>
    <t>Marci Amos</t>
  </si>
  <si>
    <t>207-535-2411</t>
  </si>
  <si>
    <t>207-761-9591</t>
  </si>
  <si>
    <t>Marcia.Amos@td.com</t>
  </si>
  <si>
    <t>Andrew Cecere</t>
  </si>
  <si>
    <t>Jordan Schmaltz</t>
  </si>
  <si>
    <t>612-303-4346</t>
  </si>
  <si>
    <t>612-303-4804</t>
  </si>
  <si>
    <t>jordan.schmaltz@usbank.com</t>
  </si>
  <si>
    <t>John R. Shrewsberry</t>
  </si>
  <si>
    <t>Peter J. Storrs</t>
  </si>
  <si>
    <t>612-667-9565</t>
  </si>
  <si>
    <t>612-667-3659</t>
  </si>
  <si>
    <t>peter.j.storrs@wellsfargo.com</t>
  </si>
  <si>
    <t>Alexander J. Hume</t>
  </si>
  <si>
    <t>Marc M. Nadauld Assistant Controller</t>
  </si>
  <si>
    <t>801-844-7664</t>
  </si>
  <si>
    <t>801-524-2129</t>
  </si>
  <si>
    <t>marc.nadauld@zionsbancorp.com</t>
  </si>
  <si>
    <t>Cross-Jurisdictional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</si>
</sst>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yyyy\-mm\-dd"/>
    <numFmt numFmtId="167" formatCode="_(* #,##0_);_(* \(#,##0\);_(* &quot;-&quot;??_);_(@_)"/>
    <numFmt numFmtId="168" formatCode="[$MXN]\ #,##0"/>
    <numFmt numFmtId="169" formatCode="[$NZD]\ #,##0"/>
    <numFmt numFmtId="170" formatCode="[$RUB]\ #,##0"/>
    <numFmt numFmtId="171" formatCode="[$€-2]\ #,##0"/>
    <numFmt numFmtId="172" formatCode="_([$$-409]* #,##0.00_);_([$$-409]* \(#,##0.00\);_([$$-409]* &quot;-&quot;??_);_(@_)"/>
    <numFmt numFmtId="173" formatCode="#,##0.000000000"/>
    <numFmt numFmtId="174" formatCode="[$AUD]\ #,##0"/>
    <numFmt numFmtId="175" formatCode="[$BRL]\ #,##0"/>
    <numFmt numFmtId="176" formatCode="[$CAD]\ #,##0"/>
    <numFmt numFmtId="177" formatCode="[$CHF]\ #,##0"/>
    <numFmt numFmtId="178" formatCode="[$CNY]\ #,##0"/>
    <numFmt numFmtId="179" formatCode="[$EUR]\ #,##0"/>
    <numFmt numFmtId="180" formatCode="[$GBP]\ #,##0"/>
    <numFmt numFmtId="181" formatCode="[$HKD]\ #,##0"/>
    <numFmt numFmtId="182" formatCode="[$INR]\ #,##0"/>
    <numFmt numFmtId="183" formatCode="[$JPY]\ #,##0"/>
    <numFmt numFmtId="184" formatCode="[$SEK]\ #,##0"/>
    <numFmt numFmtId="185" formatCode="[$USD]\ #,##0"/>
    <numFmt numFmtId="186" formatCode="0.00000"/>
    <numFmt numFmtId="187" formatCode="_([$$-409]* #,##0_);_([$$-409]* \(#,##0\);_([$$-409]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rgb="FF9C0006"/>
      <name val="Calibri"/>
      <family val="3"/>
      <charset val="128"/>
      <scheme val="minor"/>
    </font>
    <font>
      <sz val="8"/>
      <name val="Arial"/>
      <family val="2"/>
    </font>
    <font>
      <sz val="16"/>
      <name val="Wingdings"/>
      <charset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b/>
      <sz val="22"/>
      <name val="Arial"/>
      <family val="2"/>
    </font>
    <font>
      <b/>
      <sz val="20"/>
      <color theme="1" tint="0.249977111117893"/>
      <name val="Arial"/>
      <family val="2"/>
    </font>
    <font>
      <sz val="11"/>
      <color theme="1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5D6D2"/>
        <bgColor indexed="64"/>
      </patternFill>
    </fill>
    <fill>
      <patternFill patternType="solid">
        <fgColor theme="5" tint="0.59999389629810485"/>
        <bgColor indexed="45"/>
      </patternFill>
    </fill>
    <fill>
      <patternFill patternType="solid">
        <fgColor rgb="FFFFEC72"/>
        <bgColor indexed="64"/>
      </patternFill>
    </fill>
    <fill>
      <patternFill patternType="solid">
        <fgColor rgb="FFFFEC72"/>
        <bgColor indexed="45"/>
      </patternFill>
    </fill>
    <fill>
      <patternFill patternType="solid">
        <fgColor rgb="FFD8E4BC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0"/>
        <bgColor indexed="45"/>
      </patternFill>
    </fill>
    <fill>
      <patternFill patternType="solid">
        <fgColor rgb="FFF2F2F2"/>
        <bgColor rgb="FF000000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rgb="FFBCBDBC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rgb="FFBCBDBC"/>
      </top>
      <bottom style="thin">
        <color rgb="FFBCBDBC"/>
      </bottom>
      <diagonal/>
    </border>
    <border>
      <left style="thin">
        <color theme="0" tint="-0.34998626667073579"/>
      </left>
      <right style="thin">
        <color rgb="FFBCBDBC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CBDBC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12" borderId="0" applyFont="0" applyBorder="0"/>
    <xf numFmtId="0" fontId="6" fillId="12" borderId="1" applyNumberFormat="0" applyFill="0" applyBorder="0" applyAlignment="0" applyProtection="0">
      <alignment horizontal="left"/>
    </xf>
    <xf numFmtId="0" fontId="9" fillId="6" borderId="11">
      <alignment horizontal="left" vertical="center" indent="1"/>
    </xf>
    <xf numFmtId="0" fontId="11" fillId="3" borderId="0" applyNumberFormat="0" applyBorder="0" applyAlignment="0" applyProtection="0"/>
    <xf numFmtId="43" fontId="5" fillId="0" borderId="0" applyFont="0" applyFill="0" applyBorder="0" applyAlignment="0" applyProtection="0"/>
    <xf numFmtId="0" fontId="5" fillId="13" borderId="3">
      <alignment horizontal="left" vertical="center" indent="1"/>
    </xf>
    <xf numFmtId="3" fontId="5" fillId="13" borderId="3">
      <alignment horizontal="right" vertical="center"/>
      <protection locked="0"/>
    </xf>
    <xf numFmtId="3" fontId="5" fillId="0" borderId="13">
      <alignment horizontal="right" vertical="center"/>
    </xf>
    <xf numFmtId="0" fontId="9" fillId="0" borderId="0" applyNumberFormat="0" applyFill="0" applyBorder="0" applyAlignment="0" applyProtection="0"/>
    <xf numFmtId="3" fontId="5" fillId="4" borderId="3">
      <alignment horizontal="right" vertical="center"/>
    </xf>
    <xf numFmtId="9" fontId="5" fillId="0" borderId="0" applyFont="0" applyFill="0" applyBorder="0" applyAlignment="0" applyProtection="0"/>
    <xf numFmtId="0" fontId="12" fillId="13" borderId="3">
      <alignment horizontal="center" vertical="center"/>
    </xf>
    <xf numFmtId="43" fontId="1" fillId="0" borderId="0" applyFont="0" applyFill="0" applyBorder="0" applyAlignment="0" applyProtection="0"/>
    <xf numFmtId="0" fontId="17" fillId="12" borderId="0" applyNumberFormat="0" applyFill="0" applyBorder="0" applyAlignment="0" applyProtection="0"/>
  </cellStyleXfs>
  <cellXfs count="414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12" borderId="0" xfId="3" applyAlignment="1" applyProtection="1">
      <alignment vertical="center"/>
    </xf>
    <xf numFmtId="0" fontId="5" fillId="12" borderId="0" xfId="3" applyBorder="1" applyAlignment="1" applyProtection="1">
      <alignment vertical="center"/>
    </xf>
    <xf numFmtId="0" fontId="5" fillId="12" borderId="0" xfId="3" applyAlignment="1">
      <alignment vertical="center"/>
    </xf>
    <xf numFmtId="0" fontId="5" fillId="12" borderId="0" xfId="3" applyBorder="1" applyAlignment="1" applyProtection="1">
      <alignment horizontal="left" vertical="center" indent="1"/>
    </xf>
    <xf numFmtId="49" fontId="5" fillId="12" borderId="0" xfId="3" applyNumberFormat="1" applyBorder="1" applyAlignment="1" applyProtection="1">
      <alignment horizontal="left" vertical="center" indent="1"/>
    </xf>
    <xf numFmtId="0" fontId="10" fillId="12" borderId="0" xfId="3" applyFont="1" applyBorder="1" applyAlignment="1" applyProtection="1">
      <alignment horizontal="center" vertical="center"/>
    </xf>
    <xf numFmtId="49" fontId="5" fillId="0" borderId="0" xfId="3" applyNumberFormat="1" applyFill="1" applyBorder="1" applyAlignment="1" applyProtection="1">
      <alignment horizontal="left" vertical="center" indent="1"/>
    </xf>
    <xf numFmtId="0" fontId="5" fillId="0" borderId="0" xfId="3" applyFont="1" applyFill="1" applyBorder="1" applyAlignment="1" applyProtection="1">
      <alignment horizontal="left" vertical="center" indent="1"/>
    </xf>
    <xf numFmtId="0" fontId="5" fillId="12" borderId="0" xfId="3" applyBorder="1" applyAlignment="1" applyProtection="1">
      <alignment horizontal="left" vertical="center"/>
    </xf>
    <xf numFmtId="0" fontId="5" fillId="12" borderId="0" xfId="3" applyAlignment="1">
      <alignment horizontal="left" vertical="center"/>
    </xf>
    <xf numFmtId="0" fontId="9" fillId="4" borderId="0" xfId="11" applyFill="1" applyBorder="1" applyAlignment="1" applyProtection="1">
      <alignment horizontal="left" vertical="center" indent="1"/>
    </xf>
    <xf numFmtId="0" fontId="9" fillId="12" borderId="0" xfId="11" applyFill="1" applyBorder="1" applyAlignment="1" applyProtection="1">
      <alignment horizontal="left" vertical="center"/>
    </xf>
    <xf numFmtId="0" fontId="9" fillId="12" borderId="0" xfId="11" applyFill="1" applyBorder="1" applyAlignment="1" applyProtection="1">
      <alignment vertical="center"/>
    </xf>
    <xf numFmtId="0" fontId="13" fillId="12" borderId="0" xfId="3" applyFont="1" applyBorder="1" applyAlignment="1" applyProtection="1">
      <alignment horizontal="center" vertical="center"/>
    </xf>
    <xf numFmtId="0" fontId="5" fillId="4" borderId="0" xfId="3" applyFont="1" applyFill="1" applyBorder="1" applyAlignment="1" applyProtection="1">
      <alignment horizontal="left" vertical="center" indent="1"/>
    </xf>
    <xf numFmtId="0" fontId="5" fillId="4" borderId="0" xfId="3" applyFont="1" applyFill="1" applyBorder="1" applyAlignment="1" applyProtection="1">
      <alignment horizontal="left" vertical="center"/>
    </xf>
    <xf numFmtId="0" fontId="5" fillId="12" borderId="0" xfId="3" applyFont="1" applyFill="1" applyBorder="1" applyAlignment="1" applyProtection="1">
      <alignment horizontal="right" vertical="center"/>
    </xf>
    <xf numFmtId="49" fontId="9" fillId="4" borderId="0" xfId="11" applyNumberFormat="1" applyFill="1" applyBorder="1" applyAlignment="1" applyProtection="1">
      <alignment horizontal="left" vertical="center" indent="1"/>
    </xf>
    <xf numFmtId="0" fontId="5" fillId="12" borderId="0" xfId="3" applyFill="1" applyBorder="1" applyAlignment="1" applyProtection="1">
      <alignment vertical="center"/>
    </xf>
    <xf numFmtId="0" fontId="5" fillId="12" borderId="0" xfId="3" applyFont="1" applyFill="1" applyBorder="1" applyAlignment="1" applyProtection="1">
      <alignment horizontal="left" vertical="center"/>
    </xf>
    <xf numFmtId="0" fontId="5" fillId="12" borderId="0" xfId="3" applyFont="1" applyFill="1" applyBorder="1" applyAlignment="1" applyProtection="1">
      <alignment vertical="center"/>
    </xf>
    <xf numFmtId="0" fontId="5" fillId="12" borderId="0" xfId="3"/>
    <xf numFmtId="0" fontId="5" fillId="12" borderId="0" xfId="3" applyBorder="1" applyProtection="1"/>
    <xf numFmtId="0" fontId="10" fillId="4" borderId="0" xfId="3" applyFont="1" applyFill="1" applyBorder="1" applyAlignment="1" applyProtection="1">
      <alignment horizontal="center" vertical="center" wrapText="1"/>
    </xf>
    <xf numFmtId="0" fontId="5" fillId="12" borderId="0" xfId="3" applyFont="1" applyAlignment="1">
      <alignment vertical="center"/>
    </xf>
    <xf numFmtId="0" fontId="5" fillId="12" borderId="0" xfId="3" applyFont="1" applyBorder="1" applyAlignment="1">
      <alignment vertical="center"/>
    </xf>
    <xf numFmtId="0" fontId="5" fillId="12" borderId="0" xfId="3" applyBorder="1" applyAlignment="1">
      <alignment vertical="center"/>
    </xf>
    <xf numFmtId="0" fontId="5" fillId="15" borderId="0" xfId="3" applyFill="1" applyBorder="1" applyAlignment="1" applyProtection="1">
      <alignment vertical="center"/>
    </xf>
    <xf numFmtId="0" fontId="4" fillId="0" borderId="0" xfId="0" applyFont="1" applyFill="1" applyBorder="1"/>
    <xf numFmtId="0" fontId="4" fillId="0" borderId="6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3" fontId="0" fillId="0" borderId="0" xfId="0" applyNumberFormat="1"/>
    <xf numFmtId="0" fontId="4" fillId="4" borderId="0" xfId="0" applyFont="1" applyFill="1"/>
    <xf numFmtId="165" fontId="4" fillId="4" borderId="0" xfId="2" applyNumberFormat="1" applyFont="1" applyFill="1" applyBorder="1"/>
    <xf numFmtId="165" fontId="4" fillId="4" borderId="0" xfId="2" applyNumberFormat="1" applyFont="1" applyFill="1"/>
    <xf numFmtId="0" fontId="4" fillId="4" borderId="0" xfId="0" applyFont="1" applyFill="1" applyBorder="1" applyAlignment="1">
      <alignment horizontal="center" vertical="center"/>
    </xf>
    <xf numFmtId="164" fontId="4" fillId="5" borderId="7" xfId="1" applyNumberFormat="1" applyFont="1" applyFill="1" applyBorder="1"/>
    <xf numFmtId="0" fontId="4" fillId="11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/>
    <xf numFmtId="0" fontId="16" fillId="0" borderId="0" xfId="0" applyFont="1" applyBorder="1" applyAlignment="1">
      <alignment horizontal="center"/>
    </xf>
    <xf numFmtId="1" fontId="0" fillId="18" borderId="7" xfId="0" applyNumberFormat="1" applyFill="1" applyBorder="1" applyAlignment="1">
      <alignment horizontal="right" indent="2"/>
    </xf>
    <xf numFmtId="0" fontId="4" fillId="6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 wrapText="1"/>
    </xf>
    <xf numFmtId="1" fontId="0" fillId="18" borderId="4" xfId="0" applyNumberFormat="1" applyFill="1" applyBorder="1" applyAlignment="1">
      <alignment horizontal="right" indent="2"/>
    </xf>
    <xf numFmtId="0" fontId="4" fillId="5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4" fillId="7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0" fillId="4" borderId="0" xfId="0" applyFill="1"/>
    <xf numFmtId="0" fontId="15" fillId="4" borderId="0" xfId="0" applyFont="1" applyFill="1"/>
    <xf numFmtId="0" fontId="4" fillId="10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17" borderId="0" xfId="0" applyFont="1" applyFill="1" applyBorder="1" applyAlignment="1">
      <alignment horizontal="center" vertical="center"/>
    </xf>
    <xf numFmtId="0" fontId="0" fillId="0" borderId="0" xfId="0" quotePrefix="1"/>
    <xf numFmtId="0" fontId="0" fillId="4" borderId="0" xfId="0" quotePrefix="1" applyFill="1"/>
    <xf numFmtId="14" fontId="0" fillId="0" borderId="0" xfId="0" applyNumberFormat="1"/>
    <xf numFmtId="172" fontId="4" fillId="4" borderId="0" xfId="15" applyNumberFormat="1" applyFont="1" applyFill="1" applyBorder="1"/>
    <xf numFmtId="0" fontId="4" fillId="4" borderId="0" xfId="0" applyFont="1" applyFill="1" applyBorder="1"/>
    <xf numFmtId="0" fontId="4" fillId="4" borderId="0" xfId="0" applyFont="1" applyFill="1" applyBorder="1" applyAlignment="1">
      <alignment horizontal="center"/>
    </xf>
    <xf numFmtId="167" fontId="4" fillId="4" borderId="0" xfId="15" applyNumberFormat="1" applyFont="1" applyFill="1" applyBorder="1"/>
    <xf numFmtId="0" fontId="5" fillId="12" borderId="0" xfId="3" applyFont="1" applyAlignment="1" applyProtection="1">
      <alignment vertical="center"/>
    </xf>
    <xf numFmtId="0" fontId="5" fillId="12" borderId="0" xfId="3" applyFont="1" applyBorder="1" applyAlignment="1" applyProtection="1">
      <alignment vertical="center"/>
    </xf>
    <xf numFmtId="0" fontId="5" fillId="12" borderId="0" xfId="3" applyFont="1" applyBorder="1" applyAlignment="1" applyProtection="1">
      <alignment horizontal="left" vertical="center" indent="1"/>
    </xf>
    <xf numFmtId="0" fontId="7" fillId="12" borderId="0" xfId="4" applyFont="1" applyFill="1" applyBorder="1" applyAlignment="1" applyProtection="1">
      <alignment horizontal="center" vertical="center"/>
    </xf>
    <xf numFmtId="0" fontId="8" fillId="12" borderId="0" xfId="4" applyFont="1" applyFill="1" applyBorder="1" applyAlignment="1" applyProtection="1">
      <alignment vertical="center"/>
    </xf>
    <xf numFmtId="0" fontId="9" fillId="6" borderId="14" xfId="5" applyBorder="1" applyProtection="1">
      <alignment horizontal="left" vertical="center" indent="1"/>
    </xf>
    <xf numFmtId="0" fontId="9" fillId="6" borderId="15" xfId="3" applyFont="1" applyFill="1" applyBorder="1" applyAlignment="1" applyProtection="1">
      <alignment horizontal="left" vertical="center"/>
    </xf>
    <xf numFmtId="0" fontId="9" fillId="6" borderId="15" xfId="3" applyFont="1" applyFill="1" applyBorder="1" applyAlignment="1" applyProtection="1">
      <alignment horizontal="left" vertical="center" indent="1"/>
    </xf>
    <xf numFmtId="0" fontId="9" fillId="6" borderId="17" xfId="3" applyFont="1" applyFill="1" applyBorder="1" applyAlignment="1" applyProtection="1">
      <alignment horizontal="left" vertical="center"/>
    </xf>
    <xf numFmtId="0" fontId="5" fillId="12" borderId="18" xfId="3" applyFont="1" applyFill="1" applyBorder="1" applyAlignment="1" applyProtection="1">
      <alignment horizontal="left" vertical="center"/>
    </xf>
    <xf numFmtId="0" fontId="5" fillId="12" borderId="19" xfId="3" applyBorder="1" applyAlignment="1" applyProtection="1">
      <alignment vertical="center"/>
    </xf>
    <xf numFmtId="49" fontId="10" fillId="19" borderId="14" xfId="3" applyNumberFormat="1" applyFont="1" applyFill="1" applyBorder="1" applyAlignment="1" applyProtection="1">
      <alignment horizontal="left" vertical="center"/>
    </xf>
    <xf numFmtId="49" fontId="10" fillId="19" borderId="15" xfId="3" applyNumberFormat="1" applyFont="1" applyFill="1" applyBorder="1" applyAlignment="1" applyProtection="1">
      <alignment horizontal="left" vertical="center"/>
    </xf>
    <xf numFmtId="0" fontId="5" fillId="19" borderId="17" xfId="3" applyFont="1" applyFill="1" applyBorder="1" applyAlignment="1" applyProtection="1">
      <alignment vertical="center"/>
    </xf>
    <xf numFmtId="0" fontId="5" fillId="0" borderId="16" xfId="3" applyFont="1" applyFill="1" applyBorder="1" applyAlignment="1" applyProtection="1">
      <alignment horizontal="center" vertical="center"/>
    </xf>
    <xf numFmtId="49" fontId="5" fillId="12" borderId="14" xfId="3" applyNumberFormat="1" applyFill="1" applyBorder="1" applyAlignment="1" applyProtection="1">
      <alignment horizontal="left" vertical="center" indent="1"/>
    </xf>
    <xf numFmtId="49" fontId="5" fillId="12" borderId="15" xfId="3" applyNumberFormat="1" applyFill="1" applyBorder="1" applyAlignment="1" applyProtection="1">
      <alignment horizontal="left" vertical="center" indent="1"/>
    </xf>
    <xf numFmtId="0" fontId="5" fillId="4" borderId="17" xfId="3" applyFont="1" applyFill="1" applyBorder="1" applyAlignment="1" applyProtection="1">
      <alignment vertical="center"/>
    </xf>
    <xf numFmtId="0" fontId="5" fillId="19" borderId="16" xfId="3" applyFont="1" applyFill="1" applyBorder="1" applyAlignment="1" applyProtection="1">
      <alignment horizontal="center" vertical="center"/>
    </xf>
    <xf numFmtId="49" fontId="5" fillId="19" borderId="16" xfId="3" applyNumberFormat="1" applyFill="1" applyBorder="1" applyAlignment="1" applyProtection="1">
      <alignment horizontal="left" vertical="center" indent="1"/>
    </xf>
    <xf numFmtId="49" fontId="5" fillId="19" borderId="20" xfId="3" applyNumberFormat="1" applyFill="1" applyBorder="1" applyAlignment="1" applyProtection="1">
      <alignment horizontal="left" vertical="center" indent="1"/>
    </xf>
    <xf numFmtId="49" fontId="5" fillId="12" borderId="14" xfId="3" applyNumberFormat="1" applyFill="1" applyBorder="1" applyAlignment="1" applyProtection="1">
      <alignment horizontal="left" vertical="center" indent="2"/>
    </xf>
    <xf numFmtId="49" fontId="5" fillId="12" borderId="15" xfId="3" applyNumberFormat="1" applyFill="1" applyBorder="1" applyAlignment="1" applyProtection="1">
      <alignment horizontal="left" vertical="center" indent="2"/>
    </xf>
    <xf numFmtId="0" fontId="5" fillId="4" borderId="16" xfId="3" applyFont="1" applyFill="1" applyBorder="1" applyAlignment="1" applyProtection="1">
      <alignment horizontal="center" vertical="center"/>
    </xf>
    <xf numFmtId="0" fontId="12" fillId="4" borderId="16" xfId="6" applyFont="1" applyFill="1" applyBorder="1" applyAlignment="1" applyProtection="1">
      <alignment horizontal="center" vertical="center"/>
    </xf>
    <xf numFmtId="49" fontId="5" fillId="12" borderId="14" xfId="3" applyNumberFormat="1" applyBorder="1" applyAlignment="1" applyProtection="1">
      <alignment horizontal="left" vertical="center" indent="2"/>
    </xf>
    <xf numFmtId="49" fontId="5" fillId="12" borderId="15" xfId="3" applyNumberFormat="1" applyBorder="1" applyAlignment="1" applyProtection="1">
      <alignment horizontal="left" vertical="center" indent="2"/>
    </xf>
    <xf numFmtId="0" fontId="5" fillId="4" borderId="17" xfId="3" applyFont="1" applyFill="1" applyBorder="1" applyAlignment="1" applyProtection="1">
      <alignment horizontal="center" vertical="center"/>
    </xf>
    <xf numFmtId="49" fontId="5" fillId="19" borderId="22" xfId="3" applyNumberFormat="1" applyFill="1" applyBorder="1" applyAlignment="1" applyProtection="1">
      <alignment horizontal="left" vertical="center" indent="1"/>
    </xf>
    <xf numFmtId="0" fontId="5" fillId="12" borderId="17" xfId="3" applyFont="1" applyBorder="1" applyAlignment="1" applyProtection="1">
      <alignment vertical="center"/>
    </xf>
    <xf numFmtId="0" fontId="5" fillId="12" borderId="21" xfId="3" applyFont="1" applyFill="1" applyBorder="1" applyAlignment="1" applyProtection="1">
      <alignment horizontal="left" vertical="center"/>
    </xf>
    <xf numFmtId="0" fontId="5" fillId="12" borderId="25" xfId="3" applyBorder="1" applyAlignment="1" applyProtection="1">
      <alignment horizontal="left" vertical="center" indent="1"/>
    </xf>
    <xf numFmtId="0" fontId="5" fillId="12" borderId="25" xfId="3" applyBorder="1" applyAlignment="1" applyProtection="1">
      <alignment vertical="center"/>
    </xf>
    <xf numFmtId="0" fontId="5" fillId="12" borderId="25" xfId="3" applyBorder="1" applyAlignment="1" applyProtection="1">
      <alignment horizontal="center" vertical="center"/>
    </xf>
    <xf numFmtId="49" fontId="5" fillId="12" borderId="25" xfId="3" applyNumberFormat="1" applyBorder="1" applyAlignment="1" applyProtection="1">
      <alignment horizontal="left" vertical="center" indent="1"/>
    </xf>
    <xf numFmtId="0" fontId="5" fillId="12" borderId="26" xfId="3" applyBorder="1" applyAlignment="1" applyProtection="1">
      <alignment vertical="center"/>
    </xf>
    <xf numFmtId="0" fontId="5" fillId="12" borderId="27" xfId="3" applyFont="1" applyFill="1" applyBorder="1" applyAlignment="1" applyProtection="1">
      <alignment horizontal="left" vertical="center"/>
    </xf>
    <xf numFmtId="0" fontId="5" fillId="12" borderId="28" xfId="3" applyBorder="1" applyAlignment="1" applyProtection="1">
      <alignment horizontal="left" vertical="center" indent="1"/>
    </xf>
    <xf numFmtId="0" fontId="5" fillId="12" borderId="28" xfId="3" applyBorder="1" applyAlignment="1" applyProtection="1">
      <alignment vertical="center"/>
    </xf>
    <xf numFmtId="0" fontId="5" fillId="12" borderId="28" xfId="3" applyBorder="1" applyAlignment="1" applyProtection="1">
      <alignment horizontal="center" vertical="center"/>
    </xf>
    <xf numFmtId="49" fontId="5" fillId="12" borderId="28" xfId="3" applyNumberFormat="1" applyBorder="1" applyAlignment="1" applyProtection="1">
      <alignment horizontal="left" vertical="center" indent="1"/>
    </xf>
    <xf numFmtId="0" fontId="5" fillId="12" borderId="29" xfId="3" applyBorder="1" applyAlignment="1" applyProtection="1">
      <alignment vertical="center"/>
    </xf>
    <xf numFmtId="0" fontId="5" fillId="12" borderId="18" xfId="3" applyFont="1" applyFill="1" applyBorder="1" applyAlignment="1" applyProtection="1">
      <alignment vertical="center"/>
    </xf>
    <xf numFmtId="0" fontId="5" fillId="4" borderId="14" xfId="3" applyFill="1" applyBorder="1" applyAlignment="1" applyProtection="1">
      <alignment horizontal="left" vertical="center" indent="1"/>
    </xf>
    <xf numFmtId="0" fontId="5" fillId="4" borderId="15" xfId="3" applyFill="1" applyBorder="1" applyAlignment="1" applyProtection="1">
      <alignment horizontal="left" vertical="center" indent="1"/>
    </xf>
    <xf numFmtId="0" fontId="5" fillId="4" borderId="30" xfId="3" applyFont="1" applyFill="1" applyBorder="1" applyAlignment="1" applyProtection="1">
      <alignment horizontal="center" vertical="center"/>
    </xf>
    <xf numFmtId="0" fontId="5" fillId="12" borderId="17" xfId="3" applyFont="1" applyBorder="1" applyAlignment="1" applyProtection="1">
      <alignment vertical="center" wrapText="1"/>
    </xf>
    <xf numFmtId="0" fontId="5" fillId="4" borderId="18" xfId="3" applyFont="1" applyFill="1" applyBorder="1" applyAlignment="1" applyProtection="1">
      <alignment vertical="center"/>
    </xf>
    <xf numFmtId="0" fontId="5" fillId="4" borderId="14" xfId="3" applyFill="1" applyBorder="1" applyAlignment="1" applyProtection="1">
      <alignment horizontal="left" vertical="center" indent="2"/>
    </xf>
    <xf numFmtId="0" fontId="5" fillId="4" borderId="15" xfId="3" applyFill="1" applyBorder="1" applyAlignment="1" applyProtection="1">
      <alignment horizontal="left" vertical="center" indent="2"/>
    </xf>
    <xf numFmtId="0" fontId="5" fillId="0" borderId="14" xfId="3" applyFont="1" applyFill="1" applyBorder="1" applyAlignment="1" applyProtection="1">
      <alignment horizontal="left" vertical="center" indent="1"/>
    </xf>
    <xf numFmtId="0" fontId="5" fillId="0" borderId="15" xfId="3" applyFont="1" applyFill="1" applyBorder="1" applyAlignment="1" applyProtection="1">
      <alignment horizontal="left" vertical="center" indent="1"/>
    </xf>
    <xf numFmtId="0" fontId="5" fillId="4" borderId="16" xfId="3" applyFill="1" applyBorder="1" applyAlignment="1" applyProtection="1">
      <alignment horizontal="center" vertical="center" wrapText="1"/>
    </xf>
    <xf numFmtId="0" fontId="9" fillId="4" borderId="18" xfId="11" applyFont="1" applyFill="1" applyBorder="1" applyAlignment="1" applyProtection="1">
      <alignment horizontal="left" vertical="center"/>
    </xf>
    <xf numFmtId="0" fontId="5" fillId="12" borderId="0" xfId="3" applyAlignment="1" applyProtection="1">
      <alignment horizontal="left" vertical="center"/>
    </xf>
    <xf numFmtId="0" fontId="5" fillId="12" borderId="18" xfId="11" applyFont="1" applyFill="1" applyBorder="1" applyAlignment="1" applyProtection="1">
      <alignment horizontal="left" vertical="center"/>
    </xf>
    <xf numFmtId="0" fontId="9" fillId="12" borderId="18" xfId="11" applyFont="1" applyFill="1" applyBorder="1" applyAlignment="1" applyProtection="1">
      <alignment horizontal="left" vertical="center"/>
    </xf>
    <xf numFmtId="3" fontId="5" fillId="4" borderId="16" xfId="12" applyBorder="1" applyProtection="1">
      <alignment horizontal="right" vertical="center"/>
    </xf>
    <xf numFmtId="0" fontId="5" fillId="12" borderId="21" xfId="3" applyFont="1" applyFill="1" applyBorder="1" applyAlignment="1" applyProtection="1">
      <alignment vertical="center"/>
    </xf>
    <xf numFmtId="0" fontId="5" fillId="12" borderId="25" xfId="3" applyFont="1" applyBorder="1" applyAlignment="1" applyProtection="1">
      <alignment horizontal="left" vertical="center" indent="1"/>
    </xf>
    <xf numFmtId="0" fontId="5" fillId="12" borderId="25" xfId="3" applyFont="1" applyBorder="1" applyAlignment="1" applyProtection="1">
      <alignment vertical="center"/>
    </xf>
    <xf numFmtId="0" fontId="5" fillId="12" borderId="25" xfId="3" applyFont="1" applyBorder="1" applyAlignment="1" applyProtection="1">
      <alignment horizontal="center" vertical="center"/>
    </xf>
    <xf numFmtId="3" fontId="5" fillId="12" borderId="25" xfId="3" applyNumberFormat="1" applyFont="1" applyBorder="1" applyAlignment="1" applyProtection="1">
      <alignment horizontal="right" vertical="center"/>
    </xf>
    <xf numFmtId="49" fontId="5" fillId="12" borderId="25" xfId="3" applyNumberFormat="1" applyFont="1" applyBorder="1" applyAlignment="1" applyProtection="1">
      <alignment horizontal="left" vertical="center" indent="1"/>
    </xf>
    <xf numFmtId="0" fontId="13" fillId="12" borderId="25" xfId="3" applyFont="1" applyBorder="1" applyAlignment="1" applyProtection="1">
      <alignment horizontal="center" vertical="center"/>
    </xf>
    <xf numFmtId="0" fontId="9" fillId="4" borderId="27" xfId="11" applyFont="1" applyFill="1" applyBorder="1" applyAlignment="1" applyProtection="1">
      <alignment horizontal="left" vertical="center" indent="1"/>
    </xf>
    <xf numFmtId="0" fontId="9" fillId="4" borderId="28" xfId="11" applyFill="1" applyBorder="1" applyAlignment="1" applyProtection="1">
      <alignment horizontal="left" vertical="center" indent="1"/>
    </xf>
    <xf numFmtId="0" fontId="9" fillId="12" borderId="28" xfId="11" applyFill="1" applyBorder="1" applyAlignment="1" applyProtection="1">
      <alignment horizontal="left" vertical="center"/>
    </xf>
    <xf numFmtId="0" fontId="9" fillId="12" borderId="28" xfId="11" applyFill="1" applyBorder="1" applyAlignment="1" applyProtection="1">
      <alignment horizontal="center" vertical="center"/>
    </xf>
    <xf numFmtId="0" fontId="9" fillId="12" borderId="28" xfId="11" applyFill="1" applyBorder="1" applyAlignment="1" applyProtection="1">
      <alignment vertical="center"/>
    </xf>
    <xf numFmtId="49" fontId="9" fillId="4" borderId="28" xfId="11" applyNumberFormat="1" applyFill="1" applyBorder="1" applyAlignment="1" applyProtection="1">
      <alignment horizontal="left" vertical="center" indent="1"/>
    </xf>
    <xf numFmtId="0" fontId="13" fillId="12" borderId="28" xfId="3" applyFont="1" applyBorder="1" applyAlignment="1" applyProtection="1">
      <alignment horizontal="center" vertical="center"/>
    </xf>
    <xf numFmtId="0" fontId="5" fillId="0" borderId="14" xfId="3" applyFill="1" applyBorder="1" applyAlignment="1" applyProtection="1">
      <alignment horizontal="left" vertical="center" indent="2"/>
    </xf>
    <xf numFmtId="0" fontId="5" fillId="0" borderId="15" xfId="3" applyFill="1" applyBorder="1" applyAlignment="1" applyProtection="1">
      <alignment horizontal="left" vertical="center" indent="2"/>
    </xf>
    <xf numFmtId="0" fontId="9" fillId="4" borderId="18" xfId="11" applyFont="1" applyFill="1" applyBorder="1" applyAlignment="1" applyProtection="1">
      <alignment horizontal="left" vertical="center" indent="1"/>
    </xf>
    <xf numFmtId="0" fontId="9" fillId="12" borderId="0" xfId="11" applyFill="1" applyBorder="1" applyAlignment="1" applyProtection="1">
      <alignment horizontal="center" vertical="center"/>
    </xf>
    <xf numFmtId="0" fontId="5" fillId="0" borderId="31" xfId="3" applyFont="1" applyFill="1" applyBorder="1" applyAlignment="1" applyProtection="1">
      <alignment horizontal="center" vertical="center"/>
    </xf>
    <xf numFmtId="0" fontId="5" fillId="14" borderId="17" xfId="3" applyFont="1" applyFill="1" applyBorder="1" applyAlignment="1" applyProtection="1">
      <alignment horizontal="left" vertical="center" indent="1"/>
    </xf>
    <xf numFmtId="0" fontId="5" fillId="4" borderId="0" xfId="3" applyFont="1" applyFill="1" applyBorder="1" applyAlignment="1" applyProtection="1">
      <alignment horizontal="center" vertical="center"/>
    </xf>
    <xf numFmtId="0" fontId="5" fillId="4" borderId="17" xfId="3" applyFill="1" applyBorder="1" applyAlignment="1" applyProtection="1">
      <alignment horizontal="center" vertical="center"/>
    </xf>
    <xf numFmtId="3" fontId="5" fillId="4" borderId="16" xfId="3" applyNumberFormat="1" applyFont="1" applyFill="1" applyBorder="1" applyAlignment="1" applyProtection="1">
      <alignment horizontal="right" vertical="center"/>
    </xf>
    <xf numFmtId="49" fontId="10" fillId="19" borderId="27" xfId="3" applyNumberFormat="1" applyFont="1" applyFill="1" applyBorder="1" applyAlignment="1" applyProtection="1">
      <alignment horizontal="left" vertical="center"/>
    </xf>
    <xf numFmtId="49" fontId="10" fillId="19" borderId="28" xfId="3" applyNumberFormat="1" applyFont="1" applyFill="1" applyBorder="1" applyAlignment="1" applyProtection="1">
      <alignment horizontal="left" vertical="center"/>
    </xf>
    <xf numFmtId="0" fontId="5" fillId="19" borderId="29" xfId="3" applyFont="1" applyFill="1" applyBorder="1" applyAlignment="1" applyProtection="1">
      <alignment vertical="center"/>
    </xf>
    <xf numFmtId="0" fontId="5" fillId="4" borderId="18" xfId="3" applyFont="1" applyFill="1" applyBorder="1" applyAlignment="1" applyProtection="1">
      <alignment horizontal="left" vertical="center" indent="1"/>
    </xf>
    <xf numFmtId="0" fontId="5" fillId="0" borderId="14" xfId="3" applyFill="1" applyBorder="1" applyAlignment="1" applyProtection="1">
      <alignment horizontal="left" vertical="center" indent="1"/>
    </xf>
    <xf numFmtId="0" fontId="5" fillId="0" borderId="15" xfId="3" applyFill="1" applyBorder="1" applyAlignment="1" applyProtection="1">
      <alignment horizontal="left" vertical="center" indent="1"/>
    </xf>
    <xf numFmtId="0" fontId="5" fillId="19" borderId="15" xfId="3" applyFont="1" applyFill="1" applyBorder="1" applyAlignment="1" applyProtection="1">
      <alignment vertical="center"/>
    </xf>
    <xf numFmtId="0" fontId="5" fillId="12" borderId="18" xfId="3" applyFont="1" applyFill="1" applyBorder="1" applyAlignment="1" applyProtection="1">
      <alignment horizontal="left" vertical="center" indent="1"/>
    </xf>
    <xf numFmtId="0" fontId="5" fillId="0" borderId="29" xfId="3" applyFont="1" applyFill="1" applyBorder="1" applyAlignment="1" applyProtection="1">
      <alignment horizontal="center" vertical="center"/>
    </xf>
    <xf numFmtId="0" fontId="5" fillId="4" borderId="15" xfId="3" applyFont="1" applyFill="1" applyBorder="1" applyAlignment="1" applyProtection="1">
      <alignment vertical="center"/>
    </xf>
    <xf numFmtId="49" fontId="5" fillId="0" borderId="19" xfId="3" applyNumberFormat="1" applyFill="1" applyBorder="1" applyAlignment="1" applyProtection="1">
      <alignment horizontal="left" vertical="center" indent="1"/>
    </xf>
    <xf numFmtId="0" fontId="5" fillId="4" borderId="16" xfId="3" applyFill="1" applyBorder="1" applyAlignment="1" applyProtection="1">
      <alignment horizontal="left" vertical="center" indent="1"/>
    </xf>
    <xf numFmtId="49" fontId="5" fillId="0" borderId="25" xfId="3" applyNumberFormat="1" applyFill="1" applyBorder="1" applyAlignment="1" applyProtection="1">
      <alignment horizontal="left" vertical="center" indent="1"/>
    </xf>
    <xf numFmtId="49" fontId="10" fillId="19" borderId="16" xfId="3" applyNumberFormat="1" applyFont="1" applyFill="1" applyBorder="1" applyAlignment="1" applyProtection="1">
      <alignment horizontal="left" vertical="center"/>
    </xf>
    <xf numFmtId="0" fontId="5" fillId="12" borderId="0" xfId="3" applyProtection="1"/>
    <xf numFmtId="0" fontId="5" fillId="12" borderId="27" xfId="3" applyBorder="1" applyProtection="1"/>
    <xf numFmtId="0" fontId="6" fillId="12" borderId="28" xfId="4" applyFont="1" applyFill="1" applyBorder="1" applyAlignment="1" applyProtection="1"/>
    <xf numFmtId="0" fontId="5" fillId="12" borderId="28" xfId="3" applyBorder="1" applyAlignment="1" applyProtection="1">
      <alignment horizontal="center"/>
    </xf>
    <xf numFmtId="0" fontId="5" fillId="12" borderId="28" xfId="3" applyBorder="1" applyProtection="1"/>
    <xf numFmtId="0" fontId="5" fillId="12" borderId="28" xfId="3" applyBorder="1" applyAlignment="1" applyProtection="1">
      <alignment horizontal="left" indent="1"/>
    </xf>
    <xf numFmtId="0" fontId="5" fillId="12" borderId="29" xfId="3" applyBorder="1" applyProtection="1"/>
    <xf numFmtId="0" fontId="5" fillId="12" borderId="18" xfId="3" applyBorder="1" applyProtection="1"/>
    <xf numFmtId="0" fontId="5" fillId="12" borderId="0" xfId="3" applyBorder="1" applyAlignment="1" applyProtection="1">
      <alignment horizontal="left" indent="1"/>
    </xf>
    <xf numFmtId="0" fontId="5" fillId="12" borderId="19" xfId="3" applyBorder="1" applyProtection="1"/>
    <xf numFmtId="0" fontId="10" fillId="19" borderId="27" xfId="3" applyNumberFormat="1" applyFont="1" applyFill="1" applyBorder="1" applyAlignment="1" applyProtection="1">
      <alignment vertical="center"/>
    </xf>
    <xf numFmtId="0" fontId="10" fillId="19" borderId="29" xfId="3" applyNumberFormat="1" applyFont="1" applyFill="1" applyBorder="1" applyAlignment="1" applyProtection="1">
      <alignment horizontal="right" vertical="center"/>
    </xf>
    <xf numFmtId="0" fontId="5" fillId="12" borderId="18" xfId="3" applyFont="1" applyBorder="1" applyAlignment="1" applyProtection="1">
      <alignment vertical="center"/>
    </xf>
    <xf numFmtId="0" fontId="5" fillId="12" borderId="17" xfId="3" applyBorder="1" applyAlignment="1" applyProtection="1">
      <alignment horizontal="right" indent="1"/>
    </xf>
    <xf numFmtId="49" fontId="5" fillId="12" borderId="17" xfId="3" applyNumberFormat="1" applyFill="1" applyBorder="1" applyAlignment="1" applyProtection="1">
      <alignment horizontal="right" vertical="center" indent="1"/>
    </xf>
    <xf numFmtId="0" fontId="5" fillId="12" borderId="21" xfId="3" applyBorder="1" applyProtection="1"/>
    <xf numFmtId="0" fontId="5" fillId="12" borderId="25" xfId="3" applyBorder="1" applyProtection="1"/>
    <xf numFmtId="0" fontId="5" fillId="12" borderId="25" xfId="3" applyBorder="1" applyAlignment="1" applyProtection="1">
      <alignment horizontal="center"/>
    </xf>
    <xf numFmtId="0" fontId="5" fillId="12" borderId="25" xfId="3" applyBorder="1" applyAlignment="1" applyProtection="1">
      <alignment horizontal="left" indent="1"/>
    </xf>
    <xf numFmtId="0" fontId="5" fillId="12" borderId="26" xfId="3" applyBorder="1" applyProtection="1"/>
    <xf numFmtId="49" fontId="10" fillId="19" borderId="29" xfId="3" applyNumberFormat="1" applyFont="1" applyFill="1" applyBorder="1" applyAlignment="1" applyProtection="1">
      <alignment horizontal="left" vertical="center"/>
    </xf>
    <xf numFmtId="0" fontId="5" fillId="0" borderId="17" xfId="3" applyFill="1" applyBorder="1" applyAlignment="1" applyProtection="1">
      <alignment horizontal="left" vertical="center" indent="1"/>
    </xf>
    <xf numFmtId="3" fontId="5" fillId="4" borderId="16" xfId="3" applyNumberFormat="1" applyFont="1" applyFill="1" applyBorder="1" applyAlignment="1" applyProtection="1">
      <alignment horizontal="right" vertical="center" indent="1"/>
    </xf>
    <xf numFmtId="171" fontId="5" fillId="4" borderId="16" xfId="3" applyNumberFormat="1" applyFont="1" applyFill="1" applyBorder="1" applyAlignment="1" applyProtection="1">
      <alignment horizontal="right" vertical="center" indent="1"/>
    </xf>
    <xf numFmtId="0" fontId="5" fillId="4" borderId="17" xfId="3" applyFill="1" applyBorder="1" applyAlignment="1" applyProtection="1">
      <alignment horizontal="left" vertical="center" indent="1"/>
    </xf>
    <xf numFmtId="0" fontId="5" fillId="12" borderId="0" xfId="3" applyFont="1" applyBorder="1" applyAlignment="1">
      <alignment horizontal="left" vertical="center" indent="1"/>
    </xf>
    <xf numFmtId="0" fontId="4" fillId="0" borderId="8" xfId="0" applyFont="1" applyFill="1" applyBorder="1" applyAlignment="1">
      <alignment horizontal="center"/>
    </xf>
    <xf numFmtId="164" fontId="4" fillId="5" borderId="4" xfId="1" applyNumberFormat="1" applyFont="1" applyFill="1" applyBorder="1"/>
    <xf numFmtId="0" fontId="5" fillId="20" borderId="16" xfId="3" applyFont="1" applyFill="1" applyBorder="1" applyAlignment="1" applyProtection="1">
      <alignment horizontal="center" vertical="center" wrapText="1"/>
    </xf>
    <xf numFmtId="166" fontId="5" fillId="9" borderId="16" xfId="3" applyNumberFormat="1" applyFont="1" applyFill="1" applyBorder="1" applyAlignment="1" applyProtection="1">
      <alignment horizontal="center" vertical="center"/>
    </xf>
    <xf numFmtId="0" fontId="5" fillId="9" borderId="16" xfId="3" applyFont="1" applyFill="1" applyBorder="1" applyAlignment="1" applyProtection="1">
      <alignment horizontal="center" vertical="center"/>
    </xf>
    <xf numFmtId="166" fontId="5" fillId="20" borderId="16" xfId="3" applyNumberFormat="1" applyFont="1" applyFill="1" applyBorder="1" applyAlignment="1" applyProtection="1">
      <alignment horizontal="center" vertical="center"/>
    </xf>
    <xf numFmtId="167" fontId="5" fillId="21" borderId="16" xfId="7" applyNumberFormat="1" applyFont="1" applyFill="1" applyBorder="1" applyAlignment="1" applyProtection="1">
      <alignment horizontal="center" vertical="center"/>
    </xf>
    <xf numFmtId="0" fontId="5" fillId="21" borderId="16" xfId="3" applyFont="1" applyFill="1" applyBorder="1" applyAlignment="1" applyProtection="1">
      <alignment horizontal="center" vertical="center" wrapText="1"/>
    </xf>
    <xf numFmtId="166" fontId="5" fillId="22" borderId="16" xfId="3" applyNumberFormat="1" applyFont="1" applyFill="1" applyBorder="1" applyAlignment="1" applyProtection="1">
      <alignment horizontal="center" vertical="center"/>
    </xf>
    <xf numFmtId="0" fontId="17" fillId="21" borderId="16" xfId="16" applyFill="1" applyBorder="1" applyAlignment="1" applyProtection="1">
      <alignment horizontal="left" vertical="center" indent="1"/>
    </xf>
    <xf numFmtId="3" fontId="5" fillId="21" borderId="16" xfId="7" applyNumberFormat="1" applyFont="1" applyFill="1" applyBorder="1" applyAlignment="1" applyProtection="1">
      <alignment horizontal="right" vertical="center"/>
    </xf>
    <xf numFmtId="3" fontId="5" fillId="23" borderId="16" xfId="9" applyFill="1" applyBorder="1" applyProtection="1">
      <alignment horizontal="right" vertical="center"/>
    </xf>
    <xf numFmtId="3" fontId="5" fillId="23" borderId="16" xfId="9" applyFont="1" applyFill="1" applyBorder="1" applyProtection="1">
      <alignment horizontal="right" vertical="center"/>
    </xf>
    <xf numFmtId="0" fontId="5" fillId="12" borderId="19" xfId="3" applyBorder="1" applyAlignment="1" applyProtection="1">
      <alignment horizontal="left" vertical="center"/>
    </xf>
    <xf numFmtId="0" fontId="5" fillId="15" borderId="18" xfId="3" applyFill="1" applyBorder="1" applyAlignment="1" applyProtection="1">
      <alignment vertical="center"/>
    </xf>
    <xf numFmtId="49" fontId="5" fillId="15" borderId="18" xfId="3" applyNumberFormat="1" applyFill="1" applyBorder="1" applyAlignment="1" applyProtection="1">
      <alignment horizontal="left" vertical="center" indent="1"/>
    </xf>
    <xf numFmtId="0" fontId="9" fillId="15" borderId="18" xfId="3" applyFont="1" applyFill="1" applyBorder="1" applyAlignment="1" applyProtection="1">
      <alignment horizontal="left" vertical="center"/>
    </xf>
    <xf numFmtId="0" fontId="9" fillId="15" borderId="18" xfId="11" applyFill="1" applyBorder="1" applyAlignment="1" applyProtection="1">
      <alignment vertical="center"/>
    </xf>
    <xf numFmtId="0" fontId="10" fillId="15" borderId="18" xfId="3" applyFont="1" applyFill="1" applyBorder="1" applyAlignment="1" applyProtection="1">
      <alignment horizontal="center" vertical="center"/>
    </xf>
    <xf numFmtId="0" fontId="5" fillId="15" borderId="18" xfId="3" applyFont="1" applyFill="1" applyBorder="1" applyAlignment="1" applyProtection="1">
      <alignment horizontal="left" vertical="center"/>
    </xf>
    <xf numFmtId="0" fontId="5" fillId="15" borderId="18" xfId="3" applyFill="1" applyBorder="1" applyProtection="1"/>
    <xf numFmtId="0" fontId="5" fillId="15" borderId="21" xfId="3" applyFill="1" applyBorder="1" applyProtection="1"/>
    <xf numFmtId="0" fontId="0" fillId="0" borderId="0" xfId="0" applyFill="1"/>
    <xf numFmtId="0" fontId="10" fillId="12" borderId="0" xfId="3" applyFont="1" applyBorder="1" applyAlignment="1" applyProtection="1">
      <alignment horizontal="center" vertical="center" wrapText="1"/>
    </xf>
    <xf numFmtId="0" fontId="5" fillId="14" borderId="14" xfId="3" applyFont="1" applyFill="1" applyBorder="1" applyAlignment="1" applyProtection="1">
      <alignment horizontal="left" vertical="center" indent="1"/>
    </xf>
    <xf numFmtId="0" fontId="5" fillId="14" borderId="15" xfId="3" applyFont="1" applyFill="1" applyBorder="1" applyAlignment="1" applyProtection="1">
      <alignment horizontal="left" vertical="center" indent="1"/>
    </xf>
    <xf numFmtId="0" fontId="2" fillId="4" borderId="0" xfId="0" applyFont="1" applyFill="1"/>
    <xf numFmtId="0" fontId="5" fillId="25" borderId="16" xfId="0" applyFont="1" applyFill="1" applyBorder="1" applyAlignment="1" applyProtection="1">
      <alignment vertical="center"/>
    </xf>
    <xf numFmtId="3" fontId="5" fillId="0" borderId="16" xfId="0" applyNumberFormat="1" applyFont="1" applyFill="1" applyBorder="1" applyAlignment="1" applyProtection="1">
      <alignment horizontal="right" vertical="center"/>
    </xf>
    <xf numFmtId="49" fontId="0" fillId="19" borderId="16" xfId="0" applyNumberFormat="1" applyFill="1" applyBorder="1" applyAlignment="1" applyProtection="1">
      <alignment horizontal="left" vertical="center" indent="1"/>
    </xf>
    <xf numFmtId="3" fontId="5" fillId="0" borderId="16" xfId="10" applyBorder="1" applyProtection="1">
      <alignment horizontal="right" vertical="center"/>
    </xf>
    <xf numFmtId="3" fontId="5" fillId="4" borderId="16" xfId="7" applyNumberFormat="1" applyFont="1" applyFill="1" applyBorder="1" applyAlignment="1" applyProtection="1">
      <alignment horizontal="right" vertical="center"/>
    </xf>
    <xf numFmtId="3" fontId="5" fillId="4" borderId="16" xfId="0" applyNumberFormat="1" applyFont="1" applyFill="1" applyBorder="1" applyAlignment="1" applyProtection="1">
      <alignment horizontal="right" vertical="center"/>
    </xf>
    <xf numFmtId="9" fontId="5" fillId="0" borderId="16" xfId="13" applyFont="1" applyFill="1" applyBorder="1" applyAlignment="1" applyProtection="1">
      <alignment horizontal="right" vertical="center"/>
    </xf>
    <xf numFmtId="0" fontId="10" fillId="0" borderId="0" xfId="0" applyFont="1" applyBorder="1" applyAlignment="1" applyProtection="1">
      <alignment horizontal="center" vertical="center" wrapText="1"/>
    </xf>
    <xf numFmtId="0" fontId="9" fillId="6" borderId="15" xfId="3" applyFont="1" applyFill="1" applyBorder="1" applyAlignment="1" applyProtection="1">
      <alignment horizontal="right" vertical="center"/>
    </xf>
    <xf numFmtId="0" fontId="18" fillId="6" borderId="15" xfId="3" applyFont="1" applyFill="1" applyBorder="1" applyAlignment="1" applyProtection="1">
      <alignment horizontal="center" vertical="center"/>
    </xf>
    <xf numFmtId="0" fontId="4" fillId="0" borderId="10" xfId="0" applyFont="1" applyBorder="1" applyAlignment="1"/>
    <xf numFmtId="0" fontId="16" fillId="0" borderId="0" xfId="0" applyFont="1" applyBorder="1" applyAlignment="1">
      <alignment horizontal="right"/>
    </xf>
    <xf numFmtId="186" fontId="5" fillId="15" borderId="0" xfId="3" applyNumberFormat="1" applyFill="1" applyBorder="1" applyAlignment="1" applyProtection="1">
      <alignment vertical="center"/>
    </xf>
    <xf numFmtId="0" fontId="5" fillId="15" borderId="0" xfId="3" applyFill="1" applyBorder="1" applyAlignment="1" applyProtection="1">
      <alignment horizontal="left" vertical="center" indent="1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indent="1"/>
    </xf>
    <xf numFmtId="0" fontId="4" fillId="0" borderId="9" xfId="0" applyFont="1" applyFill="1" applyBorder="1" applyAlignment="1">
      <alignment horizontal="left" indent="1"/>
    </xf>
    <xf numFmtId="0" fontId="0" fillId="0" borderId="0" xfId="0" applyProtection="1"/>
    <xf numFmtId="0" fontId="5" fillId="15" borderId="19" xfId="3" applyFill="1" applyBorder="1" applyAlignment="1" applyProtection="1">
      <alignment vertical="center"/>
    </xf>
    <xf numFmtId="0" fontId="5" fillId="20" borderId="16" xfId="3" applyFont="1" applyFill="1" applyBorder="1" applyAlignment="1" applyProtection="1">
      <alignment horizontal="center" vertical="center"/>
    </xf>
    <xf numFmtId="0" fontId="5" fillId="15" borderId="19" xfId="3" applyFill="1" applyBorder="1" applyAlignment="1" applyProtection="1">
      <alignment horizontal="left" vertical="center" indent="1"/>
    </xf>
    <xf numFmtId="0" fontId="5" fillId="23" borderId="23" xfId="3" applyFont="1" applyFill="1" applyBorder="1" applyAlignment="1" applyProtection="1">
      <alignment horizontal="left" vertical="top" wrapText="1" indent="1"/>
    </xf>
    <xf numFmtId="0" fontId="5" fillId="9" borderId="24" xfId="8" applyFont="1" applyFill="1" applyBorder="1" applyAlignment="1" applyProtection="1">
      <alignment horizontal="left" vertical="top" wrapText="1" indent="1"/>
    </xf>
    <xf numFmtId="0" fontId="12" fillId="23" borderId="16" xfId="0" applyFont="1" applyFill="1" applyBorder="1" applyAlignment="1" applyProtection="1">
      <alignment horizontal="center" vertical="center"/>
    </xf>
    <xf numFmtId="0" fontId="5" fillId="15" borderId="18" xfId="8" applyFont="1" applyFill="1" applyBorder="1" applyAlignment="1" applyProtection="1">
      <alignment horizontal="left" vertical="top" wrapText="1" indent="1"/>
    </xf>
    <xf numFmtId="0" fontId="5" fillId="15" borderId="18" xfId="8" applyFont="1" applyFill="1" applyBorder="1" applyAlignment="1" applyProtection="1">
      <alignment horizontal="left" vertical="center" wrapText="1" indent="1"/>
    </xf>
    <xf numFmtId="174" fontId="5" fillId="21" borderId="16" xfId="3" applyNumberFormat="1" applyFont="1" applyFill="1" applyBorder="1" applyAlignment="1" applyProtection="1">
      <alignment horizontal="right" vertical="center"/>
    </xf>
    <xf numFmtId="0" fontId="0" fillId="15" borderId="18" xfId="8" applyFont="1" applyFill="1" applyBorder="1" applyAlignment="1" applyProtection="1">
      <alignment horizontal="left" vertical="top" wrapText="1" indent="1"/>
    </xf>
    <xf numFmtId="175" fontId="5" fillId="21" borderId="16" xfId="3" applyNumberFormat="1" applyFont="1" applyFill="1" applyBorder="1" applyAlignment="1" applyProtection="1">
      <alignment horizontal="right" vertical="center"/>
    </xf>
    <xf numFmtId="176" fontId="5" fillId="21" borderId="16" xfId="3" applyNumberFormat="1" applyFont="1" applyFill="1" applyBorder="1" applyAlignment="1" applyProtection="1">
      <alignment horizontal="right" vertical="center"/>
    </xf>
    <xf numFmtId="177" fontId="5" fillId="21" borderId="16" xfId="3" applyNumberFormat="1" applyFont="1" applyFill="1" applyBorder="1" applyAlignment="1" applyProtection="1">
      <alignment horizontal="right" vertical="center"/>
    </xf>
    <xf numFmtId="178" fontId="5" fillId="21" borderId="16" xfId="3" applyNumberFormat="1" applyFont="1" applyFill="1" applyBorder="1" applyAlignment="1" applyProtection="1">
      <alignment horizontal="right" vertical="center"/>
    </xf>
    <xf numFmtId="179" fontId="5" fillId="21" borderId="16" xfId="3" applyNumberFormat="1" applyFont="1" applyFill="1" applyBorder="1" applyAlignment="1" applyProtection="1">
      <alignment horizontal="right" vertical="center"/>
    </xf>
    <xf numFmtId="180" fontId="5" fillId="21" borderId="16" xfId="3" applyNumberFormat="1" applyFont="1" applyFill="1" applyBorder="1" applyAlignment="1" applyProtection="1">
      <alignment horizontal="right" vertical="center"/>
    </xf>
    <xf numFmtId="181" fontId="5" fillId="21" borderId="16" xfId="3" applyNumberFormat="1" applyFont="1" applyFill="1" applyBorder="1" applyAlignment="1" applyProtection="1">
      <alignment horizontal="right" vertical="center"/>
    </xf>
    <xf numFmtId="182" fontId="5" fillId="21" borderId="16" xfId="3" applyNumberFormat="1" applyFont="1" applyFill="1" applyBorder="1" applyAlignment="1" applyProtection="1">
      <alignment horizontal="right" vertical="center"/>
    </xf>
    <xf numFmtId="183" fontId="5" fillId="21" borderId="16" xfId="3" applyNumberFormat="1" applyFont="1" applyFill="1" applyBorder="1" applyAlignment="1" applyProtection="1">
      <alignment horizontal="right" vertical="center"/>
    </xf>
    <xf numFmtId="184" fontId="5" fillId="21" borderId="16" xfId="3" applyNumberFormat="1" applyFont="1" applyFill="1" applyBorder="1" applyAlignment="1" applyProtection="1">
      <alignment horizontal="right" vertical="center"/>
    </xf>
    <xf numFmtId="185" fontId="5" fillId="21" borderId="16" xfId="3" applyNumberFormat="1" applyFont="1" applyFill="1" applyBorder="1" applyAlignment="1" applyProtection="1">
      <alignment horizontal="right" vertical="center"/>
    </xf>
    <xf numFmtId="168" fontId="5" fillId="21" borderId="16" xfId="3" applyNumberFormat="1" applyFont="1" applyFill="1" applyBorder="1" applyAlignment="1" applyProtection="1">
      <alignment horizontal="right" vertical="center"/>
    </xf>
    <xf numFmtId="169" fontId="5" fillId="21" borderId="16" xfId="3" applyNumberFormat="1" applyFont="1" applyFill="1" applyBorder="1" applyAlignment="1" applyProtection="1">
      <alignment horizontal="right" vertical="center"/>
    </xf>
    <xf numFmtId="170" fontId="5" fillId="21" borderId="16" xfId="3" applyNumberFormat="1" applyFont="1" applyFill="1" applyBorder="1" applyAlignment="1" applyProtection="1">
      <alignment horizontal="right" vertical="center"/>
    </xf>
    <xf numFmtId="0" fontId="12" fillId="23" borderId="16" xfId="3" applyFont="1" applyFill="1" applyBorder="1" applyAlignment="1" applyProtection="1">
      <alignment horizontal="center" vertical="center"/>
    </xf>
    <xf numFmtId="3" fontId="5" fillId="21" borderId="16" xfId="9" applyFont="1" applyFill="1" applyBorder="1" applyAlignment="1" applyProtection="1">
      <alignment horizontal="left" vertical="top" wrapText="1" indent="1"/>
    </xf>
    <xf numFmtId="3" fontId="0" fillId="21" borderId="16" xfId="9" applyFont="1" applyFill="1" applyBorder="1" applyAlignment="1" applyProtection="1">
      <alignment horizontal="left" vertical="top" wrapText="1" indent="1"/>
    </xf>
    <xf numFmtId="174" fontId="5" fillId="23" borderId="16" xfId="3" applyNumberFormat="1" applyFont="1" applyFill="1" applyBorder="1" applyAlignment="1" applyProtection="1">
      <alignment horizontal="right" vertical="center"/>
    </xf>
    <xf numFmtId="175" fontId="5" fillId="23" borderId="16" xfId="3" applyNumberFormat="1" applyFont="1" applyFill="1" applyBorder="1" applyAlignment="1" applyProtection="1">
      <alignment horizontal="right" vertical="center"/>
    </xf>
    <xf numFmtId="176" fontId="5" fillId="23" borderId="16" xfId="3" applyNumberFormat="1" applyFont="1" applyFill="1" applyBorder="1" applyAlignment="1" applyProtection="1">
      <alignment horizontal="right" vertical="center"/>
    </xf>
    <xf numFmtId="177" fontId="5" fillId="23" borderId="16" xfId="3" applyNumberFormat="1" applyFont="1" applyFill="1" applyBorder="1" applyAlignment="1" applyProtection="1">
      <alignment horizontal="right" vertical="center"/>
    </xf>
    <xf numFmtId="178" fontId="5" fillId="23" borderId="16" xfId="3" applyNumberFormat="1" applyFont="1" applyFill="1" applyBorder="1" applyAlignment="1" applyProtection="1">
      <alignment horizontal="right" vertical="center"/>
    </xf>
    <xf numFmtId="179" fontId="5" fillId="23" borderId="16" xfId="3" applyNumberFormat="1" applyFont="1" applyFill="1" applyBorder="1" applyAlignment="1" applyProtection="1">
      <alignment horizontal="right" vertical="center"/>
    </xf>
    <xf numFmtId="180" fontId="5" fillId="23" borderId="16" xfId="3" applyNumberFormat="1" applyFont="1" applyFill="1" applyBorder="1" applyAlignment="1" applyProtection="1">
      <alignment horizontal="right" vertical="center"/>
    </xf>
    <xf numFmtId="181" fontId="5" fillId="23" borderId="16" xfId="3" applyNumberFormat="1" applyFont="1" applyFill="1" applyBorder="1" applyAlignment="1" applyProtection="1">
      <alignment horizontal="right" vertical="center"/>
    </xf>
    <xf numFmtId="182" fontId="5" fillId="23" borderId="16" xfId="3" applyNumberFormat="1" applyFont="1" applyFill="1" applyBorder="1" applyAlignment="1" applyProtection="1">
      <alignment horizontal="right" vertical="center"/>
    </xf>
    <xf numFmtId="183" fontId="5" fillId="23" borderId="16" xfId="3" applyNumberFormat="1" applyFont="1" applyFill="1" applyBorder="1" applyAlignment="1" applyProtection="1">
      <alignment horizontal="right" vertical="center"/>
    </xf>
    <xf numFmtId="184" fontId="5" fillId="23" borderId="16" xfId="3" applyNumberFormat="1" applyFont="1" applyFill="1" applyBorder="1" applyAlignment="1" applyProtection="1">
      <alignment horizontal="right" vertical="center"/>
    </xf>
    <xf numFmtId="185" fontId="5" fillId="23" borderId="16" xfId="3" applyNumberFormat="1" applyFont="1" applyFill="1" applyBorder="1" applyAlignment="1" applyProtection="1">
      <alignment horizontal="right" vertical="center"/>
    </xf>
    <xf numFmtId="168" fontId="5" fillId="23" borderId="16" xfId="3" applyNumberFormat="1" applyFont="1" applyFill="1" applyBorder="1" applyAlignment="1" applyProtection="1">
      <alignment horizontal="right" vertical="center"/>
    </xf>
    <xf numFmtId="169" fontId="5" fillId="23" borderId="16" xfId="3" applyNumberFormat="1" applyFont="1" applyFill="1" applyBorder="1" applyAlignment="1" applyProtection="1">
      <alignment horizontal="right" vertical="center"/>
    </xf>
    <xf numFmtId="170" fontId="5" fillId="23" borderId="16" xfId="3" applyNumberFormat="1" applyFont="1" applyFill="1" applyBorder="1" applyAlignment="1" applyProtection="1">
      <alignment horizontal="right" vertical="center"/>
    </xf>
    <xf numFmtId="0" fontId="5" fillId="15" borderId="0" xfId="3" applyFill="1" applyBorder="1" applyProtection="1"/>
    <xf numFmtId="0" fontId="5" fillId="15" borderId="19" xfId="3" applyFill="1" applyBorder="1" applyProtection="1"/>
    <xf numFmtId="173" fontId="5" fillId="9" borderId="16" xfId="3" applyNumberFormat="1" applyFont="1" applyFill="1" applyBorder="1" applyAlignment="1" applyProtection="1">
      <alignment horizontal="right" vertical="center" indent="1"/>
    </xf>
    <xf numFmtId="173" fontId="5" fillId="24" borderId="16" xfId="3" applyNumberFormat="1" applyFont="1" applyFill="1" applyBorder="1" applyAlignment="1" applyProtection="1">
      <alignment horizontal="right" vertical="center" indent="1"/>
    </xf>
    <xf numFmtId="0" fontId="5" fillId="15" borderId="25" xfId="3" applyFill="1" applyBorder="1" applyProtection="1"/>
    <xf numFmtId="0" fontId="5" fillId="15" borderId="26" xfId="3" applyFill="1" applyBorder="1" applyProtection="1"/>
    <xf numFmtId="0" fontId="14" fillId="7" borderId="16" xfId="3" applyFont="1" applyFill="1" applyBorder="1" applyAlignment="1" applyProtection="1">
      <alignment horizontal="left" vertical="center" wrapText="1"/>
      <protection locked="0"/>
    </xf>
    <xf numFmtId="0" fontId="4" fillId="16" borderId="3" xfId="15" applyNumberFormat="1" applyFont="1" applyFill="1" applyBorder="1" applyAlignment="1" applyProtection="1">
      <alignment horizontal="center" vertical="center"/>
      <protection locked="0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0" fillId="11" borderId="32" xfId="0" applyFont="1" applyFill="1" applyBorder="1" applyAlignment="1">
      <alignment horizontal="right" vertical="center"/>
    </xf>
    <xf numFmtId="0" fontId="0" fillId="11" borderId="32" xfId="0" applyFont="1" applyFill="1" applyBorder="1"/>
    <xf numFmtId="0" fontId="20" fillId="11" borderId="10" xfId="0" applyFont="1" applyFill="1" applyBorder="1" applyAlignment="1">
      <alignment horizontal="right" vertical="center"/>
    </xf>
    <xf numFmtId="0" fontId="0" fillId="11" borderId="10" xfId="0" applyFont="1" applyFill="1" applyBorder="1"/>
    <xf numFmtId="0" fontId="20" fillId="11" borderId="5" xfId="0" applyFont="1" applyFill="1" applyBorder="1" applyAlignment="1">
      <alignment horizontal="right" vertical="center"/>
    </xf>
    <xf numFmtId="0" fontId="21" fillId="11" borderId="6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right" vertical="center"/>
    </xf>
    <xf numFmtId="0" fontId="21" fillId="11" borderId="8" xfId="0" applyFont="1" applyFill="1" applyBorder="1" applyAlignment="1">
      <alignment horizontal="center" vertical="center"/>
    </xf>
    <xf numFmtId="0" fontId="0" fillId="11" borderId="3" xfId="0" applyFill="1" applyBorder="1"/>
    <xf numFmtId="0" fontId="4" fillId="9" borderId="3" xfId="0" applyFont="1" applyFill="1" applyBorder="1" applyAlignment="1">
      <alignment horizontal="center" vertical="center"/>
    </xf>
    <xf numFmtId="165" fontId="4" fillId="16" borderId="3" xfId="2" applyNumberFormat="1" applyFont="1" applyFill="1" applyBorder="1" applyAlignment="1" applyProtection="1">
      <alignment horizontal="center" vertical="center"/>
      <protection locked="0"/>
    </xf>
    <xf numFmtId="164" fontId="4" fillId="16" borderId="3" xfId="1" applyNumberFormat="1" applyFont="1" applyFill="1" applyBorder="1" applyAlignment="1" applyProtection="1">
      <alignment vertical="center"/>
      <protection locked="0"/>
    </xf>
    <xf numFmtId="0" fontId="4" fillId="7" borderId="11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164" fontId="4" fillId="5" borderId="1" xfId="1" applyNumberFormat="1" applyFont="1" applyFill="1" applyBorder="1"/>
    <xf numFmtId="164" fontId="4" fillId="5" borderId="0" xfId="1" applyNumberFormat="1" applyFont="1" applyFill="1" applyBorder="1"/>
    <xf numFmtId="164" fontId="4" fillId="5" borderId="2" xfId="1" applyNumberFormat="1" applyFont="1" applyFill="1" applyBorder="1"/>
    <xf numFmtId="164" fontId="4" fillId="5" borderId="9" xfId="1" applyNumberFormat="1" applyFont="1" applyFill="1" applyBorder="1"/>
    <xf numFmtId="164" fontId="4" fillId="5" borderId="10" xfId="1" applyNumberFormat="1" applyFont="1" applyFill="1" applyBorder="1"/>
    <xf numFmtId="164" fontId="4" fillId="5" borderId="8" xfId="1" applyNumberFormat="1" applyFont="1" applyFill="1" applyBorder="1"/>
    <xf numFmtId="0" fontId="4" fillId="10" borderId="11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17" borderId="13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left" indent="1"/>
    </xf>
    <xf numFmtId="0" fontId="22" fillId="0" borderId="6" xfId="0" applyFont="1" applyFill="1" applyBorder="1" applyAlignment="1">
      <alignment horizontal="center"/>
    </xf>
    <xf numFmtId="164" fontId="22" fillId="26" borderId="7" xfId="1" applyNumberFormat="1" applyFont="1" applyFill="1" applyBorder="1"/>
    <xf numFmtId="164" fontId="22" fillId="26" borderId="1" xfId="1" applyNumberFormat="1" applyFont="1" applyFill="1" applyBorder="1"/>
    <xf numFmtId="164" fontId="22" fillId="26" borderId="0" xfId="1" applyNumberFormat="1" applyFont="1" applyFill="1" applyBorder="1"/>
    <xf numFmtId="164" fontId="22" fillId="26" borderId="2" xfId="1" applyNumberFormat="1" applyFont="1" applyFill="1" applyBorder="1"/>
    <xf numFmtId="0" fontId="22" fillId="0" borderId="2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left" indent="1"/>
    </xf>
    <xf numFmtId="0" fontId="22" fillId="0" borderId="8" xfId="0" applyFont="1" applyFill="1" applyBorder="1" applyAlignment="1">
      <alignment horizontal="center"/>
    </xf>
    <xf numFmtId="164" fontId="22" fillId="26" borderId="4" xfId="1" applyNumberFormat="1" applyFont="1" applyFill="1" applyBorder="1"/>
    <xf numFmtId="164" fontId="22" fillId="26" borderId="9" xfId="1" applyNumberFormat="1" applyFont="1" applyFill="1" applyBorder="1"/>
    <xf numFmtId="164" fontId="22" fillId="26" borderId="10" xfId="1" applyNumberFormat="1" applyFont="1" applyFill="1" applyBorder="1"/>
    <xf numFmtId="164" fontId="22" fillId="26" borderId="8" xfId="1" applyNumberFormat="1" applyFont="1" applyFill="1" applyBorder="1"/>
    <xf numFmtId="0" fontId="24" fillId="0" borderId="0" xfId="0" applyFont="1"/>
    <xf numFmtId="164" fontId="0" fillId="0" borderId="0" xfId="0" applyNumberFormat="1" applyFill="1" applyBorder="1"/>
    <xf numFmtId="0" fontId="0" fillId="0" borderId="0" xfId="0" applyNumberFormat="1" applyFill="1" applyBorder="1"/>
    <xf numFmtId="164" fontId="0" fillId="0" borderId="0" xfId="2" applyNumberFormat="1" applyFont="1" applyFill="1" applyBorder="1" applyAlignment="1">
      <alignment horizontal="right"/>
    </xf>
    <xf numFmtId="9" fontId="0" fillId="0" borderId="0" xfId="2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center" vertical="center" wrapText="1"/>
    </xf>
    <xf numFmtId="187" fontId="4" fillId="5" borderId="0" xfId="15" applyNumberFormat="1" applyFont="1" applyFill="1" applyBorder="1"/>
    <xf numFmtId="0" fontId="4" fillId="0" borderId="0" xfId="0" applyFont="1"/>
    <xf numFmtId="0" fontId="3" fillId="4" borderId="0" xfId="0" applyFont="1" applyFill="1" applyBorder="1"/>
    <xf numFmtId="0" fontId="3" fillId="4" borderId="0" xfId="0" applyFont="1" applyFill="1" applyBorder="1" applyAlignment="1">
      <alignment horizontal="center"/>
    </xf>
    <xf numFmtId="164" fontId="4" fillId="4" borderId="0" xfId="0" applyNumberFormat="1" applyFont="1" applyFill="1" applyBorder="1"/>
    <xf numFmtId="0" fontId="4" fillId="4" borderId="0" xfId="15" applyNumberFormat="1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0" fontId="4" fillId="0" borderId="0" xfId="0" applyNumberFormat="1" applyFont="1" applyFill="1" applyBorder="1"/>
    <xf numFmtId="164" fontId="4" fillId="0" borderId="0" xfId="2" applyNumberFormat="1" applyFont="1" applyFill="1" applyBorder="1" applyAlignment="1">
      <alignment horizontal="right"/>
    </xf>
    <xf numFmtId="0" fontId="4" fillId="0" borderId="0" xfId="15" applyNumberFormat="1" applyFont="1" applyFill="1" applyBorder="1"/>
    <xf numFmtId="2" fontId="4" fillId="0" borderId="0" xfId="0" applyNumberFormat="1" applyFont="1" applyFill="1" applyBorder="1"/>
    <xf numFmtId="164" fontId="3" fillId="0" borderId="0" xfId="2" applyNumberFormat="1" applyFont="1" applyFill="1" applyBorder="1" applyAlignment="1">
      <alignment horizontal="right"/>
    </xf>
    <xf numFmtId="164" fontId="4" fillId="0" borderId="0" xfId="1" applyNumberFormat="1" applyFont="1" applyFill="1" applyBorder="1" applyAlignment="1">
      <alignment horizontal="right"/>
    </xf>
    <xf numFmtId="9" fontId="4" fillId="0" borderId="0" xfId="2" applyNumberFormat="1" applyFont="1" applyFill="1" applyBorder="1" applyAlignment="1">
      <alignment horizontal="right"/>
    </xf>
    <xf numFmtId="0" fontId="2" fillId="6" borderId="0" xfId="0" applyFont="1" applyFill="1" applyAlignment="1"/>
    <xf numFmtId="0" fontId="3" fillId="6" borderId="0" xfId="0" applyFont="1" applyFill="1" applyAlignment="1">
      <alignment horizontal="center" vertical="center"/>
    </xf>
    <xf numFmtId="0" fontId="26" fillId="0" borderId="3" xfId="0" applyFont="1" applyFill="1" applyBorder="1" applyAlignment="1" applyProtection="1">
      <alignment horizontal="center" vertical="center" wrapText="1"/>
      <protection locked="0"/>
    </xf>
    <xf numFmtId="0" fontId="0" fillId="11" borderId="0" xfId="0" applyFont="1" applyFill="1" applyBorder="1" applyAlignment="1">
      <alignment horizontal="center" vertical="center"/>
    </xf>
    <xf numFmtId="0" fontId="23" fillId="11" borderId="0" xfId="0" applyFont="1" applyFill="1" applyBorder="1" applyAlignment="1">
      <alignment horizontal="center" vertical="center"/>
    </xf>
    <xf numFmtId="0" fontId="27" fillId="0" borderId="0" xfId="0" applyFont="1"/>
    <xf numFmtId="0" fontId="27" fillId="0" borderId="0" xfId="0" applyFont="1" applyBorder="1"/>
    <xf numFmtId="0" fontId="16" fillId="0" borderId="0" xfId="0" applyFont="1" applyAlignment="1">
      <alignment horizontal="left" indent="1"/>
    </xf>
    <xf numFmtId="187" fontId="4" fillId="5" borderId="0" xfId="15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9" fontId="4" fillId="5" borderId="0" xfId="2" applyNumberFormat="1" applyFont="1" applyFill="1" applyBorder="1" applyAlignment="1">
      <alignment horizontal="right" vertical="center" indent="1"/>
    </xf>
    <xf numFmtId="172" fontId="4" fillId="5" borderId="0" xfId="15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7" fontId="4" fillId="5" borderId="0" xfId="15" applyNumberFormat="1" applyFont="1" applyFill="1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9" fillId="15" borderId="27" xfId="3" applyFont="1" applyFill="1" applyBorder="1" applyAlignment="1" applyProtection="1">
      <alignment horizontal="center" vertical="center"/>
    </xf>
    <xf numFmtId="0" fontId="9" fillId="15" borderId="28" xfId="3" applyFont="1" applyFill="1" applyBorder="1" applyAlignment="1" applyProtection="1">
      <alignment horizontal="center" vertical="center"/>
    </xf>
    <xf numFmtId="0" fontId="9" fillId="15" borderId="29" xfId="3" applyFont="1" applyFill="1" applyBorder="1" applyAlignment="1" applyProtection="1">
      <alignment horizontal="center" vertical="center"/>
    </xf>
    <xf numFmtId="0" fontId="10" fillId="12" borderId="0" xfId="3" applyFont="1" applyBorder="1" applyAlignment="1" applyProtection="1">
      <alignment horizontal="center" vertical="center" wrapText="1"/>
    </xf>
    <xf numFmtId="0" fontId="10" fillId="4" borderId="0" xfId="11" applyFont="1" applyFill="1" applyBorder="1" applyAlignment="1" applyProtection="1">
      <alignment horizontal="center" vertical="center" wrapText="1"/>
    </xf>
    <xf numFmtId="0" fontId="6" fillId="12" borderId="0" xfId="4" applyFont="1" applyFill="1" applyBorder="1" applyAlignment="1" applyProtection="1">
      <alignment horizontal="center" vertical="center"/>
    </xf>
    <xf numFmtId="0" fontId="5" fillId="4" borderId="14" xfId="3" applyFill="1" applyBorder="1" applyAlignment="1" applyProtection="1">
      <alignment horizontal="left" vertical="center" wrapText="1" indent="1"/>
    </xf>
    <xf numFmtId="0" fontId="5" fillId="4" borderId="15" xfId="3" applyFill="1" applyBorder="1" applyAlignment="1" applyProtection="1">
      <alignment horizontal="left" vertical="center" wrapText="1" indent="1"/>
    </xf>
    <xf numFmtId="0" fontId="5" fillId="4" borderId="17" xfId="3" applyFill="1" applyBorder="1" applyAlignment="1" applyProtection="1">
      <alignment horizontal="left" vertical="center" wrapText="1" indent="1"/>
    </xf>
    <xf numFmtId="0" fontId="5" fillId="14" borderId="16" xfId="3" applyFont="1" applyFill="1" applyBorder="1" applyAlignment="1" applyProtection="1">
      <alignment horizontal="left" vertical="center" wrapText="1" indent="1"/>
    </xf>
    <xf numFmtId="0" fontId="5" fillId="14" borderId="14" xfId="3" applyFont="1" applyFill="1" applyBorder="1" applyAlignment="1" applyProtection="1">
      <alignment horizontal="left" vertical="center" wrapText="1" indent="1"/>
    </xf>
    <xf numFmtId="0" fontId="5" fillId="14" borderId="15" xfId="3" applyFont="1" applyFill="1" applyBorder="1" applyAlignment="1" applyProtection="1">
      <alignment horizontal="left" vertical="center" wrapText="1" indent="1"/>
    </xf>
    <xf numFmtId="0" fontId="5" fillId="14" borderId="17" xfId="3" applyFont="1" applyFill="1" applyBorder="1" applyAlignment="1" applyProtection="1">
      <alignment horizontal="left" vertical="center" wrapText="1" indent="1"/>
    </xf>
    <xf numFmtId="49" fontId="10" fillId="19" borderId="31" xfId="3" applyNumberFormat="1" applyFont="1" applyFill="1" applyBorder="1" applyAlignment="1" applyProtection="1">
      <alignment horizontal="left" vertical="center" wrapText="1"/>
    </xf>
    <xf numFmtId="49" fontId="10" fillId="11" borderId="30" xfId="3" applyNumberFormat="1" applyFont="1" applyFill="1" applyBorder="1" applyAlignment="1" applyProtection="1">
      <alignment horizontal="left" vertical="center" wrapText="1"/>
    </xf>
    <xf numFmtId="0" fontId="5" fillId="14" borderId="14" xfId="3" applyFont="1" applyFill="1" applyBorder="1" applyAlignment="1" applyProtection="1">
      <alignment horizontal="left" vertical="center" indent="1"/>
    </xf>
    <xf numFmtId="0" fontId="5" fillId="14" borderId="15" xfId="3" applyFont="1" applyFill="1" applyBorder="1" applyAlignment="1" applyProtection="1">
      <alignment horizontal="left" vertical="center" indent="1"/>
    </xf>
    <xf numFmtId="0" fontId="5" fillId="14" borderId="26" xfId="3" applyFont="1" applyFill="1" applyBorder="1" applyAlignment="1" applyProtection="1">
      <alignment horizontal="left" vertical="center" indent="1"/>
    </xf>
    <xf numFmtId="0" fontId="2" fillId="4" borderId="0" xfId="0" applyFont="1" applyFill="1"/>
    <xf numFmtId="0" fontId="2" fillId="17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</cellXfs>
  <cellStyles count="17">
    <cellStyle name="Amounts" xfId="9"/>
    <cellStyle name="Bad 2" xfId="6"/>
    <cellStyle name="Calculated" xfId="10"/>
    <cellStyle name="Category" xfId="5"/>
    <cellStyle name="Comma" xfId="15" builtinId="3"/>
    <cellStyle name="Comma 2" xfId="7"/>
    <cellStyle name="Comments" xfId="8"/>
    <cellStyle name="Currency" xfId="1" builtinId="4"/>
    <cellStyle name="Heading 1 2" xfId="4"/>
    <cellStyle name="Heading 2 2" xfId="11"/>
    <cellStyle name="Hyperlink" xfId="16" builtinId="8"/>
    <cellStyle name="Normal" xfId="0" builtinId="0"/>
    <cellStyle name="Normal 2" xfId="3"/>
    <cellStyle name="Percent" xfId="2" builtinId="5"/>
    <cellStyle name="Percent 2" xfId="13"/>
    <cellStyle name="Remark" xfId="14"/>
    <cellStyle name="Total2" xfId="12"/>
  </cellStyles>
  <dxfs count="46">
    <dxf>
      <fill>
        <patternFill>
          <bgColor theme="2" tint="-0.2499465926084170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 val="0"/>
        <i val="0"/>
      </font>
      <border>
        <left style="thin">
          <color theme="1" tint="0.14996795556505021"/>
        </left>
        <right style="thin">
          <color theme="1" tint="0.14996795556505021"/>
        </right>
        <top style="thin">
          <color theme="1" tint="0.14996795556505021"/>
        </top>
        <bottom style="thin">
          <color theme="1" tint="0.14996795556505021"/>
        </bottom>
      </border>
    </dxf>
    <dxf>
      <font>
        <b val="0"/>
        <i val="0"/>
      </font>
      <border>
        <left style="thin">
          <color theme="1" tint="0.14996795556505021"/>
        </left>
        <right style="thin">
          <color theme="1" tint="0.14996795556505021"/>
        </right>
        <top style="thin">
          <color theme="1" tint="0.14996795556505021"/>
        </top>
        <bottom style="thin">
          <color theme="1" tint="0.14996795556505021"/>
        </bottom>
      </border>
    </dxf>
    <dxf>
      <font>
        <b val="0"/>
        <i val="0"/>
      </font>
      <border>
        <left style="thin">
          <color theme="1" tint="0.14996795556505021"/>
        </left>
        <right style="thin">
          <color theme="1" tint="0.14996795556505021"/>
        </right>
        <top style="thin">
          <color theme="1" tint="0.14996795556505021"/>
        </top>
        <bottom style="thin">
          <color theme="1" tint="0.14996795556505021"/>
        </bottom>
      </border>
    </dxf>
    <dxf>
      <font>
        <b val="0"/>
        <i val="0"/>
      </font>
      <border>
        <left style="thin">
          <color theme="1" tint="0.14996795556505021"/>
        </left>
        <right style="thin">
          <color theme="1" tint="0.14996795556505021"/>
        </right>
        <top style="thin">
          <color theme="1" tint="0.14996795556505021"/>
        </top>
        <bottom style="thin">
          <color theme="1" tint="0.14996795556505021"/>
        </bottom>
      </border>
    </dxf>
    <dxf>
      <font>
        <b val="0"/>
        <i val="0"/>
      </font>
      <border>
        <left style="thin">
          <color theme="1" tint="0.14996795556505021"/>
        </left>
        <right style="thin">
          <color theme="1" tint="0.14996795556505021"/>
        </right>
        <top style="thin">
          <color theme="1" tint="0.14996795556505021"/>
        </top>
        <bottom style="thin">
          <color theme="1" tint="0.14996795556505021"/>
        </bottom>
      </border>
    </dxf>
    <dxf>
      <font>
        <b val="0"/>
        <i val="0"/>
      </font>
      <border>
        <left style="thin">
          <color theme="1" tint="0.14996795556505021"/>
        </left>
        <right style="thin">
          <color theme="1" tint="0.14996795556505021"/>
        </right>
        <top style="thin">
          <color theme="1" tint="0.14996795556505021"/>
        </top>
        <bottom style="thin">
          <color theme="1" tint="0.14996795556505021"/>
        </bottom>
      </border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24994659260841701"/>
        <name val="Cambria"/>
        <scheme val="none"/>
      </font>
      <fill>
        <patternFill>
          <bgColor theme="9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9" tint="-0.24994659260841701"/>
        <name val="Cambria"/>
        <scheme val="none"/>
      </font>
      <fill>
        <patternFill>
          <bgColor theme="9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9" tint="-0.24994659260841701"/>
        <name val="Cambria"/>
        <scheme val="none"/>
      </font>
      <fill>
        <patternFill>
          <bgColor theme="9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9" tint="-0.24994659260841701"/>
        <name val="Cambria"/>
        <scheme val="none"/>
      </font>
      <fill>
        <patternFill>
          <bgColor theme="9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FF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99493813273346E-2"/>
          <c:y val="5.2443216232586305E-2"/>
          <c:w val="0.91300630389951254"/>
          <c:h val="0.52904732017193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Graphs!$T$3</c:f>
              <c:strCache>
                <c:ptCount val="1"/>
                <c:pt idx="0">
                  <c:v>Total Exposures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Graphs!$R$4:$R$38</c:f>
              <c:strCache>
                <c:ptCount val="33"/>
                <c:pt idx="0">
                  <c:v>Jpmorgan Chase &amp; Co.</c:v>
                </c:pt>
                <c:pt idx="1">
                  <c:v>Bank Of America Corporation</c:v>
                </c:pt>
                <c:pt idx="2">
                  <c:v>Citigroup Inc.</c:v>
                </c:pt>
                <c:pt idx="3">
                  <c:v>Wells Fargo &amp; Company</c:v>
                </c:pt>
                <c:pt idx="4">
                  <c:v>Goldman Sachs Group, Inc., The</c:v>
                </c:pt>
                <c:pt idx="5">
                  <c:v>Morgan Stanley</c:v>
                </c:pt>
                <c:pt idx="6">
                  <c:v>U.S. Bancorp</c:v>
                </c:pt>
                <c:pt idx="7">
                  <c:v>Pnc Financial Services Group, Inc., The</c:v>
                </c:pt>
                <c:pt idx="8">
                  <c:v>Bank Of New York Mellon Corporation, The</c:v>
                </c:pt>
                <c:pt idx="9">
                  <c:v>Hsbc North America Holdings Inc.</c:v>
                </c:pt>
                <c:pt idx="10">
                  <c:v>Capital One Financial Corporation</c:v>
                </c:pt>
                <c:pt idx="11">
                  <c:v>State Street Corporation</c:v>
                </c:pt>
                <c:pt idx="12">
                  <c:v>Td Bank Us Holding Company</c:v>
                </c:pt>
                <c:pt idx="13">
                  <c:v>Suntrust Banks, Inc.</c:v>
                </c:pt>
                <c:pt idx="14">
                  <c:v>Bb&amp;T Corporation</c:v>
                </c:pt>
                <c:pt idx="15">
                  <c:v>American Express Company</c:v>
                </c:pt>
                <c:pt idx="16">
                  <c:v>Fifth Third Bancorp</c:v>
                </c:pt>
                <c:pt idx="17">
                  <c:v>Citizens Financial Group, Inc.</c:v>
                </c:pt>
                <c:pt idx="18">
                  <c:v>Bmo Financial Corp.</c:v>
                </c:pt>
                <c:pt idx="19">
                  <c:v>Ally Financial Inc.</c:v>
                </c:pt>
                <c:pt idx="20">
                  <c:v>Mufg Americas Holdings Corporation</c:v>
                </c:pt>
                <c:pt idx="21">
                  <c:v>Northern Trust Corporation</c:v>
                </c:pt>
                <c:pt idx="22">
                  <c:v>Regions Financial Corporation</c:v>
                </c:pt>
                <c:pt idx="23">
                  <c:v>Santander Holdings Usa, Inc.</c:v>
                </c:pt>
                <c:pt idx="24">
                  <c:v>Keycorp</c:v>
                </c:pt>
                <c:pt idx="25">
                  <c:v>M&amp;T Bank Corporation</c:v>
                </c:pt>
                <c:pt idx="26">
                  <c:v>Bancwest Corporation</c:v>
                </c:pt>
                <c:pt idx="27">
                  <c:v>Bbva Compass Bancshares, Inc.</c:v>
                </c:pt>
                <c:pt idx="28">
                  <c:v>Comerica Incorporated</c:v>
                </c:pt>
                <c:pt idx="29">
                  <c:v>Discover Financial Services</c:v>
                </c:pt>
                <c:pt idx="30">
                  <c:v>Huntington Bancshares Incorporated</c:v>
                </c:pt>
                <c:pt idx="31">
                  <c:v>Zions Bancorporation</c:v>
                </c:pt>
                <c:pt idx="32">
                  <c:v>Deutsche Bank Trust Corporation</c:v>
                </c:pt>
              </c:strCache>
            </c:strRef>
          </c:cat>
          <c:val>
            <c:numRef>
              <c:f>Graphs!$T$4:$T$38</c:f>
              <c:numCache>
                <c:formatCode>_([$$-409]* #,##0.00_);_([$$-409]* \(#,##0.00\);_([$$-409]* "-"??_);_(@_)</c:formatCode>
                <c:ptCount val="35"/>
                <c:pt idx="0">
                  <c:v>3743113</c:v>
                </c:pt>
                <c:pt idx="1">
                  <c:v>2810245.9589999998</c:v>
                </c:pt>
                <c:pt idx="2">
                  <c:v>2765877.5</c:v>
                </c:pt>
                <c:pt idx="3">
                  <c:v>2191752.2999999998</c:v>
                </c:pt>
                <c:pt idx="4">
                  <c:v>1484013</c:v>
                </c:pt>
                <c:pt idx="5">
                  <c:v>1281234.6640000001</c:v>
                </c:pt>
                <c:pt idx="6">
                  <c:v>538755.69999999995</c:v>
                </c:pt>
                <c:pt idx="7">
                  <c:v>459925.08100000001</c:v>
                </c:pt>
                <c:pt idx="8">
                  <c:v>418631.8</c:v>
                </c:pt>
                <c:pt idx="9">
                  <c:v>416909.71299999999</c:v>
                </c:pt>
                <c:pt idx="10">
                  <c:v>353601.304</c:v>
                </c:pt>
                <c:pt idx="11">
                  <c:v>292211.65500000003</c:v>
                </c:pt>
                <c:pt idx="12">
                  <c:v>283631.859</c:v>
                </c:pt>
                <c:pt idx="13">
                  <c:v>252483.177</c:v>
                </c:pt>
                <c:pt idx="14">
                  <c:v>217773.05</c:v>
                </c:pt>
                <c:pt idx="15">
                  <c:v>184977.1</c:v>
                </c:pt>
                <c:pt idx="16">
                  <c:v>184945.58799999999</c:v>
                </c:pt>
                <c:pt idx="17">
                  <c:v>157363.598</c:v>
                </c:pt>
                <c:pt idx="18">
                  <c:v>155869.27799999999</c:v>
                </c:pt>
                <c:pt idx="19">
                  <c:v>154346.6</c:v>
                </c:pt>
                <c:pt idx="20">
                  <c:v>153901.38399999999</c:v>
                </c:pt>
                <c:pt idx="21">
                  <c:v>151569.46599999999</c:v>
                </c:pt>
                <c:pt idx="22">
                  <c:v>151156.76300000001</c:v>
                </c:pt>
                <c:pt idx="23">
                  <c:v>146358.35699999999</c:v>
                </c:pt>
                <c:pt idx="24">
                  <c:v>140421.22899999999</c:v>
                </c:pt>
                <c:pt idx="25">
                  <c:v>119589.791</c:v>
                </c:pt>
                <c:pt idx="26">
                  <c:v>111924.474</c:v>
                </c:pt>
                <c:pt idx="27">
                  <c:v>107580.046</c:v>
                </c:pt>
                <c:pt idx="28">
                  <c:v>102554.103</c:v>
                </c:pt>
                <c:pt idx="29">
                  <c:v>100186.019</c:v>
                </c:pt>
                <c:pt idx="30">
                  <c:v>80340.612999999998</c:v>
                </c:pt>
                <c:pt idx="31">
                  <c:v>74391.153000000006</c:v>
                </c:pt>
                <c:pt idx="32">
                  <c:v>52700.800000000003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5-4F66-9913-E7E24FCEE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367911728"/>
        <c:axId val="367922704"/>
      </c:barChart>
      <c:catAx>
        <c:axId val="36791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22704"/>
        <c:crosses val="autoZero"/>
        <c:auto val="1"/>
        <c:lblAlgn val="ctr"/>
        <c:lblOffset val="100"/>
        <c:noMultiLvlLbl val="0"/>
      </c:catAx>
      <c:valAx>
        <c:axId val="36792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1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99493813273346E-2"/>
          <c:y val="5.2443216232586305E-2"/>
          <c:w val="0.91300630389951254"/>
          <c:h val="0.52904732017193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Graphs!$X$3</c:f>
              <c:strCache>
                <c:ptCount val="1"/>
                <c:pt idx="0">
                  <c:v>Intra-Financial System Assets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Graphs!$V$4:$V$38</c:f>
              <c:strCache>
                <c:ptCount val="33"/>
                <c:pt idx="0">
                  <c:v>Jpmorgan Chase &amp; Co.</c:v>
                </c:pt>
                <c:pt idx="1">
                  <c:v>Goldman Sachs Group, Inc., The</c:v>
                </c:pt>
                <c:pt idx="2">
                  <c:v>Citigroup Inc.</c:v>
                </c:pt>
                <c:pt idx="3">
                  <c:v>Bank Of America Corporation</c:v>
                </c:pt>
                <c:pt idx="4">
                  <c:v>Morgan Stanley</c:v>
                </c:pt>
                <c:pt idx="5">
                  <c:v>Wells Fargo &amp; Company</c:v>
                </c:pt>
                <c:pt idx="6">
                  <c:v>Bank Of New York Mellon Corporation, The</c:v>
                </c:pt>
                <c:pt idx="7">
                  <c:v>Northern Trust Corporation</c:v>
                </c:pt>
                <c:pt idx="8">
                  <c:v>State Street Corporation</c:v>
                </c:pt>
                <c:pt idx="9">
                  <c:v>Hsbc North America Holdings Inc.</c:v>
                </c:pt>
                <c:pt idx="10">
                  <c:v>Deutsche Bank Trust Corporation</c:v>
                </c:pt>
                <c:pt idx="11">
                  <c:v>Pnc Financial Services Group, Inc., The</c:v>
                </c:pt>
                <c:pt idx="12">
                  <c:v>Capital One Financial Corporation</c:v>
                </c:pt>
                <c:pt idx="13">
                  <c:v>Bmo Financial Corp.</c:v>
                </c:pt>
                <c:pt idx="14">
                  <c:v>U.S. Bancorp</c:v>
                </c:pt>
                <c:pt idx="15">
                  <c:v>Td Bank Us Holding Company</c:v>
                </c:pt>
                <c:pt idx="16">
                  <c:v>Mufg Americas Holdings Corporation</c:v>
                </c:pt>
                <c:pt idx="17">
                  <c:v>American Express Company</c:v>
                </c:pt>
                <c:pt idx="18">
                  <c:v>Discover Financial Services</c:v>
                </c:pt>
                <c:pt idx="19">
                  <c:v>Comerica Incorporated</c:v>
                </c:pt>
                <c:pt idx="20">
                  <c:v>Keycorp</c:v>
                </c:pt>
                <c:pt idx="21">
                  <c:v>Ally Financial Inc.</c:v>
                </c:pt>
                <c:pt idx="22">
                  <c:v>Citizens Financial Group, Inc.</c:v>
                </c:pt>
                <c:pt idx="23">
                  <c:v>Bbva Compass Bancshares, Inc.</c:v>
                </c:pt>
                <c:pt idx="24">
                  <c:v>Santander Holdings Usa, Inc.</c:v>
                </c:pt>
                <c:pt idx="25">
                  <c:v>Suntrust Banks, Inc.</c:v>
                </c:pt>
                <c:pt idx="26">
                  <c:v>Fifth Third Bancorp</c:v>
                </c:pt>
                <c:pt idx="27">
                  <c:v>Huntington Bancshares Incorporated</c:v>
                </c:pt>
                <c:pt idx="28">
                  <c:v>M&amp;T Bank Corporation</c:v>
                </c:pt>
                <c:pt idx="29">
                  <c:v>Zions Bancorporation</c:v>
                </c:pt>
                <c:pt idx="30">
                  <c:v>Bb&amp;T Corporation</c:v>
                </c:pt>
                <c:pt idx="31">
                  <c:v>Regions Financial Corporation</c:v>
                </c:pt>
                <c:pt idx="32">
                  <c:v>Bancwest Corporation</c:v>
                </c:pt>
              </c:strCache>
            </c:strRef>
          </c:cat>
          <c:val>
            <c:numRef>
              <c:f>Graphs!$X$4:$X$38</c:f>
              <c:numCache>
                <c:formatCode>_([$$-409]* #,##0.00_);_([$$-409]* \(#,##0.00\);_([$$-409]* "-"??_);_(@_)</c:formatCode>
                <c:ptCount val="35"/>
                <c:pt idx="0">
                  <c:v>461425</c:v>
                </c:pt>
                <c:pt idx="1">
                  <c:v>326951</c:v>
                </c:pt>
                <c:pt idx="2">
                  <c:v>317240</c:v>
                </c:pt>
                <c:pt idx="3">
                  <c:v>305364.43400000001</c:v>
                </c:pt>
                <c:pt idx="4">
                  <c:v>221710.37700000001</c:v>
                </c:pt>
                <c:pt idx="5">
                  <c:v>167007</c:v>
                </c:pt>
                <c:pt idx="6">
                  <c:v>59446</c:v>
                </c:pt>
                <c:pt idx="7">
                  <c:v>43202.591</c:v>
                </c:pt>
                <c:pt idx="8">
                  <c:v>38366.180999999997</c:v>
                </c:pt>
                <c:pt idx="9">
                  <c:v>36445.146999999997</c:v>
                </c:pt>
                <c:pt idx="10">
                  <c:v>24422.799999999999</c:v>
                </c:pt>
                <c:pt idx="11">
                  <c:v>18636</c:v>
                </c:pt>
                <c:pt idx="12">
                  <c:v>17493.034</c:v>
                </c:pt>
                <c:pt idx="13">
                  <c:v>16264.165999999999</c:v>
                </c:pt>
                <c:pt idx="14">
                  <c:v>15130</c:v>
                </c:pt>
                <c:pt idx="15">
                  <c:v>12414.462</c:v>
                </c:pt>
                <c:pt idx="16">
                  <c:v>10971.438</c:v>
                </c:pt>
                <c:pt idx="17">
                  <c:v>8243</c:v>
                </c:pt>
                <c:pt idx="18">
                  <c:v>7507.7309999999998</c:v>
                </c:pt>
                <c:pt idx="19">
                  <c:v>6057.5720000000001</c:v>
                </c:pt>
                <c:pt idx="20">
                  <c:v>5423.3310000000001</c:v>
                </c:pt>
                <c:pt idx="21">
                  <c:v>5416</c:v>
                </c:pt>
                <c:pt idx="22">
                  <c:v>4738.5550000000003</c:v>
                </c:pt>
                <c:pt idx="23">
                  <c:v>3897.0120000000002</c:v>
                </c:pt>
                <c:pt idx="24">
                  <c:v>3821.355</c:v>
                </c:pt>
                <c:pt idx="25">
                  <c:v>3520.1979999999999</c:v>
                </c:pt>
                <c:pt idx="26">
                  <c:v>3247.5880000000002</c:v>
                </c:pt>
                <c:pt idx="27">
                  <c:v>2270.14</c:v>
                </c:pt>
                <c:pt idx="28">
                  <c:v>2260.067</c:v>
                </c:pt>
                <c:pt idx="29">
                  <c:v>1745.942</c:v>
                </c:pt>
                <c:pt idx="30">
                  <c:v>1688.0530000000001</c:v>
                </c:pt>
                <c:pt idx="31">
                  <c:v>1314.25</c:v>
                </c:pt>
                <c:pt idx="32">
                  <c:v>1295.7629999999999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B-4792-B976-5B8A87B38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367914080"/>
        <c:axId val="367914472"/>
      </c:barChart>
      <c:catAx>
        <c:axId val="36791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14472"/>
        <c:crosses val="autoZero"/>
        <c:auto val="1"/>
        <c:lblAlgn val="ctr"/>
        <c:lblOffset val="100"/>
        <c:noMultiLvlLbl val="0"/>
      </c:catAx>
      <c:valAx>
        <c:axId val="36791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1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99493813273346E-2"/>
          <c:y val="5.2443216232586305E-2"/>
          <c:w val="0.91300630389951254"/>
          <c:h val="0.52904732017193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Graphs!$AB$3</c:f>
              <c:strCache>
                <c:ptCount val="1"/>
                <c:pt idx="0">
                  <c:v>Intra-Financial System Liabilities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Graphs!$Z$4:$Z$38</c:f>
              <c:strCache>
                <c:ptCount val="33"/>
                <c:pt idx="0">
                  <c:v>Jpmorgan Chase &amp; Co.</c:v>
                </c:pt>
                <c:pt idx="1">
                  <c:v>Citigroup Inc.</c:v>
                </c:pt>
                <c:pt idx="2">
                  <c:v>Bank Of New York Mellon Corporation, The</c:v>
                </c:pt>
                <c:pt idx="3">
                  <c:v>Bank Of America Corporation</c:v>
                </c:pt>
                <c:pt idx="4">
                  <c:v>State Street Corporation</c:v>
                </c:pt>
                <c:pt idx="5">
                  <c:v>Wells Fargo &amp; Company</c:v>
                </c:pt>
                <c:pt idx="6">
                  <c:v>Morgan Stanley</c:v>
                </c:pt>
                <c:pt idx="7">
                  <c:v>Goldman Sachs Group, Inc., The</c:v>
                </c:pt>
                <c:pt idx="8">
                  <c:v>Hsbc North America Holdings Inc.</c:v>
                </c:pt>
                <c:pt idx="9">
                  <c:v>Deutsche Bank Trust Corporation</c:v>
                </c:pt>
                <c:pt idx="10">
                  <c:v>Northern Trust Corporation</c:v>
                </c:pt>
                <c:pt idx="11">
                  <c:v>U.S. Bancorp</c:v>
                </c:pt>
                <c:pt idx="12">
                  <c:v>Ally Financial Inc.</c:v>
                </c:pt>
                <c:pt idx="13">
                  <c:v>Pnc Financial Services Group, Inc., The</c:v>
                </c:pt>
                <c:pt idx="14">
                  <c:v>Bancwest Corporation</c:v>
                </c:pt>
                <c:pt idx="15">
                  <c:v>Santander Holdings Usa, Inc.</c:v>
                </c:pt>
                <c:pt idx="16">
                  <c:v>Regions Financial Corporation</c:v>
                </c:pt>
                <c:pt idx="17">
                  <c:v>American Express Company</c:v>
                </c:pt>
                <c:pt idx="18">
                  <c:v>Citizens Financial Group, Inc.</c:v>
                </c:pt>
                <c:pt idx="19">
                  <c:v>Mufg Americas Holdings Corporation</c:v>
                </c:pt>
                <c:pt idx="20">
                  <c:v>M&amp;T Bank Corporation</c:v>
                </c:pt>
                <c:pt idx="21">
                  <c:v>Comerica Incorporated</c:v>
                </c:pt>
                <c:pt idx="22">
                  <c:v>Bb&amp;T Corporation</c:v>
                </c:pt>
                <c:pt idx="23">
                  <c:v>Td Bank Us Holding Company</c:v>
                </c:pt>
                <c:pt idx="24">
                  <c:v>Fifth Third Bancorp</c:v>
                </c:pt>
                <c:pt idx="25">
                  <c:v>Zions Bancorporation</c:v>
                </c:pt>
                <c:pt idx="26">
                  <c:v>Bbva Compass Bancshares, Inc.</c:v>
                </c:pt>
                <c:pt idx="27">
                  <c:v>Keycorp</c:v>
                </c:pt>
                <c:pt idx="28">
                  <c:v>Capital One Financial Corporation</c:v>
                </c:pt>
                <c:pt idx="29">
                  <c:v>Suntrust Banks, Inc.</c:v>
                </c:pt>
                <c:pt idx="30">
                  <c:v>Huntington Bancshares Incorporated</c:v>
                </c:pt>
                <c:pt idx="31">
                  <c:v>Bmo Financial Corp.</c:v>
                </c:pt>
                <c:pt idx="32">
                  <c:v>Discover Financial Services</c:v>
                </c:pt>
              </c:strCache>
            </c:strRef>
          </c:cat>
          <c:val>
            <c:numRef>
              <c:f>Graphs!$AB$4:$AB$38</c:f>
              <c:numCache>
                <c:formatCode>_([$$-409]* #,##0.00_);_([$$-409]* \(#,##0.00\);_([$$-409]* "-"??_);_(@_)</c:formatCode>
                <c:ptCount val="35"/>
                <c:pt idx="0">
                  <c:v>570830</c:v>
                </c:pt>
                <c:pt idx="1">
                  <c:v>458603</c:v>
                </c:pt>
                <c:pt idx="2">
                  <c:v>248552</c:v>
                </c:pt>
                <c:pt idx="3">
                  <c:v>227579.65299999999</c:v>
                </c:pt>
                <c:pt idx="4">
                  <c:v>214038.86900000001</c:v>
                </c:pt>
                <c:pt idx="5">
                  <c:v>170841</c:v>
                </c:pt>
                <c:pt idx="6">
                  <c:v>118359.86599999999</c:v>
                </c:pt>
                <c:pt idx="7">
                  <c:v>113405</c:v>
                </c:pt>
                <c:pt idx="8">
                  <c:v>41279.038</c:v>
                </c:pt>
                <c:pt idx="9">
                  <c:v>26104</c:v>
                </c:pt>
                <c:pt idx="10">
                  <c:v>17567.797999999999</c:v>
                </c:pt>
                <c:pt idx="11">
                  <c:v>13976</c:v>
                </c:pt>
                <c:pt idx="12">
                  <c:v>13796</c:v>
                </c:pt>
                <c:pt idx="13">
                  <c:v>8342</c:v>
                </c:pt>
                <c:pt idx="14">
                  <c:v>8252.59</c:v>
                </c:pt>
                <c:pt idx="15">
                  <c:v>7289.9480000000003</c:v>
                </c:pt>
                <c:pt idx="16">
                  <c:v>6831.84</c:v>
                </c:pt>
                <c:pt idx="17">
                  <c:v>5794</c:v>
                </c:pt>
                <c:pt idx="18">
                  <c:v>5785.5119999999997</c:v>
                </c:pt>
                <c:pt idx="19">
                  <c:v>5362.9380000000001</c:v>
                </c:pt>
                <c:pt idx="20">
                  <c:v>5014.0479999999998</c:v>
                </c:pt>
                <c:pt idx="21">
                  <c:v>4756.9089999999997</c:v>
                </c:pt>
                <c:pt idx="22">
                  <c:v>4558.3810000000003</c:v>
                </c:pt>
                <c:pt idx="23">
                  <c:v>4472.2439999999997</c:v>
                </c:pt>
                <c:pt idx="24">
                  <c:v>3231.8560000000002</c:v>
                </c:pt>
                <c:pt idx="25">
                  <c:v>2713.3409999999999</c:v>
                </c:pt>
                <c:pt idx="26">
                  <c:v>2656.66</c:v>
                </c:pt>
                <c:pt idx="27">
                  <c:v>2139.61</c:v>
                </c:pt>
                <c:pt idx="28">
                  <c:v>1682.001</c:v>
                </c:pt>
                <c:pt idx="29">
                  <c:v>1281.693</c:v>
                </c:pt>
                <c:pt idx="30">
                  <c:v>1273.6780000000001</c:v>
                </c:pt>
                <c:pt idx="31">
                  <c:v>881.24099999999999</c:v>
                </c:pt>
                <c:pt idx="32">
                  <c:v>233.917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7-438C-9D97-DD719D405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367915256"/>
        <c:axId val="367915648"/>
      </c:barChart>
      <c:catAx>
        <c:axId val="367915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15648"/>
        <c:crosses val="autoZero"/>
        <c:auto val="1"/>
        <c:lblAlgn val="ctr"/>
        <c:lblOffset val="100"/>
        <c:noMultiLvlLbl val="0"/>
      </c:catAx>
      <c:valAx>
        <c:axId val="36791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15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99493813273346E-2"/>
          <c:y val="5.2443216232586305E-2"/>
          <c:w val="0.91300630389951254"/>
          <c:h val="0.52904732017193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Graphs!$AF$3</c:f>
              <c:strCache>
                <c:ptCount val="1"/>
                <c:pt idx="0">
                  <c:v>Securities Outstanding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Graphs!$AD$4:$AD$38</c:f>
              <c:strCache>
                <c:ptCount val="33"/>
                <c:pt idx="0">
                  <c:v>Jpmorgan Chase &amp; Co.</c:v>
                </c:pt>
                <c:pt idx="1">
                  <c:v>Wells Fargo &amp; Company</c:v>
                </c:pt>
                <c:pt idx="2">
                  <c:v>Citigroup Inc.</c:v>
                </c:pt>
                <c:pt idx="3">
                  <c:v>Bank Of America Corporation</c:v>
                </c:pt>
                <c:pt idx="4">
                  <c:v>Goldman Sachs Group, Inc., The</c:v>
                </c:pt>
                <c:pt idx="5">
                  <c:v>Morgan Stanley</c:v>
                </c:pt>
                <c:pt idx="6">
                  <c:v>U.S. Bancorp</c:v>
                </c:pt>
                <c:pt idx="7">
                  <c:v>American Express Company</c:v>
                </c:pt>
                <c:pt idx="8">
                  <c:v>Ally Financial Inc.</c:v>
                </c:pt>
                <c:pt idx="9">
                  <c:v>Capital One Financial Corporation</c:v>
                </c:pt>
                <c:pt idx="10">
                  <c:v>Discover Financial Services</c:v>
                </c:pt>
                <c:pt idx="11">
                  <c:v>Pnc Financial Services Group, Inc., The</c:v>
                </c:pt>
                <c:pt idx="12">
                  <c:v>Bb&amp;T Corporation</c:v>
                </c:pt>
                <c:pt idx="13">
                  <c:v>Bank Of New York Mellon Corporation, The</c:v>
                </c:pt>
                <c:pt idx="14">
                  <c:v>State Street Corporation</c:v>
                </c:pt>
                <c:pt idx="15">
                  <c:v>Hsbc North America Holdings Inc.</c:v>
                </c:pt>
                <c:pt idx="16">
                  <c:v>Suntrust Banks, Inc.</c:v>
                </c:pt>
                <c:pt idx="17">
                  <c:v>Fifth Third Bancorp</c:v>
                </c:pt>
                <c:pt idx="18">
                  <c:v>Regions Financial Corporation</c:v>
                </c:pt>
                <c:pt idx="19">
                  <c:v>M&amp;T Bank Corporation</c:v>
                </c:pt>
                <c:pt idx="20">
                  <c:v>Keycorp</c:v>
                </c:pt>
                <c:pt idx="21">
                  <c:v>Santander Holdings Usa, Inc.</c:v>
                </c:pt>
                <c:pt idx="22">
                  <c:v>Bmo Financial Corp.</c:v>
                </c:pt>
                <c:pt idx="23">
                  <c:v>Mufg Americas Holdings Corporation</c:v>
                </c:pt>
                <c:pt idx="24">
                  <c:v>Northern Trust Corporation</c:v>
                </c:pt>
                <c:pt idx="25">
                  <c:v>Huntington Bancshares Incorporated</c:v>
                </c:pt>
                <c:pt idx="26">
                  <c:v>Comerica Incorporated</c:v>
                </c:pt>
                <c:pt idx="27">
                  <c:v>Bbva Compass Bancshares, Inc.</c:v>
                </c:pt>
                <c:pt idx="28">
                  <c:v>Bancwest Corporation</c:v>
                </c:pt>
                <c:pt idx="29">
                  <c:v>Zions Bancorporation</c:v>
                </c:pt>
                <c:pt idx="30">
                  <c:v>Td Bank Us Holding Company</c:v>
                </c:pt>
                <c:pt idx="31">
                  <c:v>Citizens Financial Group, Inc.</c:v>
                </c:pt>
                <c:pt idx="32">
                  <c:v>Deutsche Bank Trust Corporation</c:v>
                </c:pt>
              </c:strCache>
            </c:strRef>
          </c:cat>
          <c:val>
            <c:numRef>
              <c:f>Graphs!$AF$4:$AF$38</c:f>
              <c:numCache>
                <c:formatCode>_([$$-409]* #,##0.00_);_([$$-409]* \(#,##0.00\);_([$$-409]* "-"??_);_(@_)</c:formatCode>
                <c:ptCount val="35"/>
                <c:pt idx="0">
                  <c:v>641607</c:v>
                </c:pt>
                <c:pt idx="1">
                  <c:v>590283</c:v>
                </c:pt>
                <c:pt idx="2">
                  <c:v>505808</c:v>
                </c:pt>
                <c:pt idx="3">
                  <c:v>499710.859</c:v>
                </c:pt>
                <c:pt idx="4">
                  <c:v>328277</c:v>
                </c:pt>
                <c:pt idx="5">
                  <c:v>246186.644</c:v>
                </c:pt>
                <c:pt idx="6">
                  <c:v>174515</c:v>
                </c:pt>
                <c:pt idx="7">
                  <c:v>162085</c:v>
                </c:pt>
                <c:pt idx="8">
                  <c:v>116354</c:v>
                </c:pt>
                <c:pt idx="9">
                  <c:v>104286.648</c:v>
                </c:pt>
                <c:pt idx="10">
                  <c:v>79096.437999999995</c:v>
                </c:pt>
                <c:pt idx="11">
                  <c:v>78034.804000000004</c:v>
                </c:pt>
                <c:pt idx="12">
                  <c:v>68023.414000000004</c:v>
                </c:pt>
                <c:pt idx="13">
                  <c:v>66878</c:v>
                </c:pt>
                <c:pt idx="14">
                  <c:v>60107.008999999998</c:v>
                </c:pt>
                <c:pt idx="15">
                  <c:v>54211.152999999998</c:v>
                </c:pt>
                <c:pt idx="16">
                  <c:v>51740.993000000002</c:v>
                </c:pt>
                <c:pt idx="17">
                  <c:v>38466.464</c:v>
                </c:pt>
                <c:pt idx="18">
                  <c:v>27305.881000000001</c:v>
                </c:pt>
                <c:pt idx="19">
                  <c:v>25803.718000000001</c:v>
                </c:pt>
                <c:pt idx="20">
                  <c:v>25397.323</c:v>
                </c:pt>
                <c:pt idx="21">
                  <c:v>21681.932000000001</c:v>
                </c:pt>
                <c:pt idx="22">
                  <c:v>20465.563999999998</c:v>
                </c:pt>
                <c:pt idx="23">
                  <c:v>18188.98</c:v>
                </c:pt>
                <c:pt idx="24">
                  <c:v>16212.311</c:v>
                </c:pt>
                <c:pt idx="25">
                  <c:v>16114.478999999999</c:v>
                </c:pt>
                <c:pt idx="26">
                  <c:v>15463.120999999999</c:v>
                </c:pt>
                <c:pt idx="27">
                  <c:v>14487.727999999999</c:v>
                </c:pt>
                <c:pt idx="28">
                  <c:v>12027.017</c:v>
                </c:pt>
                <c:pt idx="29">
                  <c:v>9868.09</c:v>
                </c:pt>
                <c:pt idx="30">
                  <c:v>9665.7260000000006</c:v>
                </c:pt>
                <c:pt idx="31">
                  <c:v>8052.46</c:v>
                </c:pt>
                <c:pt idx="32">
                  <c:v>158.5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8-4777-B443-C03854A6F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367916432"/>
        <c:axId val="367916824"/>
      </c:barChart>
      <c:catAx>
        <c:axId val="36791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16824"/>
        <c:crosses val="autoZero"/>
        <c:auto val="1"/>
        <c:lblAlgn val="ctr"/>
        <c:lblOffset val="100"/>
        <c:noMultiLvlLbl val="0"/>
      </c:catAx>
      <c:valAx>
        <c:axId val="36791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1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99493813273346E-2"/>
          <c:y val="5.2443216232586305E-2"/>
          <c:w val="0.91300630389951254"/>
          <c:h val="0.52904732017193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Graphs!$AJ$3</c:f>
              <c:strCache>
                <c:ptCount val="1"/>
                <c:pt idx="0">
                  <c:v>Payments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Graphs!$AH$4:$AH$38</c:f>
              <c:strCache>
                <c:ptCount val="33"/>
                <c:pt idx="0">
                  <c:v>Jpmorgan Chase &amp; Co.</c:v>
                </c:pt>
                <c:pt idx="1">
                  <c:v>Citigroup Inc.</c:v>
                </c:pt>
                <c:pt idx="2">
                  <c:v>Bank Of New York Mellon Corporation, The</c:v>
                </c:pt>
                <c:pt idx="3">
                  <c:v>Bank Of America Corporation</c:v>
                </c:pt>
                <c:pt idx="4">
                  <c:v>Deutsche Bank Trust Corporation</c:v>
                </c:pt>
                <c:pt idx="5">
                  <c:v>State Street Corporation</c:v>
                </c:pt>
                <c:pt idx="6">
                  <c:v>Northern Trust Corporation</c:v>
                </c:pt>
                <c:pt idx="7">
                  <c:v>Wells Fargo &amp; Company</c:v>
                </c:pt>
                <c:pt idx="8">
                  <c:v>Morgan Stanley</c:v>
                </c:pt>
                <c:pt idx="9">
                  <c:v>Goldman Sachs Group, Inc., The</c:v>
                </c:pt>
                <c:pt idx="10">
                  <c:v>U.S. Bancorp</c:v>
                </c:pt>
                <c:pt idx="11">
                  <c:v>Bmo Financial Corp.</c:v>
                </c:pt>
                <c:pt idx="12">
                  <c:v>Hsbc North America Holdings Inc.</c:v>
                </c:pt>
                <c:pt idx="13">
                  <c:v>Pnc Financial Services Group, Inc., The</c:v>
                </c:pt>
                <c:pt idx="14">
                  <c:v>Td Bank Us Holding Company</c:v>
                </c:pt>
                <c:pt idx="15">
                  <c:v>Citizens Financial Group, Inc.</c:v>
                </c:pt>
                <c:pt idx="16">
                  <c:v>M&amp;T Bank Corporation</c:v>
                </c:pt>
                <c:pt idx="17">
                  <c:v>Fifth Third Bancorp</c:v>
                </c:pt>
                <c:pt idx="18">
                  <c:v>Mufg Americas Holdings Corporation</c:v>
                </c:pt>
                <c:pt idx="19">
                  <c:v>Keycorp</c:v>
                </c:pt>
                <c:pt idx="20">
                  <c:v>Bb&amp;T Corporation</c:v>
                </c:pt>
                <c:pt idx="21">
                  <c:v>Regions Financial Corporation</c:v>
                </c:pt>
                <c:pt idx="22">
                  <c:v>Suntrust Banks, Inc.</c:v>
                </c:pt>
                <c:pt idx="23">
                  <c:v>Capital One Financial Corporation</c:v>
                </c:pt>
                <c:pt idx="24">
                  <c:v>Bancwest Corporation</c:v>
                </c:pt>
                <c:pt idx="25">
                  <c:v>Huntington Bancshares Incorporated</c:v>
                </c:pt>
                <c:pt idx="26">
                  <c:v>Zions Bancorporation</c:v>
                </c:pt>
                <c:pt idx="27">
                  <c:v>Discover Financial Services</c:v>
                </c:pt>
                <c:pt idx="28">
                  <c:v>Comerica Incorporated</c:v>
                </c:pt>
                <c:pt idx="29">
                  <c:v>Bbva Compass Bancshares, Inc.</c:v>
                </c:pt>
                <c:pt idx="30">
                  <c:v>American Express Company</c:v>
                </c:pt>
                <c:pt idx="31">
                  <c:v>Ally Financial Inc.</c:v>
                </c:pt>
                <c:pt idx="32">
                  <c:v>Santander Holdings Usa, Inc.</c:v>
                </c:pt>
              </c:strCache>
            </c:strRef>
          </c:cat>
          <c:val>
            <c:numRef>
              <c:f>Graphs!$AJ$4:$AJ$38</c:f>
              <c:numCache>
                <c:formatCode>_([$$-409]* #,##0.00_);_([$$-409]* \(#,##0.00\);_([$$-409]* "-"??_);_(@_)</c:formatCode>
                <c:ptCount val="35"/>
                <c:pt idx="0">
                  <c:v>323173878</c:v>
                </c:pt>
                <c:pt idx="1">
                  <c:v>274865406</c:v>
                </c:pt>
                <c:pt idx="2">
                  <c:v>218569391</c:v>
                </c:pt>
                <c:pt idx="3">
                  <c:v>93184380.421000004</c:v>
                </c:pt>
                <c:pt idx="4">
                  <c:v>76992937</c:v>
                </c:pt>
                <c:pt idx="5">
                  <c:v>71014770.240999997</c:v>
                </c:pt>
                <c:pt idx="6">
                  <c:v>35333968.064999998</c:v>
                </c:pt>
                <c:pt idx="7">
                  <c:v>34295107</c:v>
                </c:pt>
                <c:pt idx="8">
                  <c:v>11640647.738</c:v>
                </c:pt>
                <c:pt idx="9">
                  <c:v>11306295</c:v>
                </c:pt>
                <c:pt idx="10">
                  <c:v>7772596</c:v>
                </c:pt>
                <c:pt idx="11">
                  <c:v>6179034.4989999998</c:v>
                </c:pt>
                <c:pt idx="12">
                  <c:v>3704706.9369999999</c:v>
                </c:pt>
                <c:pt idx="13">
                  <c:v>2598451</c:v>
                </c:pt>
                <c:pt idx="14">
                  <c:v>2417350.4539999999</c:v>
                </c:pt>
                <c:pt idx="15">
                  <c:v>1883787.997</c:v>
                </c:pt>
                <c:pt idx="16">
                  <c:v>1546287.7309999999</c:v>
                </c:pt>
                <c:pt idx="17">
                  <c:v>1479898.463</c:v>
                </c:pt>
                <c:pt idx="18">
                  <c:v>947515.26899999997</c:v>
                </c:pt>
                <c:pt idx="19">
                  <c:v>945763.05200000003</c:v>
                </c:pt>
                <c:pt idx="20">
                  <c:v>811414.35400000005</c:v>
                </c:pt>
                <c:pt idx="21">
                  <c:v>800829.83799999999</c:v>
                </c:pt>
                <c:pt idx="22">
                  <c:v>781719.61499999999</c:v>
                </c:pt>
                <c:pt idx="23">
                  <c:v>772586.03799999994</c:v>
                </c:pt>
                <c:pt idx="24">
                  <c:v>485680.10200000001</c:v>
                </c:pt>
                <c:pt idx="25">
                  <c:v>431901.65399999998</c:v>
                </c:pt>
                <c:pt idx="26">
                  <c:v>417119.391</c:v>
                </c:pt>
                <c:pt idx="27">
                  <c:v>321440.96299999999</c:v>
                </c:pt>
                <c:pt idx="28">
                  <c:v>250361.02</c:v>
                </c:pt>
                <c:pt idx="29">
                  <c:v>245028.01199999999</c:v>
                </c:pt>
                <c:pt idx="30">
                  <c:v>140455</c:v>
                </c:pt>
                <c:pt idx="31">
                  <c:v>118390</c:v>
                </c:pt>
                <c:pt idx="32">
                  <c:v>51581.190999999999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E-4E8A-B0D8-FC20739CA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367918000"/>
        <c:axId val="367918392"/>
      </c:barChart>
      <c:catAx>
        <c:axId val="36791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18392"/>
        <c:crosses val="autoZero"/>
        <c:auto val="1"/>
        <c:lblAlgn val="ctr"/>
        <c:lblOffset val="100"/>
        <c:noMultiLvlLbl val="0"/>
      </c:catAx>
      <c:valAx>
        <c:axId val="36791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1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99493813273346E-2"/>
          <c:y val="5.2443216232586305E-2"/>
          <c:w val="0.91300630389951254"/>
          <c:h val="0.52904732017193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Graphs!$AN$3</c:f>
              <c:strCache>
                <c:ptCount val="1"/>
                <c:pt idx="0">
                  <c:v>Assets Under Custody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Graphs!$AL$4:$AL$38</c:f>
              <c:strCache>
                <c:ptCount val="33"/>
                <c:pt idx="0">
                  <c:v>Bank Of New York Mellon Corporation, The</c:v>
                </c:pt>
                <c:pt idx="1">
                  <c:v>State Street Corporation</c:v>
                </c:pt>
                <c:pt idx="2">
                  <c:v>Jpmorgan Chase &amp; Co.</c:v>
                </c:pt>
                <c:pt idx="3">
                  <c:v>Citigroup Inc.</c:v>
                </c:pt>
                <c:pt idx="4">
                  <c:v>Northern Trust Corporation</c:v>
                </c:pt>
                <c:pt idx="5">
                  <c:v>Wells Fargo &amp; Company</c:v>
                </c:pt>
                <c:pt idx="6">
                  <c:v>Morgan Stanley</c:v>
                </c:pt>
                <c:pt idx="7">
                  <c:v>U.S. Bancorp</c:v>
                </c:pt>
                <c:pt idx="8">
                  <c:v>Goldman Sachs Group, Inc., The</c:v>
                </c:pt>
                <c:pt idx="9">
                  <c:v>Fifth Third Bancorp</c:v>
                </c:pt>
                <c:pt idx="10">
                  <c:v>Pnc Financial Services Group, Inc., The</c:v>
                </c:pt>
                <c:pt idx="11">
                  <c:v>Bank Of America Corporation</c:v>
                </c:pt>
                <c:pt idx="12">
                  <c:v>Bmo Financial Corp.</c:v>
                </c:pt>
                <c:pt idx="13">
                  <c:v>Mufg Americas Holdings Corporation</c:v>
                </c:pt>
                <c:pt idx="14">
                  <c:v>M&amp;T Bank Corporation</c:v>
                </c:pt>
                <c:pt idx="15">
                  <c:v>Keycorp</c:v>
                </c:pt>
                <c:pt idx="16">
                  <c:v>Huntington Bancshares Incorporated</c:v>
                </c:pt>
                <c:pt idx="17">
                  <c:v>Suntrust Banks, Inc.</c:v>
                </c:pt>
                <c:pt idx="18">
                  <c:v>Comerica Incorporated</c:v>
                </c:pt>
                <c:pt idx="19">
                  <c:v>Hsbc North America Holdings Inc.</c:v>
                </c:pt>
                <c:pt idx="20">
                  <c:v>Bb&amp;T Corporation</c:v>
                </c:pt>
                <c:pt idx="21">
                  <c:v>Regions Financial Corporation</c:v>
                </c:pt>
                <c:pt idx="22">
                  <c:v>Td Bank Us Holding Company</c:v>
                </c:pt>
                <c:pt idx="23">
                  <c:v>Capital One Financial Corporation</c:v>
                </c:pt>
                <c:pt idx="24">
                  <c:v>Citizens Financial Group, Inc.</c:v>
                </c:pt>
                <c:pt idx="25">
                  <c:v>Zions Bancorporation</c:v>
                </c:pt>
                <c:pt idx="26">
                  <c:v>Bancwest Corporation</c:v>
                </c:pt>
                <c:pt idx="27">
                  <c:v>Bbva Compass Bancshares, Inc.</c:v>
                </c:pt>
                <c:pt idx="28">
                  <c:v>Ally Financial Inc.</c:v>
                </c:pt>
                <c:pt idx="29">
                  <c:v>American Express Company</c:v>
                </c:pt>
                <c:pt idx="30">
                  <c:v>Deutsche Bank Trust Corporation</c:v>
                </c:pt>
                <c:pt idx="31">
                  <c:v>Discover Financial Services</c:v>
                </c:pt>
                <c:pt idx="32">
                  <c:v>Santander Holdings Usa, Inc.</c:v>
                </c:pt>
              </c:strCache>
            </c:strRef>
          </c:cat>
          <c:val>
            <c:numRef>
              <c:f>Graphs!$AN$4:$AN$38</c:f>
              <c:numCache>
                <c:formatCode>_([$$-409]* #,##0.00_);_([$$-409]* \(#,##0.00\);_([$$-409]* "-"??_);_(@_)</c:formatCode>
                <c:ptCount val="35"/>
                <c:pt idx="0">
                  <c:v>24632807</c:v>
                </c:pt>
                <c:pt idx="1">
                  <c:v>21656000</c:v>
                </c:pt>
                <c:pt idx="2">
                  <c:v>21097734</c:v>
                </c:pt>
                <c:pt idx="3">
                  <c:v>12520569</c:v>
                </c:pt>
                <c:pt idx="4">
                  <c:v>5968800</c:v>
                </c:pt>
                <c:pt idx="5">
                  <c:v>2500000</c:v>
                </c:pt>
                <c:pt idx="6">
                  <c:v>1573836.5220000001</c:v>
                </c:pt>
                <c:pt idx="7">
                  <c:v>1102084</c:v>
                </c:pt>
                <c:pt idx="8">
                  <c:v>1013139</c:v>
                </c:pt>
                <c:pt idx="9">
                  <c:v>246920.64499999999</c:v>
                </c:pt>
                <c:pt idx="10">
                  <c:v>171000</c:v>
                </c:pt>
                <c:pt idx="11">
                  <c:v>139555</c:v>
                </c:pt>
                <c:pt idx="12">
                  <c:v>135147.14499999999</c:v>
                </c:pt>
                <c:pt idx="13">
                  <c:v>128819.09299999999</c:v>
                </c:pt>
                <c:pt idx="14">
                  <c:v>112906.36599999999</c:v>
                </c:pt>
                <c:pt idx="15">
                  <c:v>89323.600999999995</c:v>
                </c:pt>
                <c:pt idx="16">
                  <c:v>79217.167000000001</c:v>
                </c:pt>
                <c:pt idx="17">
                  <c:v>58848.508999999998</c:v>
                </c:pt>
                <c:pt idx="18">
                  <c:v>55913.241999999998</c:v>
                </c:pt>
                <c:pt idx="19">
                  <c:v>39475.866000000002</c:v>
                </c:pt>
                <c:pt idx="20">
                  <c:v>38953.095999999998</c:v>
                </c:pt>
                <c:pt idx="21">
                  <c:v>17108.381000000001</c:v>
                </c:pt>
                <c:pt idx="22">
                  <c:v>9512.5759999999991</c:v>
                </c:pt>
                <c:pt idx="23">
                  <c:v>4396.4110000000001</c:v>
                </c:pt>
                <c:pt idx="24">
                  <c:v>3912.6950000000002</c:v>
                </c:pt>
                <c:pt idx="25">
                  <c:v>3580.7449999999999</c:v>
                </c:pt>
                <c:pt idx="26">
                  <c:v>2798.9459999999999</c:v>
                </c:pt>
                <c:pt idx="27">
                  <c:v>2616.6170000000002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34-4C75-A54B-6F6C14739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367919176"/>
        <c:axId val="367919568"/>
      </c:barChart>
      <c:catAx>
        <c:axId val="36791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19568"/>
        <c:crosses val="autoZero"/>
        <c:auto val="1"/>
        <c:lblAlgn val="ctr"/>
        <c:lblOffset val="100"/>
        <c:noMultiLvlLbl val="0"/>
      </c:catAx>
      <c:valAx>
        <c:axId val="3679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19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99493813273346E-2"/>
          <c:y val="5.2443216232586305E-2"/>
          <c:w val="0.91300630389951254"/>
          <c:h val="0.52904732017193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Graphs!$AR$3</c:f>
              <c:strCache>
                <c:ptCount val="1"/>
                <c:pt idx="0">
                  <c:v>Underwriting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Graphs!$AP$4:$AP$38</c:f>
              <c:strCache>
                <c:ptCount val="33"/>
                <c:pt idx="0">
                  <c:v>Jpmorgan Chase &amp; Co.</c:v>
                </c:pt>
                <c:pt idx="1">
                  <c:v>Bank Of America Corporation</c:v>
                </c:pt>
                <c:pt idx="2">
                  <c:v>Citigroup Inc.</c:v>
                </c:pt>
                <c:pt idx="3">
                  <c:v>Goldman Sachs Group, Inc., The</c:v>
                </c:pt>
                <c:pt idx="4">
                  <c:v>Morgan Stanley</c:v>
                </c:pt>
                <c:pt idx="5">
                  <c:v>Bbva Compass Bancshares, Inc.</c:v>
                </c:pt>
                <c:pt idx="6">
                  <c:v>Wells Fargo &amp; Company</c:v>
                </c:pt>
                <c:pt idx="7">
                  <c:v>Hsbc North America Holdings Inc.</c:v>
                </c:pt>
                <c:pt idx="8">
                  <c:v>U.S. Bancorp</c:v>
                </c:pt>
                <c:pt idx="9">
                  <c:v>M&amp;T Bank Corporation</c:v>
                </c:pt>
                <c:pt idx="10">
                  <c:v>Pnc Financial Services Group, Inc., The</c:v>
                </c:pt>
                <c:pt idx="11">
                  <c:v>Suntrust Banks, Inc.</c:v>
                </c:pt>
                <c:pt idx="12">
                  <c:v>Bmo Financial Corp.</c:v>
                </c:pt>
                <c:pt idx="13">
                  <c:v>Fifth Third Bancorp</c:v>
                </c:pt>
                <c:pt idx="14">
                  <c:v>Keycorp</c:v>
                </c:pt>
                <c:pt idx="15">
                  <c:v>Bb&amp;T Corporation</c:v>
                </c:pt>
                <c:pt idx="16">
                  <c:v>Bank Of New York Mellon Corporation, The</c:v>
                </c:pt>
                <c:pt idx="17">
                  <c:v>Capital One Financial Corporation</c:v>
                </c:pt>
                <c:pt idx="18">
                  <c:v>Comerica Incorporated</c:v>
                </c:pt>
                <c:pt idx="19">
                  <c:v>Regions Financial Corporation</c:v>
                </c:pt>
                <c:pt idx="20">
                  <c:v>Huntington Bancshares Incorporated</c:v>
                </c:pt>
                <c:pt idx="21">
                  <c:v>Zions Bancorporation</c:v>
                </c:pt>
                <c:pt idx="22">
                  <c:v>Ally Financial Inc.</c:v>
                </c:pt>
                <c:pt idx="23">
                  <c:v>American Express Company</c:v>
                </c:pt>
                <c:pt idx="24">
                  <c:v>Bancwest Corporation</c:v>
                </c:pt>
                <c:pt idx="25">
                  <c:v>Citizens Financial Group, Inc.</c:v>
                </c:pt>
                <c:pt idx="26">
                  <c:v>Deutsche Bank Trust Corporation</c:v>
                </c:pt>
                <c:pt idx="27">
                  <c:v>Discover Financial Services</c:v>
                </c:pt>
                <c:pt idx="28">
                  <c:v>Mufg Americas Holdings Corporation</c:v>
                </c:pt>
                <c:pt idx="29">
                  <c:v>Northern Trust Corporation</c:v>
                </c:pt>
                <c:pt idx="30">
                  <c:v>Santander Holdings Usa, Inc.</c:v>
                </c:pt>
                <c:pt idx="31">
                  <c:v>State Street Corporation</c:v>
                </c:pt>
                <c:pt idx="32">
                  <c:v>Td Bank Us Holding Company</c:v>
                </c:pt>
              </c:strCache>
            </c:strRef>
          </c:cat>
          <c:val>
            <c:numRef>
              <c:f>Graphs!$AR$4:$AR$38</c:f>
              <c:numCache>
                <c:formatCode>_([$$-409]* #,##0.00_);_([$$-409]* \(#,##0.00\);_([$$-409]* "-"??_);_(@_)</c:formatCode>
                <c:ptCount val="35"/>
                <c:pt idx="0">
                  <c:v>490698</c:v>
                </c:pt>
                <c:pt idx="1">
                  <c:v>445911.47</c:v>
                </c:pt>
                <c:pt idx="2">
                  <c:v>370772</c:v>
                </c:pt>
                <c:pt idx="3">
                  <c:v>346000</c:v>
                </c:pt>
                <c:pt idx="4">
                  <c:v>331344</c:v>
                </c:pt>
                <c:pt idx="5">
                  <c:v>206041.103</c:v>
                </c:pt>
                <c:pt idx="6">
                  <c:v>167681</c:v>
                </c:pt>
                <c:pt idx="7">
                  <c:v>51887.06</c:v>
                </c:pt>
                <c:pt idx="8">
                  <c:v>27517</c:v>
                </c:pt>
                <c:pt idx="9">
                  <c:v>25633.255000000001</c:v>
                </c:pt>
                <c:pt idx="10">
                  <c:v>12740</c:v>
                </c:pt>
                <c:pt idx="11">
                  <c:v>11870.763000000001</c:v>
                </c:pt>
                <c:pt idx="12">
                  <c:v>8401.4519999999993</c:v>
                </c:pt>
                <c:pt idx="13">
                  <c:v>6068.4260000000004</c:v>
                </c:pt>
                <c:pt idx="14">
                  <c:v>5838.0169999999998</c:v>
                </c:pt>
                <c:pt idx="15">
                  <c:v>5591.56</c:v>
                </c:pt>
                <c:pt idx="16">
                  <c:v>4904</c:v>
                </c:pt>
                <c:pt idx="17">
                  <c:v>2414.2080000000001</c:v>
                </c:pt>
                <c:pt idx="18">
                  <c:v>1556</c:v>
                </c:pt>
                <c:pt idx="19">
                  <c:v>1400.2049999999999</c:v>
                </c:pt>
                <c:pt idx="20">
                  <c:v>1142.4849999999999</c:v>
                </c:pt>
                <c:pt idx="21">
                  <c:v>155.17500000000001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CF-4ED7-8A47-4F877BB49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367920352"/>
        <c:axId val="367920744"/>
      </c:barChart>
      <c:catAx>
        <c:axId val="36792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20744"/>
        <c:crosses val="autoZero"/>
        <c:auto val="1"/>
        <c:lblAlgn val="ctr"/>
        <c:lblOffset val="100"/>
        <c:noMultiLvlLbl val="0"/>
      </c:catAx>
      <c:valAx>
        <c:axId val="36792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2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99493813273346E-2"/>
          <c:y val="5.2443216232586305E-2"/>
          <c:w val="0.91300630389951254"/>
          <c:h val="0.52904732017193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Graphs!$AV$3</c:f>
              <c:strCache>
                <c:ptCount val="1"/>
                <c:pt idx="0">
                  <c:v>OTC Derivatives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Graphs!$AT$4:$AT$38</c:f>
              <c:strCache>
                <c:ptCount val="33"/>
                <c:pt idx="0">
                  <c:v>Jpmorgan Chase &amp; Co.</c:v>
                </c:pt>
                <c:pt idx="1">
                  <c:v>Citigroup Inc.</c:v>
                </c:pt>
                <c:pt idx="2">
                  <c:v>Goldman Sachs Group, Inc., The</c:v>
                </c:pt>
                <c:pt idx="3">
                  <c:v>Bank Of America Corporation</c:v>
                </c:pt>
                <c:pt idx="4">
                  <c:v>Morgan Stanley</c:v>
                </c:pt>
                <c:pt idx="5">
                  <c:v>Wells Fargo &amp; Company</c:v>
                </c:pt>
                <c:pt idx="6">
                  <c:v>Hsbc North America Holdings Inc.</c:v>
                </c:pt>
                <c:pt idx="7">
                  <c:v>State Street Corporation</c:v>
                </c:pt>
                <c:pt idx="8">
                  <c:v>Bank Of New York Mellon Corporation, The</c:v>
                </c:pt>
                <c:pt idx="9">
                  <c:v>Pnc Financial Services Group, Inc., The</c:v>
                </c:pt>
                <c:pt idx="10">
                  <c:v>Northern Trust Corporation</c:v>
                </c:pt>
                <c:pt idx="11">
                  <c:v>Td Bank Us Holding Company</c:v>
                </c:pt>
                <c:pt idx="12">
                  <c:v>Suntrust Banks, Inc.</c:v>
                </c:pt>
                <c:pt idx="13">
                  <c:v>U.S. Bancorp</c:v>
                </c:pt>
                <c:pt idx="14">
                  <c:v>Capital One Financial Corporation</c:v>
                </c:pt>
                <c:pt idx="15">
                  <c:v>Regions Financial Corporation</c:v>
                </c:pt>
                <c:pt idx="16">
                  <c:v>Mufg Americas Holdings Corporation</c:v>
                </c:pt>
                <c:pt idx="17">
                  <c:v>Bb&amp;T Corporation</c:v>
                </c:pt>
                <c:pt idx="18">
                  <c:v>Fifth Third Bancorp</c:v>
                </c:pt>
                <c:pt idx="19">
                  <c:v>Ally Financial Inc.</c:v>
                </c:pt>
                <c:pt idx="20">
                  <c:v>Keycorp</c:v>
                </c:pt>
                <c:pt idx="21">
                  <c:v>Santander Holdings Usa, Inc.</c:v>
                </c:pt>
                <c:pt idx="22">
                  <c:v>American Express Company</c:v>
                </c:pt>
                <c:pt idx="23">
                  <c:v>Citizens Financial Group, Inc.</c:v>
                </c:pt>
                <c:pt idx="24">
                  <c:v>Huntington Bancshares Incorporated</c:v>
                </c:pt>
                <c:pt idx="25">
                  <c:v>Bmo Financial Corp.</c:v>
                </c:pt>
                <c:pt idx="26">
                  <c:v>Bbva Compass Bancshares, Inc.</c:v>
                </c:pt>
                <c:pt idx="27">
                  <c:v>M&amp;T Bank Corporation</c:v>
                </c:pt>
                <c:pt idx="28">
                  <c:v>Comerica Incorporated</c:v>
                </c:pt>
                <c:pt idx="29">
                  <c:v>Bancwest Corporation</c:v>
                </c:pt>
                <c:pt idx="30">
                  <c:v>Discover Financial Services</c:v>
                </c:pt>
                <c:pt idx="31">
                  <c:v>Deutsche Bank Trust Corporation</c:v>
                </c:pt>
                <c:pt idx="32">
                  <c:v>Zions Bancorporation</c:v>
                </c:pt>
              </c:strCache>
            </c:strRef>
          </c:cat>
          <c:val>
            <c:numRef>
              <c:f>Graphs!$AV$4:$AV$38</c:f>
              <c:numCache>
                <c:formatCode>_([$$-409]* #,##0.00_);_([$$-409]* \(#,##0.00\);_([$$-409]* "-"??_);_(@_)</c:formatCode>
                <c:ptCount val="35"/>
                <c:pt idx="0">
                  <c:v>65268349</c:v>
                </c:pt>
                <c:pt idx="1">
                  <c:v>54952090</c:v>
                </c:pt>
                <c:pt idx="2">
                  <c:v>53478619</c:v>
                </c:pt>
                <c:pt idx="3">
                  <c:v>52034159.509999998</c:v>
                </c:pt>
                <c:pt idx="4">
                  <c:v>34515890.479999997</c:v>
                </c:pt>
                <c:pt idx="5">
                  <c:v>5643148</c:v>
                </c:pt>
                <c:pt idx="6">
                  <c:v>4737666.1229999997</c:v>
                </c:pt>
                <c:pt idx="7">
                  <c:v>1239187.564</c:v>
                </c:pt>
                <c:pt idx="8">
                  <c:v>1186938</c:v>
                </c:pt>
                <c:pt idx="9">
                  <c:v>278409</c:v>
                </c:pt>
                <c:pt idx="10">
                  <c:v>270053.50300000003</c:v>
                </c:pt>
                <c:pt idx="11">
                  <c:v>234593.80900000001</c:v>
                </c:pt>
                <c:pt idx="12">
                  <c:v>195902.55799999999</c:v>
                </c:pt>
                <c:pt idx="13">
                  <c:v>136400</c:v>
                </c:pt>
                <c:pt idx="14">
                  <c:v>88638.547000000006</c:v>
                </c:pt>
                <c:pt idx="15">
                  <c:v>79236.517999999996</c:v>
                </c:pt>
                <c:pt idx="16">
                  <c:v>71678.107000000004</c:v>
                </c:pt>
                <c:pt idx="17">
                  <c:v>71581.834000000003</c:v>
                </c:pt>
                <c:pt idx="18">
                  <c:v>62852.773000000001</c:v>
                </c:pt>
                <c:pt idx="19">
                  <c:v>62313</c:v>
                </c:pt>
                <c:pt idx="20">
                  <c:v>55642.767999999996</c:v>
                </c:pt>
                <c:pt idx="21">
                  <c:v>49005.497000000003</c:v>
                </c:pt>
                <c:pt idx="22">
                  <c:v>47644</c:v>
                </c:pt>
                <c:pt idx="23">
                  <c:v>46638.853000000003</c:v>
                </c:pt>
                <c:pt idx="24">
                  <c:v>29096.081999999999</c:v>
                </c:pt>
                <c:pt idx="25">
                  <c:v>27762.685000000001</c:v>
                </c:pt>
                <c:pt idx="26">
                  <c:v>25000.098000000002</c:v>
                </c:pt>
                <c:pt idx="27">
                  <c:v>22149.042000000001</c:v>
                </c:pt>
                <c:pt idx="28">
                  <c:v>21561.311000000002</c:v>
                </c:pt>
                <c:pt idx="29">
                  <c:v>18211.094000000001</c:v>
                </c:pt>
                <c:pt idx="30">
                  <c:v>11227.315000000001</c:v>
                </c:pt>
                <c:pt idx="31">
                  <c:v>9046</c:v>
                </c:pt>
                <c:pt idx="32">
                  <c:v>3070.0520000000001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ED-4E87-B4BB-D209A1E7E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367921528"/>
        <c:axId val="367923096"/>
      </c:barChart>
      <c:catAx>
        <c:axId val="36792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23096"/>
        <c:crosses val="autoZero"/>
        <c:auto val="1"/>
        <c:lblAlgn val="ctr"/>
        <c:lblOffset val="100"/>
        <c:noMultiLvlLbl val="0"/>
      </c:catAx>
      <c:valAx>
        <c:axId val="36792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21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99493813273346E-2"/>
          <c:y val="5.2443216232586305E-2"/>
          <c:w val="0.91300630389951254"/>
          <c:h val="0.52904732017193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Graphs!$AZ$3</c:f>
              <c:strCache>
                <c:ptCount val="1"/>
                <c:pt idx="0">
                  <c:v>Trading and AFS Securities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Graphs!$AX$4:$AX$38</c:f>
              <c:strCache>
                <c:ptCount val="33"/>
                <c:pt idx="0">
                  <c:v>Jpmorgan Chase &amp; Co.</c:v>
                </c:pt>
                <c:pt idx="1">
                  <c:v>Morgan Stanley</c:v>
                </c:pt>
                <c:pt idx="2">
                  <c:v>Bank Of America Corporation</c:v>
                </c:pt>
                <c:pt idx="3">
                  <c:v>Citigroup Inc.</c:v>
                </c:pt>
                <c:pt idx="4">
                  <c:v>Goldman Sachs Group, Inc., The</c:v>
                </c:pt>
                <c:pt idx="5">
                  <c:v>Wells Fargo &amp; Company</c:v>
                </c:pt>
                <c:pt idx="6">
                  <c:v>Hsbc North America Holdings Inc.</c:v>
                </c:pt>
                <c:pt idx="7">
                  <c:v>Td Bank Us Holding Company</c:v>
                </c:pt>
                <c:pt idx="8">
                  <c:v>State Street Corporation</c:v>
                </c:pt>
                <c:pt idx="9">
                  <c:v>Bank Of New York Mellon Corporation, The</c:v>
                </c:pt>
                <c:pt idx="10">
                  <c:v>Pnc Financial Services Group, Inc., The</c:v>
                </c:pt>
                <c:pt idx="11">
                  <c:v>U.S. Bancorp</c:v>
                </c:pt>
                <c:pt idx="12">
                  <c:v>Capital One Financial Corporation</c:v>
                </c:pt>
                <c:pt idx="13">
                  <c:v>Santander Holdings Usa, Inc.</c:v>
                </c:pt>
                <c:pt idx="14">
                  <c:v>Ally Financial Inc.</c:v>
                </c:pt>
                <c:pt idx="15">
                  <c:v>Northern Trust Corporation</c:v>
                </c:pt>
                <c:pt idx="16">
                  <c:v>Mufg Americas Holdings Corporation</c:v>
                </c:pt>
                <c:pt idx="17">
                  <c:v>Bancwest Corporation</c:v>
                </c:pt>
                <c:pt idx="18">
                  <c:v>Bmo Financial Corp.</c:v>
                </c:pt>
                <c:pt idx="19">
                  <c:v>Fifth Third Bancorp</c:v>
                </c:pt>
                <c:pt idx="20">
                  <c:v>Regions Financial Corporation</c:v>
                </c:pt>
                <c:pt idx="21">
                  <c:v>Bb&amp;T Corporation</c:v>
                </c:pt>
                <c:pt idx="22">
                  <c:v>American Express Company</c:v>
                </c:pt>
                <c:pt idx="23">
                  <c:v>Huntington Bancshares Incorporated</c:v>
                </c:pt>
                <c:pt idx="24">
                  <c:v>Suntrust Banks, Inc.</c:v>
                </c:pt>
                <c:pt idx="25">
                  <c:v>Zions Bancorporation</c:v>
                </c:pt>
                <c:pt idx="26">
                  <c:v>Keycorp</c:v>
                </c:pt>
                <c:pt idx="27">
                  <c:v>Comerica Incorporated</c:v>
                </c:pt>
                <c:pt idx="28">
                  <c:v>M&amp;T Bank Corporation</c:v>
                </c:pt>
                <c:pt idx="29">
                  <c:v>Citizens Financial Group, Inc.</c:v>
                </c:pt>
                <c:pt idx="30">
                  <c:v>Bbva Compass Bancshares, Inc.</c:v>
                </c:pt>
                <c:pt idx="31">
                  <c:v>Discover Financial Services</c:v>
                </c:pt>
                <c:pt idx="32">
                  <c:v>Deutsche Bank Trust Corporation</c:v>
                </c:pt>
              </c:strCache>
            </c:strRef>
          </c:cat>
          <c:val>
            <c:numRef>
              <c:f>Graphs!$AZ$4:$AZ$38</c:f>
              <c:numCache>
                <c:formatCode>_([$$-409]* #,##0.00_);_([$$-409]* \(#,##0.00\);_([$$-409]* "-"??_);_(@_)</c:formatCode>
                <c:ptCount val="35"/>
                <c:pt idx="0">
                  <c:v>323285</c:v>
                </c:pt>
                <c:pt idx="1">
                  <c:v>286974.81300000002</c:v>
                </c:pt>
                <c:pt idx="2">
                  <c:v>229594.57</c:v>
                </c:pt>
                <c:pt idx="3">
                  <c:v>168630</c:v>
                </c:pt>
                <c:pt idx="4">
                  <c:v>148746</c:v>
                </c:pt>
                <c:pt idx="5">
                  <c:v>135221</c:v>
                </c:pt>
                <c:pt idx="6">
                  <c:v>43561.152000000002</c:v>
                </c:pt>
                <c:pt idx="7">
                  <c:v>39308.286</c:v>
                </c:pt>
                <c:pt idx="8">
                  <c:v>33982.639999999999</c:v>
                </c:pt>
                <c:pt idx="9">
                  <c:v>25031</c:v>
                </c:pt>
                <c:pt idx="10">
                  <c:v>16384.612000000001</c:v>
                </c:pt>
                <c:pt idx="11">
                  <c:v>13830</c:v>
                </c:pt>
                <c:pt idx="12">
                  <c:v>10913.084999999999</c:v>
                </c:pt>
                <c:pt idx="13">
                  <c:v>9122.5840000000007</c:v>
                </c:pt>
                <c:pt idx="14">
                  <c:v>9089</c:v>
                </c:pt>
                <c:pt idx="15">
                  <c:v>7492.2380000000003</c:v>
                </c:pt>
                <c:pt idx="16">
                  <c:v>7297.11</c:v>
                </c:pt>
                <c:pt idx="17">
                  <c:v>7175.2730000000001</c:v>
                </c:pt>
                <c:pt idx="18">
                  <c:v>5567.1120000000001</c:v>
                </c:pt>
                <c:pt idx="19">
                  <c:v>5398.9290000000001</c:v>
                </c:pt>
                <c:pt idx="20">
                  <c:v>4813.7709999999997</c:v>
                </c:pt>
                <c:pt idx="21">
                  <c:v>4558.1450000000004</c:v>
                </c:pt>
                <c:pt idx="22">
                  <c:v>3733</c:v>
                </c:pt>
                <c:pt idx="23">
                  <c:v>3693.1309999999999</c:v>
                </c:pt>
                <c:pt idx="24">
                  <c:v>3331.768</c:v>
                </c:pt>
                <c:pt idx="25">
                  <c:v>1640.664</c:v>
                </c:pt>
                <c:pt idx="26">
                  <c:v>1371.9390000000001</c:v>
                </c:pt>
                <c:pt idx="27">
                  <c:v>1333.855</c:v>
                </c:pt>
                <c:pt idx="28">
                  <c:v>1118.271</c:v>
                </c:pt>
                <c:pt idx="29">
                  <c:v>936.702</c:v>
                </c:pt>
                <c:pt idx="30">
                  <c:v>802.34900000000005</c:v>
                </c:pt>
                <c:pt idx="31">
                  <c:v>432.589</c:v>
                </c:pt>
                <c:pt idx="3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A-456F-9D1C-498DEC804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367918784"/>
        <c:axId val="293825928"/>
      </c:barChart>
      <c:catAx>
        <c:axId val="36791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25928"/>
        <c:crosses val="autoZero"/>
        <c:auto val="1"/>
        <c:lblAlgn val="ctr"/>
        <c:lblOffset val="100"/>
        <c:noMultiLvlLbl val="0"/>
      </c:catAx>
      <c:valAx>
        <c:axId val="29382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1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99493813273346E-2"/>
          <c:y val="5.2443216232586305E-2"/>
          <c:w val="0.91300630389951254"/>
          <c:h val="0.52904732017193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Graphs!$BD$3</c:f>
              <c:strCache>
                <c:ptCount val="1"/>
                <c:pt idx="0">
                  <c:v>Level 3 Assets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Graphs!$BB$4:$BB$38</c:f>
              <c:strCache>
                <c:ptCount val="33"/>
                <c:pt idx="0">
                  <c:v>Jpmorgan Chase &amp; Co.</c:v>
                </c:pt>
                <c:pt idx="1">
                  <c:v>Goldman Sachs Group, Inc., The</c:v>
                </c:pt>
                <c:pt idx="2">
                  <c:v>Citigroup Inc.</c:v>
                </c:pt>
                <c:pt idx="3">
                  <c:v>Wells Fargo &amp; Company</c:v>
                </c:pt>
                <c:pt idx="4">
                  <c:v>Bank Of America Corporation</c:v>
                </c:pt>
                <c:pt idx="5">
                  <c:v>Morgan Stanley</c:v>
                </c:pt>
                <c:pt idx="6">
                  <c:v>Pnc Financial Services Group, Inc., The</c:v>
                </c:pt>
                <c:pt idx="7">
                  <c:v>State Street Corporation</c:v>
                </c:pt>
                <c:pt idx="8">
                  <c:v>Hsbc North America Holdings Inc.</c:v>
                </c:pt>
                <c:pt idx="9">
                  <c:v>U.S. Bancorp</c:v>
                </c:pt>
                <c:pt idx="10">
                  <c:v>Suntrust Banks, Inc.</c:v>
                </c:pt>
                <c:pt idx="11">
                  <c:v>Santander Holdings Usa, Inc.</c:v>
                </c:pt>
                <c:pt idx="12">
                  <c:v>Mufg Americas Holdings Corporation</c:v>
                </c:pt>
                <c:pt idx="13">
                  <c:v>Bb&amp;T Corporation</c:v>
                </c:pt>
                <c:pt idx="14">
                  <c:v>Huntington Bancshares Incorporated</c:v>
                </c:pt>
                <c:pt idx="15">
                  <c:v>Capital One Financial Corporation</c:v>
                </c:pt>
                <c:pt idx="16">
                  <c:v>Td Bank Us Holding Company</c:v>
                </c:pt>
                <c:pt idx="17">
                  <c:v>Keycorp</c:v>
                </c:pt>
                <c:pt idx="18">
                  <c:v>Fifth Third Bancorp</c:v>
                </c:pt>
                <c:pt idx="19">
                  <c:v>Zions Bancorporation</c:v>
                </c:pt>
                <c:pt idx="20">
                  <c:v>Regions Financial Corporation</c:v>
                </c:pt>
                <c:pt idx="21">
                  <c:v>Comerica Incorporated</c:v>
                </c:pt>
                <c:pt idx="22">
                  <c:v>Bancwest Corporation</c:v>
                </c:pt>
                <c:pt idx="23">
                  <c:v>Bank Of New York Mellon Corporation, The</c:v>
                </c:pt>
                <c:pt idx="24">
                  <c:v>Deutsche Bank Trust Corporation</c:v>
                </c:pt>
                <c:pt idx="25">
                  <c:v>Bmo Financial Corp.</c:v>
                </c:pt>
                <c:pt idx="26">
                  <c:v>M&amp;T Bank Corporation</c:v>
                </c:pt>
                <c:pt idx="27">
                  <c:v>Ally Financial Inc.</c:v>
                </c:pt>
                <c:pt idx="28">
                  <c:v>Bbva Compass Bancshares, Inc.</c:v>
                </c:pt>
                <c:pt idx="29">
                  <c:v>Northern Trust Corporation</c:v>
                </c:pt>
                <c:pt idx="30">
                  <c:v>Discover Financial Services</c:v>
                </c:pt>
                <c:pt idx="31">
                  <c:v>Citizens Financial Group, Inc.</c:v>
                </c:pt>
                <c:pt idx="32">
                  <c:v>American Express Company</c:v>
                </c:pt>
              </c:strCache>
            </c:strRef>
          </c:cat>
          <c:val>
            <c:numRef>
              <c:f>Graphs!$BD$4:$BD$36</c:f>
              <c:numCache>
                <c:formatCode>_([$$-409]* #,##0.00_);_([$$-409]* \(#,##0.00\);_([$$-409]* "-"??_);_(@_)</c:formatCode>
                <c:ptCount val="33"/>
                <c:pt idx="0">
                  <c:v>50457</c:v>
                </c:pt>
                <c:pt idx="1">
                  <c:v>44666</c:v>
                </c:pt>
                <c:pt idx="2">
                  <c:v>43018</c:v>
                </c:pt>
                <c:pt idx="3">
                  <c:v>32324</c:v>
                </c:pt>
                <c:pt idx="4">
                  <c:v>22265</c:v>
                </c:pt>
                <c:pt idx="5">
                  <c:v>22137</c:v>
                </c:pt>
                <c:pt idx="6">
                  <c:v>10257.986999999999</c:v>
                </c:pt>
                <c:pt idx="7">
                  <c:v>5446.1840000000002</c:v>
                </c:pt>
                <c:pt idx="8">
                  <c:v>4231.6059999999998</c:v>
                </c:pt>
                <c:pt idx="9">
                  <c:v>3754</c:v>
                </c:pt>
                <c:pt idx="10">
                  <c:v>2450.076</c:v>
                </c:pt>
                <c:pt idx="11">
                  <c:v>2261.6709999999998</c:v>
                </c:pt>
                <c:pt idx="12">
                  <c:v>2102.1060000000002</c:v>
                </c:pt>
                <c:pt idx="13">
                  <c:v>1939.0830000000001</c:v>
                </c:pt>
                <c:pt idx="14">
                  <c:v>1568.2339999999999</c:v>
                </c:pt>
                <c:pt idx="15">
                  <c:v>1545.268</c:v>
                </c:pt>
                <c:pt idx="16">
                  <c:v>1498.489</c:v>
                </c:pt>
                <c:pt idx="17">
                  <c:v>632.41700000000003</c:v>
                </c:pt>
                <c:pt idx="18">
                  <c:v>535.39599999999996</c:v>
                </c:pt>
                <c:pt idx="19">
                  <c:v>514.04899999999998</c:v>
                </c:pt>
                <c:pt idx="20">
                  <c:v>275.71300000000002</c:v>
                </c:pt>
                <c:pt idx="21">
                  <c:v>138.553</c:v>
                </c:pt>
                <c:pt idx="22">
                  <c:v>104.505</c:v>
                </c:pt>
                <c:pt idx="23">
                  <c:v>90</c:v>
                </c:pt>
                <c:pt idx="24">
                  <c:v>83</c:v>
                </c:pt>
                <c:pt idx="25">
                  <c:v>78.019000000000005</c:v>
                </c:pt>
                <c:pt idx="26">
                  <c:v>68.364999999999995</c:v>
                </c:pt>
                <c:pt idx="27">
                  <c:v>50</c:v>
                </c:pt>
                <c:pt idx="28">
                  <c:v>39.401000000000003</c:v>
                </c:pt>
                <c:pt idx="29">
                  <c:v>18.109000000000002</c:v>
                </c:pt>
                <c:pt idx="30">
                  <c:v>7.4960000000000004</c:v>
                </c:pt>
                <c:pt idx="31">
                  <c:v>0.86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D-4672-9099-D1B2DB32B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293826320"/>
        <c:axId val="293825536"/>
      </c:barChart>
      <c:catAx>
        <c:axId val="29382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25536"/>
        <c:crosses val="autoZero"/>
        <c:auto val="1"/>
        <c:lblAlgn val="ctr"/>
        <c:lblOffset val="100"/>
        <c:noMultiLvlLbl val="0"/>
      </c:catAx>
      <c:valAx>
        <c:axId val="29382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2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99493813273346E-2"/>
          <c:y val="5.2443216232586305E-2"/>
          <c:w val="0.91300630389951254"/>
          <c:h val="0.52904732017193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Graphs!$BH$3</c:f>
              <c:strCache>
                <c:ptCount val="1"/>
                <c:pt idx="0">
                  <c:v>Cross-Jurisdictional Claims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Graphs!$BF$4:$BF$38</c:f>
              <c:strCache>
                <c:ptCount val="33"/>
                <c:pt idx="0">
                  <c:v>Citigroup Inc.</c:v>
                </c:pt>
                <c:pt idx="1">
                  <c:v>Jpmorgan Chase &amp; Co.</c:v>
                </c:pt>
                <c:pt idx="2">
                  <c:v>Morgan Stanley</c:v>
                </c:pt>
                <c:pt idx="3">
                  <c:v>Bank Of America Corporation</c:v>
                </c:pt>
                <c:pt idx="4">
                  <c:v>Goldman Sachs Group, Inc., The</c:v>
                </c:pt>
                <c:pt idx="5">
                  <c:v>Wells Fargo &amp; Company</c:v>
                </c:pt>
                <c:pt idx="6">
                  <c:v>Bank Of New York Mellon Corporation, The</c:v>
                </c:pt>
                <c:pt idx="7">
                  <c:v>State Street Corporation</c:v>
                </c:pt>
                <c:pt idx="8">
                  <c:v>Hsbc North America Holdings Inc.</c:v>
                </c:pt>
                <c:pt idx="9">
                  <c:v>Td Bank Us Holding Company</c:v>
                </c:pt>
                <c:pt idx="10">
                  <c:v>American Express Company</c:v>
                </c:pt>
                <c:pt idx="11">
                  <c:v>Northern Trust Corporation</c:v>
                </c:pt>
                <c:pt idx="12">
                  <c:v>Capital One Financial Corporation</c:v>
                </c:pt>
                <c:pt idx="13">
                  <c:v>Bmo Financial Corp.</c:v>
                </c:pt>
                <c:pt idx="14">
                  <c:v>Pnc Financial Services Group, Inc., The</c:v>
                </c:pt>
                <c:pt idx="15">
                  <c:v>Fifth Third Bancorp</c:v>
                </c:pt>
                <c:pt idx="16">
                  <c:v>Mufg Americas Holdings Corporation</c:v>
                </c:pt>
                <c:pt idx="17">
                  <c:v>Santander Holdings Usa, Inc.</c:v>
                </c:pt>
                <c:pt idx="18">
                  <c:v>U.S. Bancorp</c:v>
                </c:pt>
                <c:pt idx="19">
                  <c:v>Comerica Incorporated</c:v>
                </c:pt>
                <c:pt idx="20">
                  <c:v>Suntrust Banks, Inc.</c:v>
                </c:pt>
                <c:pt idx="21">
                  <c:v>Keycorp</c:v>
                </c:pt>
                <c:pt idx="22">
                  <c:v>Ally Financial Inc.</c:v>
                </c:pt>
                <c:pt idx="23">
                  <c:v>Citizens Financial Group, Inc.</c:v>
                </c:pt>
                <c:pt idx="24">
                  <c:v>Huntington Bancshares Incorporated</c:v>
                </c:pt>
                <c:pt idx="25">
                  <c:v>Bbva Compass Bancshares, Inc.</c:v>
                </c:pt>
                <c:pt idx="26">
                  <c:v>Deutsche Bank Trust Corporation</c:v>
                </c:pt>
                <c:pt idx="27">
                  <c:v>Regions Financial Corporation</c:v>
                </c:pt>
                <c:pt idx="28">
                  <c:v>Bb&amp;T Corporation</c:v>
                </c:pt>
                <c:pt idx="29">
                  <c:v>Bancwest Corporation</c:v>
                </c:pt>
                <c:pt idx="30">
                  <c:v>M&amp;T Bank Corporation</c:v>
                </c:pt>
                <c:pt idx="31">
                  <c:v>Discover Financial Services</c:v>
                </c:pt>
                <c:pt idx="32">
                  <c:v>Zions Bancorporation</c:v>
                </c:pt>
              </c:strCache>
            </c:strRef>
          </c:cat>
          <c:val>
            <c:numRef>
              <c:f>Graphs!$BH$4:$BH$38</c:f>
              <c:numCache>
                <c:formatCode>_([$$-409]* #,##0.00_);_([$$-409]* \(#,##0.00\);_([$$-409]* "-"??_);_(@_)</c:formatCode>
                <c:ptCount val="35"/>
                <c:pt idx="0">
                  <c:v>832923</c:v>
                </c:pt>
                <c:pt idx="1">
                  <c:v>616296</c:v>
                </c:pt>
                <c:pt idx="2">
                  <c:v>350157</c:v>
                </c:pt>
                <c:pt idx="3">
                  <c:v>350009</c:v>
                </c:pt>
                <c:pt idx="4">
                  <c:v>333240</c:v>
                </c:pt>
                <c:pt idx="5">
                  <c:v>100542</c:v>
                </c:pt>
                <c:pt idx="6">
                  <c:v>94164</c:v>
                </c:pt>
                <c:pt idx="7">
                  <c:v>74588.706000000006</c:v>
                </c:pt>
                <c:pt idx="8">
                  <c:v>44431</c:v>
                </c:pt>
                <c:pt idx="9">
                  <c:v>28605</c:v>
                </c:pt>
                <c:pt idx="10">
                  <c:v>27728</c:v>
                </c:pt>
                <c:pt idx="11">
                  <c:v>26139</c:v>
                </c:pt>
                <c:pt idx="12">
                  <c:v>8878</c:v>
                </c:pt>
                <c:pt idx="13">
                  <c:v>7177</c:v>
                </c:pt>
                <c:pt idx="14">
                  <c:v>5343</c:v>
                </c:pt>
                <c:pt idx="15">
                  <c:v>4463</c:v>
                </c:pt>
                <c:pt idx="16">
                  <c:v>4097</c:v>
                </c:pt>
                <c:pt idx="17">
                  <c:v>3785.125</c:v>
                </c:pt>
                <c:pt idx="18">
                  <c:v>3192</c:v>
                </c:pt>
                <c:pt idx="19">
                  <c:v>2051</c:v>
                </c:pt>
                <c:pt idx="20">
                  <c:v>1963</c:v>
                </c:pt>
                <c:pt idx="21">
                  <c:v>1903</c:v>
                </c:pt>
                <c:pt idx="22">
                  <c:v>1843</c:v>
                </c:pt>
                <c:pt idx="23">
                  <c:v>1550</c:v>
                </c:pt>
                <c:pt idx="24">
                  <c:v>1529</c:v>
                </c:pt>
                <c:pt idx="25">
                  <c:v>1509</c:v>
                </c:pt>
                <c:pt idx="26">
                  <c:v>1074</c:v>
                </c:pt>
                <c:pt idx="27">
                  <c:v>937</c:v>
                </c:pt>
                <c:pt idx="28">
                  <c:v>851</c:v>
                </c:pt>
                <c:pt idx="29">
                  <c:v>726</c:v>
                </c:pt>
                <c:pt idx="30">
                  <c:v>316.90100000000001</c:v>
                </c:pt>
                <c:pt idx="31">
                  <c:v>129</c:v>
                </c:pt>
                <c:pt idx="32">
                  <c:v>95.17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A-48C8-A1C5-A6750C81E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293824752"/>
        <c:axId val="293824360"/>
      </c:barChart>
      <c:catAx>
        <c:axId val="29382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24360"/>
        <c:crosses val="autoZero"/>
        <c:auto val="1"/>
        <c:lblAlgn val="ctr"/>
        <c:lblOffset val="100"/>
        <c:noMultiLvlLbl val="0"/>
      </c:catAx>
      <c:valAx>
        <c:axId val="29382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2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99493813273346E-2"/>
          <c:y val="5.2443216232586305E-2"/>
          <c:w val="0.91300630389951254"/>
          <c:h val="0.52904732017193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Graphs!$BL$3</c:f>
              <c:strCache>
                <c:ptCount val="1"/>
                <c:pt idx="0">
                  <c:v>Cross-Jurisdictional Liabilities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Graphs!$BJ$4:$BJ$36</c:f>
              <c:strCache>
                <c:ptCount val="33"/>
                <c:pt idx="0">
                  <c:v>Citigroup Inc.</c:v>
                </c:pt>
                <c:pt idx="1">
                  <c:v>Jpmorgan Chase &amp; Co.</c:v>
                </c:pt>
                <c:pt idx="2">
                  <c:v>Morgan Stanley</c:v>
                </c:pt>
                <c:pt idx="3">
                  <c:v>Goldman Sachs Group, Inc., The</c:v>
                </c:pt>
                <c:pt idx="4">
                  <c:v>Bank Of America Corporation</c:v>
                </c:pt>
                <c:pt idx="5">
                  <c:v>Bank Of New York Mellon Corporation, The</c:v>
                </c:pt>
                <c:pt idx="6">
                  <c:v>Wells Fargo &amp; Company</c:v>
                </c:pt>
                <c:pt idx="7">
                  <c:v>State Street Corporation</c:v>
                </c:pt>
                <c:pt idx="8">
                  <c:v>Northern Trust Corporation</c:v>
                </c:pt>
                <c:pt idx="9">
                  <c:v>U.S. Bancorp</c:v>
                </c:pt>
                <c:pt idx="10">
                  <c:v>American Express Company</c:v>
                </c:pt>
                <c:pt idx="11">
                  <c:v>Bmo Financial Corp.</c:v>
                </c:pt>
                <c:pt idx="12">
                  <c:v>Pnc Financial Services Group, Inc., The</c:v>
                </c:pt>
                <c:pt idx="13">
                  <c:v>Mufg Americas Holdings Corporation</c:v>
                </c:pt>
                <c:pt idx="14">
                  <c:v>Suntrust Banks, Inc.</c:v>
                </c:pt>
                <c:pt idx="15">
                  <c:v>Bbva Compass Bancshares, Inc.</c:v>
                </c:pt>
                <c:pt idx="16">
                  <c:v>Td Bank Us Holding Company</c:v>
                </c:pt>
                <c:pt idx="17">
                  <c:v>Comerica Incorporated</c:v>
                </c:pt>
                <c:pt idx="18">
                  <c:v>Ally Financial Inc.</c:v>
                </c:pt>
                <c:pt idx="19">
                  <c:v>Bancwest Corporation</c:v>
                </c:pt>
                <c:pt idx="20">
                  <c:v>Bb&amp;T Corporation</c:v>
                </c:pt>
                <c:pt idx="21">
                  <c:v>Citizens Financial Group, Inc.</c:v>
                </c:pt>
                <c:pt idx="22">
                  <c:v>Zions Bancorporation</c:v>
                </c:pt>
                <c:pt idx="23">
                  <c:v>Fifth Third Bancorp</c:v>
                </c:pt>
                <c:pt idx="24">
                  <c:v>Santander Holdings Usa, Inc.</c:v>
                </c:pt>
                <c:pt idx="25">
                  <c:v>Regions Financial Corporation</c:v>
                </c:pt>
                <c:pt idx="26">
                  <c:v>Capital One Financial Corporation</c:v>
                </c:pt>
                <c:pt idx="27">
                  <c:v>M&amp;T Bank Corporation</c:v>
                </c:pt>
                <c:pt idx="28">
                  <c:v>Discover Financial Services</c:v>
                </c:pt>
                <c:pt idx="29">
                  <c:v>Keycorp</c:v>
                </c:pt>
                <c:pt idx="30">
                  <c:v>Hsbc North America Holdings Inc.</c:v>
                </c:pt>
                <c:pt idx="31">
                  <c:v>Deutsche Bank Trust Corporation</c:v>
                </c:pt>
                <c:pt idx="32">
                  <c:v>Huntington Bancshares Incorporated</c:v>
                </c:pt>
              </c:strCache>
            </c:strRef>
          </c:cat>
          <c:val>
            <c:numRef>
              <c:f>Graphs!$BL$4:$BL$36</c:f>
              <c:numCache>
                <c:formatCode>_([$$-409]* #,##0.00_);_([$$-409]* \(#,##0.00\);_([$$-409]* "-"??_);_(@_)</c:formatCode>
                <c:ptCount val="33"/>
                <c:pt idx="0">
                  <c:v>756438</c:v>
                </c:pt>
                <c:pt idx="1">
                  <c:v>625601</c:v>
                </c:pt>
                <c:pt idx="2">
                  <c:v>298181.19300000003</c:v>
                </c:pt>
                <c:pt idx="3">
                  <c:v>289812</c:v>
                </c:pt>
                <c:pt idx="4">
                  <c:v>278666</c:v>
                </c:pt>
                <c:pt idx="5">
                  <c:v>173677</c:v>
                </c:pt>
                <c:pt idx="6">
                  <c:v>147496</c:v>
                </c:pt>
                <c:pt idx="7">
                  <c:v>138801</c:v>
                </c:pt>
                <c:pt idx="8">
                  <c:v>50515</c:v>
                </c:pt>
                <c:pt idx="9">
                  <c:v>32731</c:v>
                </c:pt>
                <c:pt idx="10">
                  <c:v>17541</c:v>
                </c:pt>
                <c:pt idx="11">
                  <c:v>7177</c:v>
                </c:pt>
                <c:pt idx="12">
                  <c:v>2659</c:v>
                </c:pt>
                <c:pt idx="13">
                  <c:v>2439</c:v>
                </c:pt>
                <c:pt idx="14">
                  <c:v>2063.3510000000001</c:v>
                </c:pt>
                <c:pt idx="15">
                  <c:v>1929</c:v>
                </c:pt>
                <c:pt idx="16">
                  <c:v>1806</c:v>
                </c:pt>
                <c:pt idx="17">
                  <c:v>1662</c:v>
                </c:pt>
                <c:pt idx="18">
                  <c:v>1622</c:v>
                </c:pt>
                <c:pt idx="19">
                  <c:v>1548.1379999999999</c:v>
                </c:pt>
                <c:pt idx="20">
                  <c:v>1059</c:v>
                </c:pt>
                <c:pt idx="21">
                  <c:v>947</c:v>
                </c:pt>
                <c:pt idx="22">
                  <c:v>629.23</c:v>
                </c:pt>
                <c:pt idx="23">
                  <c:v>593</c:v>
                </c:pt>
                <c:pt idx="24">
                  <c:v>574.06899999999996</c:v>
                </c:pt>
                <c:pt idx="25">
                  <c:v>483</c:v>
                </c:pt>
                <c:pt idx="26">
                  <c:v>469.49799999999999</c:v>
                </c:pt>
                <c:pt idx="27">
                  <c:v>36.478000000000002</c:v>
                </c:pt>
                <c:pt idx="28">
                  <c:v>18</c:v>
                </c:pt>
                <c:pt idx="29">
                  <c:v>8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96-4544-9CF1-61046A387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293823184"/>
        <c:axId val="293822792"/>
      </c:barChart>
      <c:catAx>
        <c:axId val="29382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22792"/>
        <c:crosses val="autoZero"/>
        <c:auto val="1"/>
        <c:lblAlgn val="ctr"/>
        <c:lblOffset val="100"/>
        <c:noMultiLvlLbl val="0"/>
      </c:catAx>
      <c:valAx>
        <c:axId val="29382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2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615860517435314E-2"/>
          <c:y val="3.3212560386473432E-2"/>
          <c:w val="0.91300630389951254"/>
          <c:h val="0.52904732017193501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Graphs!$BP$3</c:f>
              <c:strCache>
                <c:ptCount val="1"/>
                <c:pt idx="0">
                  <c:v>Systemic Score (bps)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Graphs!$BN$4:$BN$38</c:f>
              <c:strCache>
                <c:ptCount val="33"/>
                <c:pt idx="0">
                  <c:v>Ally Financial Inc.</c:v>
                </c:pt>
                <c:pt idx="1">
                  <c:v>American Express Company</c:v>
                </c:pt>
                <c:pt idx="2">
                  <c:v>Bancwest Corporation</c:v>
                </c:pt>
                <c:pt idx="3">
                  <c:v>Bank Of America Corporation</c:v>
                </c:pt>
                <c:pt idx="4">
                  <c:v>Bank Of New York Mellon Corporation, The</c:v>
                </c:pt>
                <c:pt idx="5">
                  <c:v>Bb&amp;T Corporation</c:v>
                </c:pt>
                <c:pt idx="6">
                  <c:v>Bbva Compass Bancshares, Inc.</c:v>
                </c:pt>
                <c:pt idx="7">
                  <c:v>Bmo Financial Corp.</c:v>
                </c:pt>
                <c:pt idx="8">
                  <c:v>Capital One Financial Corporation</c:v>
                </c:pt>
                <c:pt idx="9">
                  <c:v>Citigroup Inc.</c:v>
                </c:pt>
                <c:pt idx="10">
                  <c:v>Citizens Financial Group, Inc.</c:v>
                </c:pt>
                <c:pt idx="11">
                  <c:v>Comerica Incorporated</c:v>
                </c:pt>
                <c:pt idx="12">
                  <c:v>Deutsche Bank Trust Corporation</c:v>
                </c:pt>
                <c:pt idx="13">
                  <c:v>Discover Financial Services</c:v>
                </c:pt>
                <c:pt idx="14">
                  <c:v>Fifth Third Bancorp</c:v>
                </c:pt>
                <c:pt idx="15">
                  <c:v>Goldman Sachs Group, Inc., The</c:v>
                </c:pt>
                <c:pt idx="16">
                  <c:v>Hsbc North America Holdings Inc.</c:v>
                </c:pt>
                <c:pt idx="17">
                  <c:v>Huntington Bancshares Incorporated</c:v>
                </c:pt>
                <c:pt idx="18">
                  <c:v>Jpmorgan Chase &amp; Co.</c:v>
                </c:pt>
                <c:pt idx="19">
                  <c:v>Keycorp</c:v>
                </c:pt>
                <c:pt idx="20">
                  <c:v>M&amp;T Bank Corporation</c:v>
                </c:pt>
                <c:pt idx="21">
                  <c:v>Morgan Stanley</c:v>
                </c:pt>
                <c:pt idx="22">
                  <c:v>Mufg Americas Holdings Corporation</c:v>
                </c:pt>
                <c:pt idx="23">
                  <c:v>Northern Trust Corporation</c:v>
                </c:pt>
                <c:pt idx="24">
                  <c:v>Pnc Financial Services Group, Inc., The</c:v>
                </c:pt>
                <c:pt idx="25">
                  <c:v>Regions Financial Corporation</c:v>
                </c:pt>
                <c:pt idx="26">
                  <c:v>Santander Holdings Usa, Inc.</c:v>
                </c:pt>
                <c:pt idx="27">
                  <c:v>State Street Corporation</c:v>
                </c:pt>
                <c:pt idx="28">
                  <c:v>Suntrust Banks, Inc.</c:v>
                </c:pt>
                <c:pt idx="29">
                  <c:v>Td Bank Us Holding Company</c:v>
                </c:pt>
                <c:pt idx="30">
                  <c:v>U.S. Bancorp</c:v>
                </c:pt>
                <c:pt idx="31">
                  <c:v>Wells Fargo &amp; Company</c:v>
                </c:pt>
                <c:pt idx="32">
                  <c:v>Zions Bancorporation</c:v>
                </c:pt>
              </c:strCache>
            </c:strRef>
          </c:cat>
          <c:val>
            <c:numRef>
              <c:f>Graphs!$BP$4:$BP$38</c:f>
              <c:numCache>
                <c:formatCode>_(* #,##0_);_(* \(#,##0\);_(* "-"??_);_(@_)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2-4731-87E7-0827B0B78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293822008"/>
        <c:axId val="293821616"/>
      </c:barChart>
      <c:catAx>
        <c:axId val="29382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21616"/>
        <c:crosses val="autoZero"/>
        <c:auto val="1"/>
        <c:lblAlgn val="ctr"/>
        <c:lblOffset val="100"/>
        <c:noMultiLvlLbl val="0"/>
      </c:catAx>
      <c:valAx>
        <c:axId val="29382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22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'Time Series'!$R$6</c:f>
              <c:strCache>
                <c:ptCount val="1"/>
                <c:pt idx="0">
                  <c:v>Q4 2013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Series'!$P$7:$P$39</c:f>
              <c:strCache>
                <c:ptCount val="33"/>
                <c:pt idx="0">
                  <c:v>Jpmorgan Chase &amp; Co.</c:v>
                </c:pt>
                <c:pt idx="1">
                  <c:v>Bank Of America Corporation</c:v>
                </c:pt>
                <c:pt idx="2">
                  <c:v>Citigroup Inc.</c:v>
                </c:pt>
                <c:pt idx="3">
                  <c:v>Wells Fargo &amp; Company</c:v>
                </c:pt>
                <c:pt idx="4">
                  <c:v>Goldman Sachs Group, Inc., The</c:v>
                </c:pt>
                <c:pt idx="5">
                  <c:v>Morgan Stanley</c:v>
                </c:pt>
                <c:pt idx="6">
                  <c:v>U.S. Bancorp</c:v>
                </c:pt>
                <c:pt idx="7">
                  <c:v>Pnc Financial Services Group, Inc., The</c:v>
                </c:pt>
                <c:pt idx="8">
                  <c:v>Bank Of New York Mellon Corporation, The</c:v>
                </c:pt>
                <c:pt idx="9">
                  <c:v>Hsbc North America Holdings Inc.</c:v>
                </c:pt>
                <c:pt idx="10">
                  <c:v>Capital One Financial Corporation</c:v>
                </c:pt>
                <c:pt idx="11">
                  <c:v>State Street Corporation</c:v>
                </c:pt>
                <c:pt idx="12">
                  <c:v>Td Bank Us Holding Company</c:v>
                </c:pt>
                <c:pt idx="13">
                  <c:v>Suntrust Banks, Inc.</c:v>
                </c:pt>
                <c:pt idx="14">
                  <c:v>Bb&amp;T Corporation</c:v>
                </c:pt>
                <c:pt idx="15">
                  <c:v>American Express Company</c:v>
                </c:pt>
                <c:pt idx="16">
                  <c:v>Fifth Third Bancorp</c:v>
                </c:pt>
                <c:pt idx="17">
                  <c:v>Citizens Financial Group, Inc.</c:v>
                </c:pt>
                <c:pt idx="18">
                  <c:v>Bmo Financial Corp.</c:v>
                </c:pt>
                <c:pt idx="19">
                  <c:v>Ally Financial Inc.</c:v>
                </c:pt>
                <c:pt idx="20">
                  <c:v>Mufg Americas Holdings Corporation</c:v>
                </c:pt>
                <c:pt idx="21">
                  <c:v>Northern Trust Corporation</c:v>
                </c:pt>
                <c:pt idx="22">
                  <c:v>Regions Financial Corporation</c:v>
                </c:pt>
                <c:pt idx="23">
                  <c:v>Santander Holdings Usa, Inc.</c:v>
                </c:pt>
                <c:pt idx="24">
                  <c:v>Keycorp</c:v>
                </c:pt>
                <c:pt idx="25">
                  <c:v>M&amp;T Bank Corporation</c:v>
                </c:pt>
                <c:pt idx="26">
                  <c:v>Bancwest Corporation</c:v>
                </c:pt>
                <c:pt idx="27">
                  <c:v>Bbva Compass Bancshares, Inc.</c:v>
                </c:pt>
                <c:pt idx="28">
                  <c:v>Comerica Incorporated</c:v>
                </c:pt>
                <c:pt idx="29">
                  <c:v>Discover Financial Services</c:v>
                </c:pt>
                <c:pt idx="30">
                  <c:v>Huntington Bancshares Incorporated</c:v>
                </c:pt>
                <c:pt idx="31">
                  <c:v>Zions Bancorporation</c:v>
                </c:pt>
                <c:pt idx="32">
                  <c:v>Deutsche Bank Trust Corporation</c:v>
                </c:pt>
              </c:strCache>
            </c:strRef>
          </c:cat>
          <c:val>
            <c:numRef>
              <c:f>'Time Series'!$R$7:$R$39</c:f>
              <c:numCache>
                <c:formatCode>_([$$-409]* #,##0_);_([$$-409]* \(#,##0\);_([$$-409]* "-"??_);_(@_)</c:formatCode>
                <c:ptCount val="33"/>
                <c:pt idx="0">
                  <c:v>3569551.8</c:v>
                </c:pt>
                <c:pt idx="1">
                  <c:v>2695636.963</c:v>
                </c:pt>
                <c:pt idx="2">
                  <c:v>2894627.6</c:v>
                </c:pt>
                <c:pt idx="3">
                  <c:v>1961304.7</c:v>
                </c:pt>
                <c:pt idx="4">
                  <c:v>1517513.7</c:v>
                </c:pt>
                <c:pt idx="5">
                  <c:v>1282726.862</c:v>
                </c:pt>
                <c:pt idx="6">
                  <c:v>524636.19999999995</c:v>
                </c:pt>
                <c:pt idx="7">
                  <c:v>425387.038</c:v>
                </c:pt>
                <c:pt idx="8">
                  <c:v>409666.2</c:v>
                </c:pt>
                <c:pt idx="9">
                  <c:v>405781.91700000002</c:v>
                </c:pt>
                <c:pt idx="10">
                  <c:v>336207.913</c:v>
                </c:pt>
                <c:pt idx="11">
                  <c:v>345428.17</c:v>
                </c:pt>
                <c:pt idx="12">
                  <c:v>276806.64299999998</c:v>
                </c:pt>
                <c:pt idx="13">
                  <c:v>229448.402</c:v>
                </c:pt>
                <c:pt idx="14">
                  <c:v>212387.101</c:v>
                </c:pt>
                <c:pt idx="15">
                  <c:v>177271.7</c:v>
                </c:pt>
                <c:pt idx="16">
                  <c:v>174422.68599999999</c:v>
                </c:pt>
                <c:pt idx="17">
                  <c:v>146082.291</c:v>
                </c:pt>
                <c:pt idx="18">
                  <c:v>162934.99299999999</c:v>
                </c:pt>
                <c:pt idx="19">
                  <c:v>152516</c:v>
                </c:pt>
                <c:pt idx="20">
                  <c:v>146461.571</c:v>
                </c:pt>
                <c:pt idx="21">
                  <c:v>142399.20300000001</c:v>
                </c:pt>
                <c:pt idx="22">
                  <c:v>145969.288</c:v>
                </c:pt>
                <c:pt idx="23">
                  <c:v>98283.41</c:v>
                </c:pt>
                <c:pt idx="24">
                  <c:v>134368.815</c:v>
                </c:pt>
                <c:pt idx="25">
                  <c:v>104645.236</c:v>
                </c:pt>
                <c:pt idx="26">
                  <c:v>102647.429</c:v>
                </c:pt>
                <c:pt idx="27">
                  <c:v>100957.34299999999</c:v>
                </c:pt>
                <c:pt idx="28">
                  <c:v>98084.048999999999</c:v>
                </c:pt>
                <c:pt idx="29">
                  <c:v>95633.012000000002</c:v>
                </c:pt>
                <c:pt idx="30">
                  <c:v>64612.413999999997</c:v>
                </c:pt>
                <c:pt idx="31">
                  <c:v>75164.967999999993</c:v>
                </c:pt>
                <c:pt idx="32">
                  <c:v>63609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A-4B1E-B8CA-24FEA56E0833}"/>
            </c:ext>
          </c:extLst>
        </c:ser>
        <c:ser>
          <c:idx val="0"/>
          <c:order val="1"/>
          <c:tx>
            <c:strRef>
              <c:f>'Time Series'!$S$6</c:f>
              <c:strCache>
                <c:ptCount val="1"/>
                <c:pt idx="0">
                  <c:v>Q4 2014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Series'!$P$7:$P$39</c:f>
              <c:strCache>
                <c:ptCount val="33"/>
                <c:pt idx="0">
                  <c:v>Jpmorgan Chase &amp; Co.</c:v>
                </c:pt>
                <c:pt idx="1">
                  <c:v>Bank Of America Corporation</c:v>
                </c:pt>
                <c:pt idx="2">
                  <c:v>Citigroup Inc.</c:v>
                </c:pt>
                <c:pt idx="3">
                  <c:v>Wells Fargo &amp; Company</c:v>
                </c:pt>
                <c:pt idx="4">
                  <c:v>Goldman Sachs Group, Inc., The</c:v>
                </c:pt>
                <c:pt idx="5">
                  <c:v>Morgan Stanley</c:v>
                </c:pt>
                <c:pt idx="6">
                  <c:v>U.S. Bancorp</c:v>
                </c:pt>
                <c:pt idx="7">
                  <c:v>Pnc Financial Services Group, Inc., The</c:v>
                </c:pt>
                <c:pt idx="8">
                  <c:v>Bank Of New York Mellon Corporation, The</c:v>
                </c:pt>
                <c:pt idx="9">
                  <c:v>Hsbc North America Holdings Inc.</c:v>
                </c:pt>
                <c:pt idx="10">
                  <c:v>Capital One Financial Corporation</c:v>
                </c:pt>
                <c:pt idx="11">
                  <c:v>State Street Corporation</c:v>
                </c:pt>
                <c:pt idx="12">
                  <c:v>Td Bank Us Holding Company</c:v>
                </c:pt>
                <c:pt idx="13">
                  <c:v>Suntrust Banks, Inc.</c:v>
                </c:pt>
                <c:pt idx="14">
                  <c:v>Bb&amp;T Corporation</c:v>
                </c:pt>
                <c:pt idx="15">
                  <c:v>American Express Company</c:v>
                </c:pt>
                <c:pt idx="16">
                  <c:v>Fifth Third Bancorp</c:v>
                </c:pt>
                <c:pt idx="17">
                  <c:v>Citizens Financial Group, Inc.</c:v>
                </c:pt>
                <c:pt idx="18">
                  <c:v>Bmo Financial Corp.</c:v>
                </c:pt>
                <c:pt idx="19">
                  <c:v>Ally Financial Inc.</c:v>
                </c:pt>
                <c:pt idx="20">
                  <c:v>Mufg Americas Holdings Corporation</c:v>
                </c:pt>
                <c:pt idx="21">
                  <c:v>Northern Trust Corporation</c:v>
                </c:pt>
                <c:pt idx="22">
                  <c:v>Regions Financial Corporation</c:v>
                </c:pt>
                <c:pt idx="23">
                  <c:v>Santander Holdings Usa, Inc.</c:v>
                </c:pt>
                <c:pt idx="24">
                  <c:v>Keycorp</c:v>
                </c:pt>
                <c:pt idx="25">
                  <c:v>M&amp;T Bank Corporation</c:v>
                </c:pt>
                <c:pt idx="26">
                  <c:v>Bancwest Corporation</c:v>
                </c:pt>
                <c:pt idx="27">
                  <c:v>Bbva Compass Bancshares, Inc.</c:v>
                </c:pt>
                <c:pt idx="28">
                  <c:v>Comerica Incorporated</c:v>
                </c:pt>
                <c:pt idx="29">
                  <c:v>Discover Financial Services</c:v>
                </c:pt>
                <c:pt idx="30">
                  <c:v>Huntington Bancshares Incorporated</c:v>
                </c:pt>
                <c:pt idx="31">
                  <c:v>Zions Bancorporation</c:v>
                </c:pt>
                <c:pt idx="32">
                  <c:v>Deutsche Bank Trust Corporation</c:v>
                </c:pt>
              </c:strCache>
            </c:strRef>
          </c:cat>
          <c:val>
            <c:numRef>
              <c:f>'Time Series'!$S$7:$S$39</c:f>
              <c:numCache>
                <c:formatCode>_([$$-409]* #,##0_);_([$$-409]* \(#,##0\);_([$$-409]* "-"??_);_(@_)</c:formatCode>
                <c:ptCount val="33"/>
                <c:pt idx="0">
                  <c:v>3743113</c:v>
                </c:pt>
                <c:pt idx="1">
                  <c:v>2810245.9589999998</c:v>
                </c:pt>
                <c:pt idx="2">
                  <c:v>2765877.5</c:v>
                </c:pt>
                <c:pt idx="3">
                  <c:v>2191752.2999999998</c:v>
                </c:pt>
                <c:pt idx="4">
                  <c:v>1484013</c:v>
                </c:pt>
                <c:pt idx="5">
                  <c:v>1281234.6640000001</c:v>
                </c:pt>
                <c:pt idx="6">
                  <c:v>538755.69999999995</c:v>
                </c:pt>
                <c:pt idx="7">
                  <c:v>459925.08100000001</c:v>
                </c:pt>
                <c:pt idx="8">
                  <c:v>418631.8</c:v>
                </c:pt>
                <c:pt idx="9">
                  <c:v>416909.71299999999</c:v>
                </c:pt>
                <c:pt idx="10">
                  <c:v>353601.304</c:v>
                </c:pt>
                <c:pt idx="11">
                  <c:v>292211.65500000003</c:v>
                </c:pt>
                <c:pt idx="12">
                  <c:v>283631.859</c:v>
                </c:pt>
                <c:pt idx="13">
                  <c:v>252483.177</c:v>
                </c:pt>
                <c:pt idx="14">
                  <c:v>217773.05</c:v>
                </c:pt>
                <c:pt idx="15">
                  <c:v>184977.1</c:v>
                </c:pt>
                <c:pt idx="16">
                  <c:v>184945.58799999999</c:v>
                </c:pt>
                <c:pt idx="17">
                  <c:v>157363.598</c:v>
                </c:pt>
                <c:pt idx="18">
                  <c:v>155869.27799999999</c:v>
                </c:pt>
                <c:pt idx="19">
                  <c:v>154346.6</c:v>
                </c:pt>
                <c:pt idx="20">
                  <c:v>153901.38399999999</c:v>
                </c:pt>
                <c:pt idx="21">
                  <c:v>151569.46599999999</c:v>
                </c:pt>
                <c:pt idx="22">
                  <c:v>151156.76300000001</c:v>
                </c:pt>
                <c:pt idx="23">
                  <c:v>146358.35699999999</c:v>
                </c:pt>
                <c:pt idx="24">
                  <c:v>140421.22899999999</c:v>
                </c:pt>
                <c:pt idx="25">
                  <c:v>119589.791</c:v>
                </c:pt>
                <c:pt idx="26">
                  <c:v>111924.474</c:v>
                </c:pt>
                <c:pt idx="27">
                  <c:v>107580.046</c:v>
                </c:pt>
                <c:pt idx="28">
                  <c:v>102554.103</c:v>
                </c:pt>
                <c:pt idx="29">
                  <c:v>100186.019</c:v>
                </c:pt>
                <c:pt idx="30">
                  <c:v>80340.612999999998</c:v>
                </c:pt>
                <c:pt idx="31">
                  <c:v>74391.153000000006</c:v>
                </c:pt>
                <c:pt idx="32">
                  <c:v>52700.800000000003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A-4B1E-B8CA-24FEA56E0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axId val="293820832"/>
        <c:axId val="293820440"/>
      </c:barChart>
      <c:catAx>
        <c:axId val="29382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20440"/>
        <c:crosses val="autoZero"/>
        <c:auto val="1"/>
        <c:lblAlgn val="ctr"/>
        <c:lblOffset val="100"/>
        <c:noMultiLvlLbl val="0"/>
      </c:catAx>
      <c:valAx>
        <c:axId val="29382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2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707692683298481E-2"/>
          <c:y val="3.7883672019163546E-2"/>
          <c:w val="0.89188145114726147"/>
          <c:h val="0.5873894925252247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'Time Series'!$X$6</c:f>
              <c:strCache>
                <c:ptCount val="1"/>
                <c:pt idx="0">
                  <c:v>% Change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>
              <a:glow>
                <a:schemeClr val="bg1">
                  <a:lumMod val="85000"/>
                  <a:alpha val="40000"/>
                </a:schemeClr>
              </a:glow>
              <a:softEdge rad="0"/>
            </a:effectLst>
          </c:spPr>
          <c:invertIfNegative val="0"/>
          <c:dLbls>
            <c:dLbl>
              <c:idx val="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1">
                  <a:spAutoFit/>
                </a:bodyPr>
                <a:lstStyle/>
                <a:p>
                  <a:pPr>
                    <a:defRPr sz="600" b="1" i="0" u="none" strike="noStrike" kern="1200" baseline="0">
                      <a:ln>
                        <a:noFill/>
                      </a:ln>
                      <a:solidFill>
                        <a:schemeClr val="bg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B40E-40E6-9100-9D0DE4F646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ctr" anchorCtr="1">
                <a:spAutoFit/>
              </a:bodyPr>
              <a:lstStyle/>
              <a:p>
                <a:pPr>
                  <a:defRPr sz="620" b="1" i="0" u="none" strike="noStrike" kern="1200" baseline="0">
                    <a:ln>
                      <a:noFill/>
                    </a:ln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'Time Series'!$V$7:$V$39</c:f>
              <c:strCache>
                <c:ptCount val="33"/>
                <c:pt idx="0">
                  <c:v>Santander Holdings Usa, Inc.</c:v>
                </c:pt>
                <c:pt idx="1">
                  <c:v>Huntington Bancshares Incorporated</c:v>
                </c:pt>
                <c:pt idx="2">
                  <c:v>M&amp;T Bank Corporation</c:v>
                </c:pt>
                <c:pt idx="3">
                  <c:v>Wells Fargo &amp; Company</c:v>
                </c:pt>
                <c:pt idx="4">
                  <c:v>Suntrust Banks, Inc.</c:v>
                </c:pt>
                <c:pt idx="5">
                  <c:v>Bancwest Corporation</c:v>
                </c:pt>
                <c:pt idx="6">
                  <c:v>Pnc Financial Services Group, Inc., The</c:v>
                </c:pt>
                <c:pt idx="7">
                  <c:v>Citizens Financial Group, Inc.</c:v>
                </c:pt>
                <c:pt idx="8">
                  <c:v>Bbva Compass Bancshares, Inc.</c:v>
                </c:pt>
                <c:pt idx="9">
                  <c:v>Northern Trust Corporation</c:v>
                </c:pt>
                <c:pt idx="10">
                  <c:v>Fifth Third Bancorp</c:v>
                </c:pt>
                <c:pt idx="11">
                  <c:v>Capital One Financial Corporation</c:v>
                </c:pt>
                <c:pt idx="12">
                  <c:v>Mufg Americas Holdings Corporation</c:v>
                </c:pt>
                <c:pt idx="13">
                  <c:v>Jpmorgan Chase &amp; Co.</c:v>
                </c:pt>
                <c:pt idx="14">
                  <c:v>Discover Financial Services</c:v>
                </c:pt>
                <c:pt idx="15">
                  <c:v>Comerica Incorporated</c:v>
                </c:pt>
                <c:pt idx="16">
                  <c:v>Keycorp</c:v>
                </c:pt>
                <c:pt idx="17">
                  <c:v>American Express Company</c:v>
                </c:pt>
                <c:pt idx="18">
                  <c:v>Bank Of America Corporation</c:v>
                </c:pt>
                <c:pt idx="19">
                  <c:v>Regions Financial Corporation</c:v>
                </c:pt>
                <c:pt idx="20">
                  <c:v>Hsbc North America Holdings Inc.</c:v>
                </c:pt>
                <c:pt idx="21">
                  <c:v>U.S. Bancorp</c:v>
                </c:pt>
                <c:pt idx="22">
                  <c:v>Bb&amp;T Corporation</c:v>
                </c:pt>
                <c:pt idx="23">
                  <c:v>Td Bank Us Holding Company</c:v>
                </c:pt>
                <c:pt idx="24">
                  <c:v>Bank Of New York Mellon Corporation, The</c:v>
                </c:pt>
                <c:pt idx="25">
                  <c:v>Ally Financial Inc.</c:v>
                </c:pt>
                <c:pt idx="26">
                  <c:v>Morgan Stanley</c:v>
                </c:pt>
                <c:pt idx="27">
                  <c:v>Zions Bancorporation</c:v>
                </c:pt>
                <c:pt idx="28">
                  <c:v>Goldman Sachs Group, Inc., The</c:v>
                </c:pt>
                <c:pt idx="29">
                  <c:v>Bmo Financial Corp.</c:v>
                </c:pt>
                <c:pt idx="30">
                  <c:v>Citigroup Inc.</c:v>
                </c:pt>
                <c:pt idx="31">
                  <c:v>State Street Corporation</c:v>
                </c:pt>
                <c:pt idx="32">
                  <c:v>Deutsche Bank Trust Corporation</c:v>
                </c:pt>
              </c:strCache>
            </c:strRef>
          </c:cat>
          <c:val>
            <c:numRef>
              <c:f>'Time Series'!$X$7:$X$39</c:f>
              <c:numCache>
                <c:formatCode>0%</c:formatCode>
                <c:ptCount val="33"/>
                <c:pt idx="0">
                  <c:v>0.4891461030910505</c:v>
                </c:pt>
                <c:pt idx="1">
                  <c:v>0.24342379469059927</c:v>
                </c:pt>
                <c:pt idx="2">
                  <c:v>0.14281161351673949</c:v>
                </c:pt>
                <c:pt idx="3">
                  <c:v>0.11749709262410878</c:v>
                </c:pt>
                <c:pt idx="4">
                  <c:v>0.10039196089062322</c:v>
                </c:pt>
                <c:pt idx="5">
                  <c:v>9.0377762895551897E-2</c:v>
                </c:pt>
                <c:pt idx="6">
                  <c:v>8.1192043750049583E-2</c:v>
                </c:pt>
                <c:pt idx="7">
                  <c:v>7.7225698767279055E-2</c:v>
                </c:pt>
                <c:pt idx="8">
                  <c:v>6.5599022351450043E-2</c:v>
                </c:pt>
                <c:pt idx="9">
                  <c:v>6.439827475719774E-2</c:v>
                </c:pt>
                <c:pt idx="10">
                  <c:v>6.0329893096589524E-2</c:v>
                </c:pt>
                <c:pt idx="11">
                  <c:v>5.1734032208813605E-2</c:v>
                </c:pt>
                <c:pt idx="12">
                  <c:v>5.0797031256751952E-2</c:v>
                </c:pt>
                <c:pt idx="13">
                  <c:v>4.8622687027542279E-2</c:v>
                </c:pt>
                <c:pt idx="14">
                  <c:v>4.7609156135331149E-2</c:v>
                </c:pt>
                <c:pt idx="15">
                  <c:v>4.5573709951553937E-2</c:v>
                </c:pt>
                <c:pt idx="16">
                  <c:v>4.504329371364918E-2</c:v>
                </c:pt>
                <c:pt idx="17">
                  <c:v>4.3466610857796219E-2</c:v>
                </c:pt>
                <c:pt idx="18">
                  <c:v>4.2516480361825267E-2</c:v>
                </c:pt>
                <c:pt idx="19">
                  <c:v>3.5538126348879678E-2</c:v>
                </c:pt>
                <c:pt idx="20">
                  <c:v>2.7423094854175014E-2</c:v>
                </c:pt>
                <c:pt idx="21">
                  <c:v>2.6912935096739418E-2</c:v>
                </c:pt>
                <c:pt idx="22">
                  <c:v>2.5359115382435553E-2</c:v>
                </c:pt>
                <c:pt idx="23">
                  <c:v>2.4656980504618942E-2</c:v>
                </c:pt>
                <c:pt idx="24">
                  <c:v>2.1885134775580645E-2</c:v>
                </c:pt>
                <c:pt idx="25">
                  <c:v>1.2002675129166814E-2</c:v>
                </c:pt>
                <c:pt idx="26">
                  <c:v>-1.1633014355630282E-3</c:v>
                </c:pt>
                <c:pt idx="27">
                  <c:v>-1.0294888970084945E-2</c:v>
                </c:pt>
                <c:pt idx="28">
                  <c:v>-2.2076044519400356E-2</c:v>
                </c:pt>
                <c:pt idx="29">
                  <c:v>-4.3365239534517895E-2</c:v>
                </c:pt>
                <c:pt idx="30">
                  <c:v>-4.4478985828781598E-2</c:v>
                </c:pt>
                <c:pt idx="31">
                  <c:v>-0.15405956902704246</c:v>
                </c:pt>
                <c:pt idx="32">
                  <c:v>-0.17148831140247445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0E-40E6-9100-9D0DE4F646D5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2"/>
        <c:axId val="293818872"/>
        <c:axId val="364414448"/>
      </c:barChart>
      <c:catAx>
        <c:axId val="293818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414448"/>
        <c:crosses val="autoZero"/>
        <c:auto val="1"/>
        <c:lblAlgn val="ctr"/>
        <c:lblOffset val="0"/>
        <c:noMultiLvlLbl val="0"/>
      </c:catAx>
      <c:valAx>
        <c:axId val="364414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18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15</xdr:col>
      <xdr:colOff>0</xdr:colOff>
      <xdr:row>25</xdr:row>
      <xdr:rowOff>187452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29</xdr:row>
      <xdr:rowOff>39587</xdr:rowOff>
    </xdr:from>
    <xdr:to>
      <xdr:col>15</xdr:col>
      <xdr:colOff>0</xdr:colOff>
      <xdr:row>51</xdr:row>
      <xdr:rowOff>36539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15</xdr:col>
      <xdr:colOff>0</xdr:colOff>
      <xdr:row>77</xdr:row>
      <xdr:rowOff>187452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81</xdr:row>
      <xdr:rowOff>-1</xdr:rowOff>
    </xdr:from>
    <xdr:to>
      <xdr:col>15</xdr:col>
      <xdr:colOff>0</xdr:colOff>
      <xdr:row>102</xdr:row>
      <xdr:rowOff>187451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108</xdr:row>
      <xdr:rowOff>0</xdr:rowOff>
    </xdr:from>
    <xdr:to>
      <xdr:col>15</xdr:col>
      <xdr:colOff>0</xdr:colOff>
      <xdr:row>130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133</xdr:row>
      <xdr:rowOff>0</xdr:rowOff>
    </xdr:from>
    <xdr:to>
      <xdr:col>15</xdr:col>
      <xdr:colOff>0</xdr:colOff>
      <xdr:row>154</xdr:row>
      <xdr:rowOff>187452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160</xdr:row>
      <xdr:rowOff>0</xdr:rowOff>
    </xdr:from>
    <xdr:to>
      <xdr:col>15</xdr:col>
      <xdr:colOff>0</xdr:colOff>
      <xdr:row>182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185</xdr:row>
      <xdr:rowOff>0</xdr:rowOff>
    </xdr:from>
    <xdr:to>
      <xdr:col>15</xdr:col>
      <xdr:colOff>0</xdr:colOff>
      <xdr:row>206</xdr:row>
      <xdr:rowOff>187452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212</xdr:row>
      <xdr:rowOff>1</xdr:rowOff>
    </xdr:from>
    <xdr:to>
      <xdr:col>15</xdr:col>
      <xdr:colOff>0</xdr:colOff>
      <xdr:row>234</xdr:row>
      <xdr:rowOff>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237</xdr:row>
      <xdr:rowOff>1</xdr:rowOff>
    </xdr:from>
    <xdr:to>
      <xdr:col>15</xdr:col>
      <xdr:colOff>0</xdr:colOff>
      <xdr:row>259</xdr:row>
      <xdr:rowOff>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264</xdr:row>
      <xdr:rowOff>0</xdr:rowOff>
    </xdr:from>
    <xdr:to>
      <xdr:col>15</xdr:col>
      <xdr:colOff>0</xdr:colOff>
      <xdr:row>285</xdr:row>
      <xdr:rowOff>187452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288</xdr:row>
      <xdr:rowOff>190499</xdr:rowOff>
    </xdr:from>
    <xdr:to>
      <xdr:col>15</xdr:col>
      <xdr:colOff>0</xdr:colOff>
      <xdr:row>310</xdr:row>
      <xdr:rowOff>187451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316</xdr:row>
      <xdr:rowOff>0</xdr:rowOff>
    </xdr:from>
    <xdr:to>
      <xdr:col>14</xdr:col>
      <xdr:colOff>606137</xdr:colOff>
      <xdr:row>338</xdr:row>
      <xdr:rowOff>0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13854</xdr:rowOff>
    </xdr:from>
    <xdr:to>
      <xdr:col>9</xdr:col>
      <xdr:colOff>20171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5846</xdr:colOff>
      <xdr:row>32</xdr:row>
      <xdr:rowOff>0</xdr:rowOff>
    </xdr:from>
    <xdr:to>
      <xdr:col>9</xdr:col>
      <xdr:colOff>20170</xdr:colOff>
      <xdr:row>53</xdr:row>
      <xdr:rowOff>187452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 tint="0.79998168889431442"/>
    <pageSetUpPr fitToPage="1"/>
  </sheetPr>
  <dimension ref="B2:P40"/>
  <sheetViews>
    <sheetView showGridLines="0" zoomScale="85" zoomScaleNormal="85" workbookViewId="0">
      <selection activeCell="D3" sqref="D3"/>
    </sheetView>
  </sheetViews>
  <sheetFormatPr defaultRowHeight="14.5"/>
  <cols>
    <col min="1" max="1" width="5.7265625" customWidth="1"/>
    <col min="2" max="2" width="44.7265625" customWidth="1"/>
    <col min="3" max="3" width="12.7265625" customWidth="1"/>
    <col min="4" max="15" width="15.7265625" customWidth="1"/>
  </cols>
  <sheetData>
    <row r="2" spans="2:16" ht="25">
      <c r="B2" s="286" t="s">
        <v>622</v>
      </c>
      <c r="C2" s="2"/>
      <c r="D2" s="225" t="s">
        <v>336</v>
      </c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1"/>
    </row>
    <row r="3" spans="2:16" ht="18" customHeight="1">
      <c r="C3" s="2"/>
      <c r="D3" s="48" t="s">
        <v>13</v>
      </c>
      <c r="E3" s="373" t="s">
        <v>14</v>
      </c>
      <c r="F3" s="373"/>
      <c r="G3" s="373"/>
      <c r="H3" s="374" t="s">
        <v>19</v>
      </c>
      <c r="I3" s="374"/>
      <c r="J3" s="374"/>
      <c r="K3" s="375" t="s">
        <v>15</v>
      </c>
      <c r="L3" s="375"/>
      <c r="M3" s="375"/>
      <c r="N3" s="376" t="s">
        <v>16</v>
      </c>
      <c r="O3" s="376"/>
    </row>
    <row r="4" spans="2:16">
      <c r="B4" s="284" t="str">
        <f>'FR Y-15 Data'!A1</f>
        <v>NAME</v>
      </c>
      <c r="C4" s="285" t="str">
        <f>'FR Y-15 Data'!C1</f>
        <v>ID_RSSD</v>
      </c>
      <c r="D4" s="51" t="s">
        <v>1</v>
      </c>
      <c r="E4" s="287" t="s">
        <v>2</v>
      </c>
      <c r="F4" s="288" t="s">
        <v>3</v>
      </c>
      <c r="G4" s="289" t="s">
        <v>4</v>
      </c>
      <c r="H4" s="287" t="s">
        <v>5</v>
      </c>
      <c r="I4" s="288" t="s">
        <v>6</v>
      </c>
      <c r="J4" s="289" t="s">
        <v>7</v>
      </c>
      <c r="K4" s="287" t="s">
        <v>8</v>
      </c>
      <c r="L4" s="288" t="s">
        <v>9</v>
      </c>
      <c r="M4" s="289" t="s">
        <v>10</v>
      </c>
      <c r="N4" s="287" t="s">
        <v>11</v>
      </c>
      <c r="O4" s="289" t="s">
        <v>12</v>
      </c>
    </row>
    <row r="5" spans="2:16" ht="45" customHeight="1">
      <c r="B5" s="229" t="s">
        <v>337</v>
      </c>
      <c r="C5" s="230" t="s">
        <v>581</v>
      </c>
      <c r="D5" s="48" t="s">
        <v>17</v>
      </c>
      <c r="E5" s="302" t="s">
        <v>333</v>
      </c>
      <c r="F5" s="303" t="s">
        <v>334</v>
      </c>
      <c r="G5" s="304" t="s">
        <v>335</v>
      </c>
      <c r="H5" s="305" t="s">
        <v>578</v>
      </c>
      <c r="I5" s="306" t="s">
        <v>24</v>
      </c>
      <c r="J5" s="307" t="s">
        <v>25</v>
      </c>
      <c r="K5" s="314" t="s">
        <v>23</v>
      </c>
      <c r="L5" s="315" t="s">
        <v>20</v>
      </c>
      <c r="M5" s="316" t="s">
        <v>21</v>
      </c>
      <c r="N5" s="317" t="s">
        <v>22</v>
      </c>
      <c r="O5" s="318" t="s">
        <v>790</v>
      </c>
    </row>
    <row r="6" spans="2:16">
      <c r="B6" s="231" t="str">
        <f>INDEX('FR Y-15 Data'!$A$1:$ED$66,MATCH($C6,'FR Y-15 Data'!$C$1:$C$66,0),MATCH($B$4,'FR Y-15 Data'!$A$1:$EE$1,0))</f>
        <v xml:space="preserve">ALLY FINANCIAL INC.                                                                                                     </v>
      </c>
      <c r="C6" s="35">
        <f>INDEX('FR Y-15 Data'!$A$1:$ED$66,ROWS($C$5:C6)+1,MATCH($C$4,'FR Y-15 Data'!$A$1:$EE$1,0))</f>
        <v>1562859</v>
      </c>
      <c r="D6" s="42">
        <f>INDEX('FR Y-15 Data'!$A$1:$ED$66,MATCH($C6,'FR Y-15 Data'!$C$1:$C$66,0),MATCH(D$4,'FR Y-15 Data'!$A$1:$EE$1,0))/1000</f>
        <v>154346.6</v>
      </c>
      <c r="E6" s="308">
        <f>INDEX('FR Y-15 Data'!$A$1:$ED$66,MATCH($C6,'FR Y-15 Data'!$C$1:$C$66,0),MATCH(E$4,'FR Y-15 Data'!$A$1:$EE$1,0))/1000</f>
        <v>5416</v>
      </c>
      <c r="F6" s="309">
        <f>INDEX('FR Y-15 Data'!$A$1:$ED$66,MATCH($C6,'FR Y-15 Data'!$C$1:$C$66,0),MATCH(F$4,'FR Y-15 Data'!$A$1:$EE$1,0))/1000</f>
        <v>13796</v>
      </c>
      <c r="G6" s="310">
        <f>INDEX('FR Y-15 Data'!$A$1:$ED$66,MATCH($C6,'FR Y-15 Data'!$C$1:$C$66,0),MATCH(G$4,'FR Y-15 Data'!$A$1:$EE$1,0))/1000</f>
        <v>116354</v>
      </c>
      <c r="H6" s="308">
        <f>INDEX('FR Y-15 Data'!$A$1:$ED$66,MATCH($C6,'FR Y-15 Data'!$C$1:$C$66,0),MATCH(H$4,'FR Y-15 Data'!$A$1:$EE$1,0))/1000</f>
        <v>118390</v>
      </c>
      <c r="I6" s="309">
        <f>INDEX('FR Y-15 Data'!$A$1:$ED$66,MATCH($C6,'FR Y-15 Data'!$C$1:$C$66,0),MATCH(I$4,'FR Y-15 Data'!$A$1:$EE$1,0))/1000</f>
        <v>0</v>
      </c>
      <c r="J6" s="310">
        <f>INDEX('FR Y-15 Data'!$A$1:$ED$66,MATCH($C6,'FR Y-15 Data'!$C$1:$C$66,0),MATCH(J$4,'FR Y-15 Data'!$A$1:$EE$1,0))/1000</f>
        <v>0</v>
      </c>
      <c r="K6" s="308">
        <f>INDEX('FR Y-15 Data'!$A$1:$ED$66,MATCH($C6,'FR Y-15 Data'!$C$1:$C$66,0),MATCH(K$4,'FR Y-15 Data'!$A$1:$EE$1,0))/1000</f>
        <v>62313</v>
      </c>
      <c r="L6" s="309">
        <f>INDEX('FR Y-15 Data'!$A$1:$ED$66,MATCH($C6,'FR Y-15 Data'!$C$1:$C$66,0),MATCH(L$4,'FR Y-15 Data'!$A$1:$EE$1,0))/1000</f>
        <v>9089</v>
      </c>
      <c r="M6" s="310">
        <f>INDEX('FR Y-15 Data'!$A$1:$ED$66,MATCH($C6,'FR Y-15 Data'!$C$1:$C$66,0),MATCH(M$4,'FR Y-15 Data'!$A$1:$EE$1,0))/1000</f>
        <v>50</v>
      </c>
      <c r="N6" s="308">
        <f>INDEX('FR Y-15 Data'!$A$1:$ED$66,MATCH($C6,'FR Y-15 Data'!$C$1:$C$66,0),MATCH(N$4,'FR Y-15 Data'!$A$1:$EE$1,0))/1000</f>
        <v>1843</v>
      </c>
      <c r="O6" s="310">
        <f>INDEX('FR Y-15 Data'!$A$1:$ED$66,MATCH($C6,'FR Y-15 Data'!$C$1:$C$66,0),MATCH(O$4,'FR Y-15 Data'!$A$1:$EE$1,0))/1000</f>
        <v>1622</v>
      </c>
    </row>
    <row r="7" spans="2:16">
      <c r="B7" s="231" t="str">
        <f>INDEX('FR Y-15 Data'!$A$1:$ED$66,MATCH($C7,'FR Y-15 Data'!$C$1:$C$66,0),MATCH($B$4,'FR Y-15 Data'!$A$1:$EE$1,0))</f>
        <v xml:space="preserve">AMERICAN EXPRESS COMPANY                                                                                                </v>
      </c>
      <c r="C7" s="4">
        <f>INDEX('FR Y-15 Data'!$A$1:$ED$66,ROWS($C$5:C7)+1,MATCH($C$4,'FR Y-15 Data'!$A$1:$EE$1,0))</f>
        <v>1275216</v>
      </c>
      <c r="D7" s="42">
        <f>INDEX('FR Y-15 Data'!$A$1:$ED$66,MATCH($C7,'FR Y-15 Data'!$C$1:$C$66,0),MATCH(D$4,'FR Y-15 Data'!$A$1:$EE$1,0))/1000</f>
        <v>184977.1</v>
      </c>
      <c r="E7" s="308">
        <f>INDEX('FR Y-15 Data'!$A$1:$ED$66,MATCH($C7,'FR Y-15 Data'!$C$1:$C$66,0),MATCH(E$4,'FR Y-15 Data'!$A$1:$EE$1,0))/1000</f>
        <v>8243</v>
      </c>
      <c r="F7" s="309">
        <f>INDEX('FR Y-15 Data'!$A$1:$ED$66,MATCH($C7,'FR Y-15 Data'!$C$1:$C$66,0),MATCH(F$4,'FR Y-15 Data'!$A$1:$EE$1,0))/1000</f>
        <v>5794</v>
      </c>
      <c r="G7" s="310">
        <f>INDEX('FR Y-15 Data'!$A$1:$ED$66,MATCH($C7,'FR Y-15 Data'!$C$1:$C$66,0),MATCH(G$4,'FR Y-15 Data'!$A$1:$EE$1,0))/1000</f>
        <v>162085</v>
      </c>
      <c r="H7" s="308">
        <f>INDEX('FR Y-15 Data'!$A$1:$ED$66,MATCH($C7,'FR Y-15 Data'!$C$1:$C$66,0),MATCH(H$4,'FR Y-15 Data'!$A$1:$EE$1,0))/1000</f>
        <v>140455</v>
      </c>
      <c r="I7" s="309">
        <f>INDEX('FR Y-15 Data'!$A$1:$ED$66,MATCH($C7,'FR Y-15 Data'!$C$1:$C$66,0),MATCH(I$4,'FR Y-15 Data'!$A$1:$EE$1,0))/1000</f>
        <v>0</v>
      </c>
      <c r="J7" s="310">
        <f>INDEX('FR Y-15 Data'!$A$1:$ED$66,MATCH($C7,'FR Y-15 Data'!$C$1:$C$66,0),MATCH(J$4,'FR Y-15 Data'!$A$1:$EE$1,0))/1000</f>
        <v>0</v>
      </c>
      <c r="K7" s="308">
        <f>INDEX('FR Y-15 Data'!$A$1:$ED$66,MATCH($C7,'FR Y-15 Data'!$C$1:$C$66,0),MATCH(K$4,'FR Y-15 Data'!$A$1:$EE$1,0))/1000</f>
        <v>47644</v>
      </c>
      <c r="L7" s="309">
        <f>INDEX('FR Y-15 Data'!$A$1:$ED$66,MATCH($C7,'FR Y-15 Data'!$C$1:$C$66,0),MATCH(L$4,'FR Y-15 Data'!$A$1:$EE$1,0))/1000</f>
        <v>3733</v>
      </c>
      <c r="M7" s="310">
        <f>INDEX('FR Y-15 Data'!$A$1:$ED$66,MATCH($C7,'FR Y-15 Data'!$C$1:$C$66,0),MATCH(M$4,'FR Y-15 Data'!$A$1:$EE$1,0))/1000</f>
        <v>0</v>
      </c>
      <c r="N7" s="308">
        <f>INDEX('FR Y-15 Data'!$A$1:$ED$66,MATCH($C7,'FR Y-15 Data'!$C$1:$C$66,0),MATCH(N$4,'FR Y-15 Data'!$A$1:$EE$1,0))/1000</f>
        <v>27728</v>
      </c>
      <c r="O7" s="310">
        <f>INDEX('FR Y-15 Data'!$A$1:$ED$66,MATCH($C7,'FR Y-15 Data'!$C$1:$C$66,0),MATCH(O$4,'FR Y-15 Data'!$A$1:$EE$1,0))/1000</f>
        <v>17541</v>
      </c>
    </row>
    <row r="8" spans="2:16">
      <c r="B8" s="231" t="str">
        <f>INDEX('FR Y-15 Data'!$A$1:$ED$66,MATCH($C8,'FR Y-15 Data'!$C$1:$C$66,0),MATCH($B$4,'FR Y-15 Data'!$A$1:$EE$1,0))</f>
        <v xml:space="preserve">BANCWEST CORPORATION                                                                                                    </v>
      </c>
      <c r="C8" s="4">
        <f>INDEX('FR Y-15 Data'!$A$1:$ED$66,ROWS($C$5:C8)+1,MATCH($C$4,'FR Y-15 Data'!$A$1:$EE$1,0))</f>
        <v>1025608</v>
      </c>
      <c r="D8" s="42">
        <f>INDEX('FR Y-15 Data'!$A$1:$ED$66,MATCH($C8,'FR Y-15 Data'!$C$1:$C$66,0),MATCH(D$4,'FR Y-15 Data'!$A$1:$EE$1,0))/1000</f>
        <v>111924.474</v>
      </c>
      <c r="E8" s="308">
        <f>INDEX('FR Y-15 Data'!$A$1:$ED$66,MATCH($C8,'FR Y-15 Data'!$C$1:$C$66,0),MATCH(E$4,'FR Y-15 Data'!$A$1:$EE$1,0))/1000</f>
        <v>1295.7629999999999</v>
      </c>
      <c r="F8" s="309">
        <f>INDEX('FR Y-15 Data'!$A$1:$ED$66,MATCH($C8,'FR Y-15 Data'!$C$1:$C$66,0),MATCH(F$4,'FR Y-15 Data'!$A$1:$EE$1,0))/1000</f>
        <v>8252.59</v>
      </c>
      <c r="G8" s="310">
        <f>INDEX('FR Y-15 Data'!$A$1:$ED$66,MATCH($C8,'FR Y-15 Data'!$C$1:$C$66,0),MATCH(G$4,'FR Y-15 Data'!$A$1:$EE$1,0))/1000</f>
        <v>12027.017</v>
      </c>
      <c r="H8" s="308">
        <f>INDEX('FR Y-15 Data'!$A$1:$ED$66,MATCH($C8,'FR Y-15 Data'!$C$1:$C$66,0),MATCH(H$4,'FR Y-15 Data'!$A$1:$EE$1,0))/1000</f>
        <v>485680.10200000001</v>
      </c>
      <c r="I8" s="309">
        <f>INDEX('FR Y-15 Data'!$A$1:$ED$66,MATCH($C8,'FR Y-15 Data'!$C$1:$C$66,0),MATCH(I$4,'FR Y-15 Data'!$A$1:$EE$1,0))/1000</f>
        <v>2798.9459999999999</v>
      </c>
      <c r="J8" s="310">
        <f>INDEX('FR Y-15 Data'!$A$1:$ED$66,MATCH($C8,'FR Y-15 Data'!$C$1:$C$66,0),MATCH(J$4,'FR Y-15 Data'!$A$1:$EE$1,0))/1000</f>
        <v>0</v>
      </c>
      <c r="K8" s="308">
        <f>INDEX('FR Y-15 Data'!$A$1:$ED$66,MATCH($C8,'FR Y-15 Data'!$C$1:$C$66,0),MATCH(K$4,'FR Y-15 Data'!$A$1:$EE$1,0))/1000</f>
        <v>18211.094000000001</v>
      </c>
      <c r="L8" s="309">
        <f>INDEX('FR Y-15 Data'!$A$1:$ED$66,MATCH($C8,'FR Y-15 Data'!$C$1:$C$66,0),MATCH(L$4,'FR Y-15 Data'!$A$1:$EE$1,0))/1000</f>
        <v>7175.2730000000001</v>
      </c>
      <c r="M8" s="310">
        <f>INDEX('FR Y-15 Data'!$A$1:$ED$66,MATCH($C8,'FR Y-15 Data'!$C$1:$C$66,0),MATCH(M$4,'FR Y-15 Data'!$A$1:$EE$1,0))/1000</f>
        <v>104.505</v>
      </c>
      <c r="N8" s="308">
        <f>INDEX('FR Y-15 Data'!$A$1:$ED$66,MATCH($C8,'FR Y-15 Data'!$C$1:$C$66,0),MATCH(N$4,'FR Y-15 Data'!$A$1:$EE$1,0))/1000</f>
        <v>726</v>
      </c>
      <c r="O8" s="310">
        <f>INDEX('FR Y-15 Data'!$A$1:$ED$66,MATCH($C8,'FR Y-15 Data'!$C$1:$C$66,0),MATCH(O$4,'FR Y-15 Data'!$A$1:$EE$1,0))/1000</f>
        <v>1548.1379999999999</v>
      </c>
    </row>
    <row r="9" spans="2:16">
      <c r="B9" s="231" t="str">
        <f>INDEX('FR Y-15 Data'!$A$1:$ED$66,MATCH($C9,'FR Y-15 Data'!$C$1:$C$66,0),MATCH($B$4,'FR Y-15 Data'!$A$1:$EE$1,0))</f>
        <v xml:space="preserve">BANK OF AMERICA CORPORATION                                                                                             </v>
      </c>
      <c r="C9" s="4">
        <f>INDEX('FR Y-15 Data'!$A$1:$ED$66,ROWS($C$5:C9)+1,MATCH($C$4,'FR Y-15 Data'!$A$1:$EE$1,0))</f>
        <v>1073757</v>
      </c>
      <c r="D9" s="42">
        <f>INDEX('FR Y-15 Data'!$A$1:$ED$66,MATCH($C9,'FR Y-15 Data'!$C$1:$C$66,0),MATCH(D$4,'FR Y-15 Data'!$A$1:$EE$1,0))/1000</f>
        <v>2810245.9589999998</v>
      </c>
      <c r="E9" s="308">
        <f>INDEX('FR Y-15 Data'!$A$1:$ED$66,MATCH($C9,'FR Y-15 Data'!$C$1:$C$66,0),MATCH(E$4,'FR Y-15 Data'!$A$1:$EE$1,0))/1000</f>
        <v>305364.43400000001</v>
      </c>
      <c r="F9" s="309">
        <f>INDEX('FR Y-15 Data'!$A$1:$ED$66,MATCH($C9,'FR Y-15 Data'!$C$1:$C$66,0),MATCH(F$4,'FR Y-15 Data'!$A$1:$EE$1,0))/1000</f>
        <v>227579.65299999999</v>
      </c>
      <c r="G9" s="310">
        <f>INDEX('FR Y-15 Data'!$A$1:$ED$66,MATCH($C9,'FR Y-15 Data'!$C$1:$C$66,0),MATCH(G$4,'FR Y-15 Data'!$A$1:$EE$1,0))/1000</f>
        <v>499710.859</v>
      </c>
      <c r="H9" s="308">
        <f>INDEX('FR Y-15 Data'!$A$1:$ED$66,MATCH($C9,'FR Y-15 Data'!$C$1:$C$66,0),MATCH(H$4,'FR Y-15 Data'!$A$1:$EE$1,0))/1000</f>
        <v>93184380.421000004</v>
      </c>
      <c r="I9" s="309">
        <f>INDEX('FR Y-15 Data'!$A$1:$ED$66,MATCH($C9,'FR Y-15 Data'!$C$1:$C$66,0),MATCH(I$4,'FR Y-15 Data'!$A$1:$EE$1,0))/1000</f>
        <v>139555</v>
      </c>
      <c r="J9" s="310">
        <f>INDEX('FR Y-15 Data'!$A$1:$ED$66,MATCH($C9,'FR Y-15 Data'!$C$1:$C$66,0),MATCH(J$4,'FR Y-15 Data'!$A$1:$EE$1,0))/1000</f>
        <v>445911.47</v>
      </c>
      <c r="K9" s="308">
        <f>INDEX('FR Y-15 Data'!$A$1:$ED$66,MATCH($C9,'FR Y-15 Data'!$C$1:$C$66,0),MATCH(K$4,'FR Y-15 Data'!$A$1:$EE$1,0))/1000</f>
        <v>52034159.509999998</v>
      </c>
      <c r="L9" s="309">
        <f>INDEX('FR Y-15 Data'!$A$1:$ED$66,MATCH($C9,'FR Y-15 Data'!$C$1:$C$66,0),MATCH(L$4,'FR Y-15 Data'!$A$1:$EE$1,0))/1000</f>
        <v>229594.57</v>
      </c>
      <c r="M9" s="310">
        <f>INDEX('FR Y-15 Data'!$A$1:$ED$66,MATCH($C9,'FR Y-15 Data'!$C$1:$C$66,0),MATCH(M$4,'FR Y-15 Data'!$A$1:$EE$1,0))/1000</f>
        <v>22265</v>
      </c>
      <c r="N9" s="308">
        <f>INDEX('FR Y-15 Data'!$A$1:$ED$66,MATCH($C9,'FR Y-15 Data'!$C$1:$C$66,0),MATCH(N$4,'FR Y-15 Data'!$A$1:$EE$1,0))/1000</f>
        <v>350009</v>
      </c>
      <c r="O9" s="310">
        <f>INDEX('FR Y-15 Data'!$A$1:$ED$66,MATCH($C9,'FR Y-15 Data'!$C$1:$C$66,0),MATCH(O$4,'FR Y-15 Data'!$A$1:$EE$1,0))/1000</f>
        <v>278666</v>
      </c>
    </row>
    <row r="10" spans="2:16">
      <c r="B10" s="231" t="str">
        <f>INDEX('FR Y-15 Data'!$A$1:$ED$66,MATCH($C10,'FR Y-15 Data'!$C$1:$C$66,0),MATCH($B$4,'FR Y-15 Data'!$A$1:$EE$1,0))</f>
        <v xml:space="preserve">BANK OF NEW YORK MELLON CORPORATION, THE                                                                                </v>
      </c>
      <c r="C10" s="4">
        <f>INDEX('FR Y-15 Data'!$A$1:$ED$66,ROWS($C$5:C10)+1,MATCH($C$4,'FR Y-15 Data'!$A$1:$EE$1,0))</f>
        <v>3587146</v>
      </c>
      <c r="D10" s="42">
        <f>INDEX('FR Y-15 Data'!$A$1:$ED$66,MATCH($C10,'FR Y-15 Data'!$C$1:$C$66,0),MATCH(D$4,'FR Y-15 Data'!$A$1:$EE$1,0))/1000</f>
        <v>418631.8</v>
      </c>
      <c r="E10" s="308">
        <f>INDEX('FR Y-15 Data'!$A$1:$ED$66,MATCH($C10,'FR Y-15 Data'!$C$1:$C$66,0),MATCH(E$4,'FR Y-15 Data'!$A$1:$EE$1,0))/1000</f>
        <v>59446</v>
      </c>
      <c r="F10" s="309">
        <f>INDEX('FR Y-15 Data'!$A$1:$ED$66,MATCH($C10,'FR Y-15 Data'!$C$1:$C$66,0),MATCH(F$4,'FR Y-15 Data'!$A$1:$EE$1,0))/1000</f>
        <v>248552</v>
      </c>
      <c r="G10" s="310">
        <f>INDEX('FR Y-15 Data'!$A$1:$ED$66,MATCH($C10,'FR Y-15 Data'!$C$1:$C$66,0),MATCH(G$4,'FR Y-15 Data'!$A$1:$EE$1,0))/1000</f>
        <v>66878</v>
      </c>
      <c r="H10" s="308">
        <f>INDEX('FR Y-15 Data'!$A$1:$ED$66,MATCH($C10,'FR Y-15 Data'!$C$1:$C$66,0),MATCH(H$4,'FR Y-15 Data'!$A$1:$EE$1,0))/1000</f>
        <v>218569391</v>
      </c>
      <c r="I10" s="309">
        <f>INDEX('FR Y-15 Data'!$A$1:$ED$66,MATCH($C10,'FR Y-15 Data'!$C$1:$C$66,0),MATCH(I$4,'FR Y-15 Data'!$A$1:$EE$1,0))/1000</f>
        <v>24632807</v>
      </c>
      <c r="J10" s="310">
        <f>INDEX('FR Y-15 Data'!$A$1:$ED$66,MATCH($C10,'FR Y-15 Data'!$C$1:$C$66,0),MATCH(J$4,'FR Y-15 Data'!$A$1:$EE$1,0))/1000</f>
        <v>4904</v>
      </c>
      <c r="K10" s="308">
        <f>INDEX('FR Y-15 Data'!$A$1:$ED$66,MATCH($C10,'FR Y-15 Data'!$C$1:$C$66,0),MATCH(K$4,'FR Y-15 Data'!$A$1:$EE$1,0))/1000</f>
        <v>1186938</v>
      </c>
      <c r="L10" s="309">
        <f>INDEX('FR Y-15 Data'!$A$1:$ED$66,MATCH($C10,'FR Y-15 Data'!$C$1:$C$66,0),MATCH(L$4,'FR Y-15 Data'!$A$1:$EE$1,0))/1000</f>
        <v>25031</v>
      </c>
      <c r="M10" s="310">
        <f>INDEX('FR Y-15 Data'!$A$1:$ED$66,MATCH($C10,'FR Y-15 Data'!$C$1:$C$66,0),MATCH(M$4,'FR Y-15 Data'!$A$1:$EE$1,0))/1000</f>
        <v>90</v>
      </c>
      <c r="N10" s="308">
        <f>INDEX('FR Y-15 Data'!$A$1:$ED$66,MATCH($C10,'FR Y-15 Data'!$C$1:$C$66,0),MATCH(N$4,'FR Y-15 Data'!$A$1:$EE$1,0))/1000</f>
        <v>94164</v>
      </c>
      <c r="O10" s="310">
        <f>INDEX('FR Y-15 Data'!$A$1:$ED$66,MATCH($C10,'FR Y-15 Data'!$C$1:$C$66,0),MATCH(O$4,'FR Y-15 Data'!$A$1:$EE$1,0))/1000</f>
        <v>173677</v>
      </c>
    </row>
    <row r="11" spans="2:16">
      <c r="B11" s="231" t="str">
        <f>INDEX('FR Y-15 Data'!$A$1:$ED$66,MATCH($C11,'FR Y-15 Data'!$C$1:$C$66,0),MATCH($B$4,'FR Y-15 Data'!$A$1:$EE$1,0))</f>
        <v xml:space="preserve">BB&amp;T CORPORATION                                                                                                        </v>
      </c>
      <c r="C11" s="4">
        <f>INDEX('FR Y-15 Data'!$A$1:$ED$66,ROWS($C$5:C11)+1,MATCH($C$4,'FR Y-15 Data'!$A$1:$EE$1,0))</f>
        <v>1074156</v>
      </c>
      <c r="D11" s="42">
        <f>INDEX('FR Y-15 Data'!$A$1:$ED$66,MATCH($C11,'FR Y-15 Data'!$C$1:$C$66,0),MATCH(D$4,'FR Y-15 Data'!$A$1:$EE$1,0))/1000</f>
        <v>217773.05</v>
      </c>
      <c r="E11" s="308">
        <f>INDEX('FR Y-15 Data'!$A$1:$ED$66,MATCH($C11,'FR Y-15 Data'!$C$1:$C$66,0),MATCH(E$4,'FR Y-15 Data'!$A$1:$EE$1,0))/1000</f>
        <v>1688.0530000000001</v>
      </c>
      <c r="F11" s="309">
        <f>INDEX('FR Y-15 Data'!$A$1:$ED$66,MATCH($C11,'FR Y-15 Data'!$C$1:$C$66,0),MATCH(F$4,'FR Y-15 Data'!$A$1:$EE$1,0))/1000</f>
        <v>4558.3810000000003</v>
      </c>
      <c r="G11" s="310">
        <f>INDEX('FR Y-15 Data'!$A$1:$ED$66,MATCH($C11,'FR Y-15 Data'!$C$1:$C$66,0),MATCH(G$4,'FR Y-15 Data'!$A$1:$EE$1,0))/1000</f>
        <v>68023.414000000004</v>
      </c>
      <c r="H11" s="308">
        <f>INDEX('FR Y-15 Data'!$A$1:$ED$66,MATCH($C11,'FR Y-15 Data'!$C$1:$C$66,0),MATCH(H$4,'FR Y-15 Data'!$A$1:$EE$1,0))/1000</f>
        <v>811414.35400000005</v>
      </c>
      <c r="I11" s="309">
        <f>INDEX('FR Y-15 Data'!$A$1:$ED$66,MATCH($C11,'FR Y-15 Data'!$C$1:$C$66,0),MATCH(I$4,'FR Y-15 Data'!$A$1:$EE$1,0))/1000</f>
        <v>38953.095999999998</v>
      </c>
      <c r="J11" s="310">
        <f>INDEX('FR Y-15 Data'!$A$1:$ED$66,MATCH($C11,'FR Y-15 Data'!$C$1:$C$66,0),MATCH(J$4,'FR Y-15 Data'!$A$1:$EE$1,0))/1000</f>
        <v>5591.56</v>
      </c>
      <c r="K11" s="308">
        <f>INDEX('FR Y-15 Data'!$A$1:$ED$66,MATCH($C11,'FR Y-15 Data'!$C$1:$C$66,0),MATCH(K$4,'FR Y-15 Data'!$A$1:$EE$1,0))/1000</f>
        <v>71581.834000000003</v>
      </c>
      <c r="L11" s="309">
        <f>INDEX('FR Y-15 Data'!$A$1:$ED$66,MATCH($C11,'FR Y-15 Data'!$C$1:$C$66,0),MATCH(L$4,'FR Y-15 Data'!$A$1:$EE$1,0))/1000</f>
        <v>4558.1450000000004</v>
      </c>
      <c r="M11" s="310">
        <f>INDEX('FR Y-15 Data'!$A$1:$ED$66,MATCH($C11,'FR Y-15 Data'!$C$1:$C$66,0),MATCH(M$4,'FR Y-15 Data'!$A$1:$EE$1,0))/1000</f>
        <v>1939.0830000000001</v>
      </c>
      <c r="N11" s="308">
        <f>INDEX('FR Y-15 Data'!$A$1:$ED$66,MATCH($C11,'FR Y-15 Data'!$C$1:$C$66,0),MATCH(N$4,'FR Y-15 Data'!$A$1:$EE$1,0))/1000</f>
        <v>851</v>
      </c>
      <c r="O11" s="310">
        <f>INDEX('FR Y-15 Data'!$A$1:$ED$66,MATCH($C11,'FR Y-15 Data'!$C$1:$C$66,0),MATCH(O$4,'FR Y-15 Data'!$A$1:$EE$1,0))/1000</f>
        <v>1059</v>
      </c>
    </row>
    <row r="12" spans="2:16">
      <c r="B12" s="231" t="str">
        <f>INDEX('FR Y-15 Data'!$A$1:$ED$66,MATCH($C12,'FR Y-15 Data'!$C$1:$C$66,0),MATCH($B$4,'FR Y-15 Data'!$A$1:$EE$1,0))</f>
        <v xml:space="preserve">BBVA COMPASS BANCSHARES, INC.                                                                                           </v>
      </c>
      <c r="C12" s="4">
        <f>INDEX('FR Y-15 Data'!$A$1:$ED$66,ROWS($C$5:C12)+1,MATCH($C$4,'FR Y-15 Data'!$A$1:$EE$1,0))</f>
        <v>1078529</v>
      </c>
      <c r="D12" s="42">
        <f>INDEX('FR Y-15 Data'!$A$1:$ED$66,MATCH($C12,'FR Y-15 Data'!$C$1:$C$66,0),MATCH(D$4,'FR Y-15 Data'!$A$1:$EE$1,0))/1000</f>
        <v>107580.046</v>
      </c>
      <c r="E12" s="308">
        <f>INDEX('FR Y-15 Data'!$A$1:$ED$66,MATCH($C12,'FR Y-15 Data'!$C$1:$C$66,0),MATCH(E$4,'FR Y-15 Data'!$A$1:$EE$1,0))/1000</f>
        <v>3897.0120000000002</v>
      </c>
      <c r="F12" s="309">
        <f>INDEX('FR Y-15 Data'!$A$1:$ED$66,MATCH($C12,'FR Y-15 Data'!$C$1:$C$66,0),MATCH(F$4,'FR Y-15 Data'!$A$1:$EE$1,0))/1000</f>
        <v>2656.66</v>
      </c>
      <c r="G12" s="310">
        <f>INDEX('FR Y-15 Data'!$A$1:$ED$66,MATCH($C12,'FR Y-15 Data'!$C$1:$C$66,0),MATCH(G$4,'FR Y-15 Data'!$A$1:$EE$1,0))/1000</f>
        <v>14487.727999999999</v>
      </c>
      <c r="H12" s="308">
        <f>INDEX('FR Y-15 Data'!$A$1:$ED$66,MATCH($C12,'FR Y-15 Data'!$C$1:$C$66,0),MATCH(H$4,'FR Y-15 Data'!$A$1:$EE$1,0))/1000</f>
        <v>245028.01199999999</v>
      </c>
      <c r="I12" s="309">
        <f>INDEX('FR Y-15 Data'!$A$1:$ED$66,MATCH($C12,'FR Y-15 Data'!$C$1:$C$66,0),MATCH(I$4,'FR Y-15 Data'!$A$1:$EE$1,0))/1000</f>
        <v>2616.6170000000002</v>
      </c>
      <c r="J12" s="310">
        <f>INDEX('FR Y-15 Data'!$A$1:$ED$66,MATCH($C12,'FR Y-15 Data'!$C$1:$C$66,0),MATCH(J$4,'FR Y-15 Data'!$A$1:$EE$1,0))/1000</f>
        <v>206041.103</v>
      </c>
      <c r="K12" s="308">
        <f>INDEX('FR Y-15 Data'!$A$1:$ED$66,MATCH($C12,'FR Y-15 Data'!$C$1:$C$66,0),MATCH(K$4,'FR Y-15 Data'!$A$1:$EE$1,0))/1000</f>
        <v>25000.098000000002</v>
      </c>
      <c r="L12" s="309">
        <f>INDEX('FR Y-15 Data'!$A$1:$ED$66,MATCH($C12,'FR Y-15 Data'!$C$1:$C$66,0),MATCH(L$4,'FR Y-15 Data'!$A$1:$EE$1,0))/1000</f>
        <v>802.34900000000005</v>
      </c>
      <c r="M12" s="310">
        <f>INDEX('FR Y-15 Data'!$A$1:$ED$66,MATCH($C12,'FR Y-15 Data'!$C$1:$C$66,0),MATCH(M$4,'FR Y-15 Data'!$A$1:$EE$1,0))/1000</f>
        <v>39.401000000000003</v>
      </c>
      <c r="N12" s="308">
        <f>INDEX('FR Y-15 Data'!$A$1:$ED$66,MATCH($C12,'FR Y-15 Data'!$C$1:$C$66,0),MATCH(N$4,'FR Y-15 Data'!$A$1:$EE$1,0))/1000</f>
        <v>1509</v>
      </c>
      <c r="O12" s="310">
        <f>INDEX('FR Y-15 Data'!$A$1:$ED$66,MATCH($C12,'FR Y-15 Data'!$C$1:$C$66,0),MATCH(O$4,'FR Y-15 Data'!$A$1:$EE$1,0))/1000</f>
        <v>1929</v>
      </c>
    </row>
    <row r="13" spans="2:16">
      <c r="B13" s="231" t="str">
        <f>INDEX('FR Y-15 Data'!$A$1:$ED$66,MATCH($C13,'FR Y-15 Data'!$C$1:$C$66,0),MATCH($B$4,'FR Y-15 Data'!$A$1:$EE$1,0))</f>
        <v xml:space="preserve">BMO FINANCIAL CORP.                                                                                                     </v>
      </c>
      <c r="C13" s="4">
        <f>INDEX('FR Y-15 Data'!$A$1:$ED$66,ROWS($C$5:C13)+1,MATCH($C$4,'FR Y-15 Data'!$A$1:$EE$1,0))</f>
        <v>1245415</v>
      </c>
      <c r="D13" s="42">
        <f>INDEX('FR Y-15 Data'!$A$1:$ED$66,MATCH($C13,'FR Y-15 Data'!$C$1:$C$66,0),MATCH(D$4,'FR Y-15 Data'!$A$1:$EE$1,0))/1000</f>
        <v>155869.27799999999</v>
      </c>
      <c r="E13" s="308">
        <f>INDEX('FR Y-15 Data'!$A$1:$ED$66,MATCH($C13,'FR Y-15 Data'!$C$1:$C$66,0),MATCH(E$4,'FR Y-15 Data'!$A$1:$EE$1,0))/1000</f>
        <v>16264.165999999999</v>
      </c>
      <c r="F13" s="309">
        <f>INDEX('FR Y-15 Data'!$A$1:$ED$66,MATCH($C13,'FR Y-15 Data'!$C$1:$C$66,0),MATCH(F$4,'FR Y-15 Data'!$A$1:$EE$1,0))/1000</f>
        <v>881.24099999999999</v>
      </c>
      <c r="G13" s="310">
        <f>INDEX('FR Y-15 Data'!$A$1:$ED$66,MATCH($C13,'FR Y-15 Data'!$C$1:$C$66,0),MATCH(G$4,'FR Y-15 Data'!$A$1:$EE$1,0))/1000</f>
        <v>20465.563999999998</v>
      </c>
      <c r="H13" s="308">
        <f>INDEX('FR Y-15 Data'!$A$1:$ED$66,MATCH($C13,'FR Y-15 Data'!$C$1:$C$66,0),MATCH(H$4,'FR Y-15 Data'!$A$1:$EE$1,0))/1000</f>
        <v>6179034.4989999998</v>
      </c>
      <c r="I13" s="309">
        <f>INDEX('FR Y-15 Data'!$A$1:$ED$66,MATCH($C13,'FR Y-15 Data'!$C$1:$C$66,0),MATCH(I$4,'FR Y-15 Data'!$A$1:$EE$1,0))/1000</f>
        <v>135147.14499999999</v>
      </c>
      <c r="J13" s="310">
        <f>INDEX('FR Y-15 Data'!$A$1:$ED$66,MATCH($C13,'FR Y-15 Data'!$C$1:$C$66,0),MATCH(J$4,'FR Y-15 Data'!$A$1:$EE$1,0))/1000</f>
        <v>8401.4519999999993</v>
      </c>
      <c r="K13" s="308">
        <f>INDEX('FR Y-15 Data'!$A$1:$ED$66,MATCH($C13,'FR Y-15 Data'!$C$1:$C$66,0),MATCH(K$4,'FR Y-15 Data'!$A$1:$EE$1,0))/1000</f>
        <v>27762.685000000001</v>
      </c>
      <c r="L13" s="309">
        <f>INDEX('FR Y-15 Data'!$A$1:$ED$66,MATCH($C13,'FR Y-15 Data'!$C$1:$C$66,0),MATCH(L$4,'FR Y-15 Data'!$A$1:$EE$1,0))/1000</f>
        <v>5567.1120000000001</v>
      </c>
      <c r="M13" s="310">
        <f>INDEX('FR Y-15 Data'!$A$1:$ED$66,MATCH($C13,'FR Y-15 Data'!$C$1:$C$66,0),MATCH(M$4,'FR Y-15 Data'!$A$1:$EE$1,0))/1000</f>
        <v>78.019000000000005</v>
      </c>
      <c r="N13" s="308">
        <f>INDEX('FR Y-15 Data'!$A$1:$ED$66,MATCH($C13,'FR Y-15 Data'!$C$1:$C$66,0),MATCH(N$4,'FR Y-15 Data'!$A$1:$EE$1,0))/1000</f>
        <v>7177</v>
      </c>
      <c r="O13" s="310">
        <f>INDEX('FR Y-15 Data'!$A$1:$ED$66,MATCH($C13,'FR Y-15 Data'!$C$1:$C$66,0),MATCH(O$4,'FR Y-15 Data'!$A$1:$EE$1,0))/1000</f>
        <v>7177</v>
      </c>
    </row>
    <row r="14" spans="2:16">
      <c r="B14" s="231" t="str">
        <f>INDEX('FR Y-15 Data'!$A$1:$ED$66,MATCH($C14,'FR Y-15 Data'!$C$1:$C$66,0),MATCH($B$4,'FR Y-15 Data'!$A$1:$EE$1,0))</f>
        <v xml:space="preserve">CAPITAL ONE FINANCIAL CORPORATION                                                                                       </v>
      </c>
      <c r="C14" s="4">
        <f>INDEX('FR Y-15 Data'!$A$1:$ED$66,ROWS($C$5:C14)+1,MATCH($C$4,'FR Y-15 Data'!$A$1:$EE$1,0))</f>
        <v>2277860</v>
      </c>
      <c r="D14" s="42">
        <f>INDEX('FR Y-15 Data'!$A$1:$ED$66,MATCH($C14,'FR Y-15 Data'!$C$1:$C$66,0),MATCH(D$4,'FR Y-15 Data'!$A$1:$EE$1,0))/1000</f>
        <v>353601.304</v>
      </c>
      <c r="E14" s="308">
        <f>INDEX('FR Y-15 Data'!$A$1:$ED$66,MATCH($C14,'FR Y-15 Data'!$C$1:$C$66,0),MATCH(E$4,'FR Y-15 Data'!$A$1:$EE$1,0))/1000</f>
        <v>17493.034</v>
      </c>
      <c r="F14" s="309">
        <f>INDEX('FR Y-15 Data'!$A$1:$ED$66,MATCH($C14,'FR Y-15 Data'!$C$1:$C$66,0),MATCH(F$4,'FR Y-15 Data'!$A$1:$EE$1,0))/1000</f>
        <v>1682.001</v>
      </c>
      <c r="G14" s="310">
        <f>INDEX('FR Y-15 Data'!$A$1:$ED$66,MATCH($C14,'FR Y-15 Data'!$C$1:$C$66,0),MATCH(G$4,'FR Y-15 Data'!$A$1:$EE$1,0))/1000</f>
        <v>104286.648</v>
      </c>
      <c r="H14" s="308">
        <f>INDEX('FR Y-15 Data'!$A$1:$ED$66,MATCH($C14,'FR Y-15 Data'!$C$1:$C$66,0),MATCH(H$4,'FR Y-15 Data'!$A$1:$EE$1,0))/1000</f>
        <v>772586.03799999994</v>
      </c>
      <c r="I14" s="309">
        <f>INDEX('FR Y-15 Data'!$A$1:$ED$66,MATCH($C14,'FR Y-15 Data'!$C$1:$C$66,0),MATCH(I$4,'FR Y-15 Data'!$A$1:$EE$1,0))/1000</f>
        <v>4396.4110000000001</v>
      </c>
      <c r="J14" s="310">
        <f>INDEX('FR Y-15 Data'!$A$1:$ED$66,MATCH($C14,'FR Y-15 Data'!$C$1:$C$66,0),MATCH(J$4,'FR Y-15 Data'!$A$1:$EE$1,0))/1000</f>
        <v>2414.2080000000001</v>
      </c>
      <c r="K14" s="308">
        <f>INDEX('FR Y-15 Data'!$A$1:$ED$66,MATCH($C14,'FR Y-15 Data'!$C$1:$C$66,0),MATCH(K$4,'FR Y-15 Data'!$A$1:$EE$1,0))/1000</f>
        <v>88638.547000000006</v>
      </c>
      <c r="L14" s="309">
        <f>INDEX('FR Y-15 Data'!$A$1:$ED$66,MATCH($C14,'FR Y-15 Data'!$C$1:$C$66,0),MATCH(L$4,'FR Y-15 Data'!$A$1:$EE$1,0))/1000</f>
        <v>10913.084999999999</v>
      </c>
      <c r="M14" s="310">
        <f>INDEX('FR Y-15 Data'!$A$1:$ED$66,MATCH($C14,'FR Y-15 Data'!$C$1:$C$66,0),MATCH(M$4,'FR Y-15 Data'!$A$1:$EE$1,0))/1000</f>
        <v>1545.268</v>
      </c>
      <c r="N14" s="308">
        <f>INDEX('FR Y-15 Data'!$A$1:$ED$66,MATCH($C14,'FR Y-15 Data'!$C$1:$C$66,0),MATCH(N$4,'FR Y-15 Data'!$A$1:$EE$1,0))/1000</f>
        <v>8878</v>
      </c>
      <c r="O14" s="310">
        <f>INDEX('FR Y-15 Data'!$A$1:$ED$66,MATCH($C14,'FR Y-15 Data'!$C$1:$C$66,0),MATCH(O$4,'FR Y-15 Data'!$A$1:$EE$1,0))/1000</f>
        <v>469.49799999999999</v>
      </c>
    </row>
    <row r="15" spans="2:16">
      <c r="B15" s="231" t="str">
        <f>INDEX('FR Y-15 Data'!$A$1:$ED$66,MATCH($C15,'FR Y-15 Data'!$C$1:$C$66,0),MATCH($B$4,'FR Y-15 Data'!$A$1:$EE$1,0))</f>
        <v xml:space="preserve">CITIGROUP INC.                                                                                                          </v>
      </c>
      <c r="C15" s="4">
        <f>INDEX('FR Y-15 Data'!$A$1:$ED$66,ROWS($C$5:C15)+1,MATCH($C$4,'FR Y-15 Data'!$A$1:$EE$1,0))</f>
        <v>1951350</v>
      </c>
      <c r="D15" s="42">
        <f>INDEX('FR Y-15 Data'!$A$1:$ED$66,MATCH($C15,'FR Y-15 Data'!$C$1:$C$66,0),MATCH(D$4,'FR Y-15 Data'!$A$1:$EE$1,0))/1000</f>
        <v>2765877.5</v>
      </c>
      <c r="E15" s="308">
        <f>INDEX('FR Y-15 Data'!$A$1:$ED$66,MATCH($C15,'FR Y-15 Data'!$C$1:$C$66,0),MATCH(E$4,'FR Y-15 Data'!$A$1:$EE$1,0))/1000</f>
        <v>317240</v>
      </c>
      <c r="F15" s="309">
        <f>INDEX('FR Y-15 Data'!$A$1:$ED$66,MATCH($C15,'FR Y-15 Data'!$C$1:$C$66,0),MATCH(F$4,'FR Y-15 Data'!$A$1:$EE$1,0))/1000</f>
        <v>458603</v>
      </c>
      <c r="G15" s="310">
        <f>INDEX('FR Y-15 Data'!$A$1:$ED$66,MATCH($C15,'FR Y-15 Data'!$C$1:$C$66,0),MATCH(G$4,'FR Y-15 Data'!$A$1:$EE$1,0))/1000</f>
        <v>505808</v>
      </c>
      <c r="H15" s="308">
        <f>INDEX('FR Y-15 Data'!$A$1:$ED$66,MATCH($C15,'FR Y-15 Data'!$C$1:$C$66,0),MATCH(H$4,'FR Y-15 Data'!$A$1:$EE$1,0))/1000</f>
        <v>274865406</v>
      </c>
      <c r="I15" s="309">
        <f>INDEX('FR Y-15 Data'!$A$1:$ED$66,MATCH($C15,'FR Y-15 Data'!$C$1:$C$66,0),MATCH(I$4,'FR Y-15 Data'!$A$1:$EE$1,0))/1000</f>
        <v>12520569</v>
      </c>
      <c r="J15" s="310">
        <f>INDEX('FR Y-15 Data'!$A$1:$ED$66,MATCH($C15,'FR Y-15 Data'!$C$1:$C$66,0),MATCH(J$4,'FR Y-15 Data'!$A$1:$EE$1,0))/1000</f>
        <v>370772</v>
      </c>
      <c r="K15" s="308">
        <f>INDEX('FR Y-15 Data'!$A$1:$ED$66,MATCH($C15,'FR Y-15 Data'!$C$1:$C$66,0),MATCH(K$4,'FR Y-15 Data'!$A$1:$EE$1,0))/1000</f>
        <v>54952090</v>
      </c>
      <c r="L15" s="309">
        <f>INDEX('FR Y-15 Data'!$A$1:$ED$66,MATCH($C15,'FR Y-15 Data'!$C$1:$C$66,0),MATCH(L$4,'FR Y-15 Data'!$A$1:$EE$1,0))/1000</f>
        <v>168630</v>
      </c>
      <c r="M15" s="310">
        <f>INDEX('FR Y-15 Data'!$A$1:$ED$66,MATCH($C15,'FR Y-15 Data'!$C$1:$C$66,0),MATCH(M$4,'FR Y-15 Data'!$A$1:$EE$1,0))/1000</f>
        <v>43018</v>
      </c>
      <c r="N15" s="308">
        <f>INDEX('FR Y-15 Data'!$A$1:$ED$66,MATCH($C15,'FR Y-15 Data'!$C$1:$C$66,0),MATCH(N$4,'FR Y-15 Data'!$A$1:$EE$1,0))/1000</f>
        <v>832923</v>
      </c>
      <c r="O15" s="310">
        <f>INDEX('FR Y-15 Data'!$A$1:$ED$66,MATCH($C15,'FR Y-15 Data'!$C$1:$C$66,0),MATCH(O$4,'FR Y-15 Data'!$A$1:$EE$1,0))/1000</f>
        <v>756438</v>
      </c>
    </row>
    <row r="16" spans="2:16">
      <c r="B16" s="231" t="str">
        <f>INDEX('FR Y-15 Data'!$A$1:$ED$66,MATCH($C16,'FR Y-15 Data'!$C$1:$C$66,0),MATCH($B$4,'FR Y-15 Data'!$A$1:$EE$1,0))</f>
        <v xml:space="preserve">CITIZENS FINANCIAL GROUP, INC.                                                                                          </v>
      </c>
      <c r="C16" s="4">
        <f>INDEX('FR Y-15 Data'!$A$1:$ED$66,ROWS($C$5:C16)+1,MATCH($C$4,'FR Y-15 Data'!$A$1:$EE$1,0))</f>
        <v>1132449</v>
      </c>
      <c r="D16" s="42">
        <f>INDEX('FR Y-15 Data'!$A$1:$ED$66,MATCH($C16,'FR Y-15 Data'!$C$1:$C$66,0),MATCH(D$4,'FR Y-15 Data'!$A$1:$EE$1,0))/1000</f>
        <v>157363.598</v>
      </c>
      <c r="E16" s="308">
        <f>INDEX('FR Y-15 Data'!$A$1:$ED$66,MATCH($C16,'FR Y-15 Data'!$C$1:$C$66,0),MATCH(E$4,'FR Y-15 Data'!$A$1:$EE$1,0))/1000</f>
        <v>4738.5550000000003</v>
      </c>
      <c r="F16" s="309">
        <f>INDEX('FR Y-15 Data'!$A$1:$ED$66,MATCH($C16,'FR Y-15 Data'!$C$1:$C$66,0),MATCH(F$4,'FR Y-15 Data'!$A$1:$EE$1,0))/1000</f>
        <v>5785.5119999999997</v>
      </c>
      <c r="G16" s="310">
        <f>INDEX('FR Y-15 Data'!$A$1:$ED$66,MATCH($C16,'FR Y-15 Data'!$C$1:$C$66,0),MATCH(G$4,'FR Y-15 Data'!$A$1:$EE$1,0))/1000</f>
        <v>8052.46</v>
      </c>
      <c r="H16" s="308">
        <f>INDEX('FR Y-15 Data'!$A$1:$ED$66,MATCH($C16,'FR Y-15 Data'!$C$1:$C$66,0),MATCH(H$4,'FR Y-15 Data'!$A$1:$EE$1,0))/1000</f>
        <v>1883787.997</v>
      </c>
      <c r="I16" s="309">
        <f>INDEX('FR Y-15 Data'!$A$1:$ED$66,MATCH($C16,'FR Y-15 Data'!$C$1:$C$66,0),MATCH(I$4,'FR Y-15 Data'!$A$1:$EE$1,0))/1000</f>
        <v>3912.6950000000002</v>
      </c>
      <c r="J16" s="310">
        <f>INDEX('FR Y-15 Data'!$A$1:$ED$66,MATCH($C16,'FR Y-15 Data'!$C$1:$C$66,0),MATCH(J$4,'FR Y-15 Data'!$A$1:$EE$1,0))/1000</f>
        <v>0</v>
      </c>
      <c r="K16" s="308">
        <f>INDEX('FR Y-15 Data'!$A$1:$ED$66,MATCH($C16,'FR Y-15 Data'!$C$1:$C$66,0),MATCH(K$4,'FR Y-15 Data'!$A$1:$EE$1,0))/1000</f>
        <v>46638.853000000003</v>
      </c>
      <c r="L16" s="309">
        <f>INDEX('FR Y-15 Data'!$A$1:$ED$66,MATCH($C16,'FR Y-15 Data'!$C$1:$C$66,0),MATCH(L$4,'FR Y-15 Data'!$A$1:$EE$1,0))/1000</f>
        <v>936.702</v>
      </c>
      <c r="M16" s="310">
        <f>INDEX('FR Y-15 Data'!$A$1:$ED$66,MATCH($C16,'FR Y-15 Data'!$C$1:$C$66,0),MATCH(M$4,'FR Y-15 Data'!$A$1:$EE$1,0))/1000</f>
        <v>0.86</v>
      </c>
      <c r="N16" s="308">
        <f>INDEX('FR Y-15 Data'!$A$1:$ED$66,MATCH($C16,'FR Y-15 Data'!$C$1:$C$66,0),MATCH(N$4,'FR Y-15 Data'!$A$1:$EE$1,0))/1000</f>
        <v>1550</v>
      </c>
      <c r="O16" s="310">
        <f>INDEX('FR Y-15 Data'!$A$1:$ED$66,MATCH($C16,'FR Y-15 Data'!$C$1:$C$66,0),MATCH(O$4,'FR Y-15 Data'!$A$1:$EE$1,0))/1000</f>
        <v>947</v>
      </c>
    </row>
    <row r="17" spans="2:15">
      <c r="B17" s="231" t="str">
        <f>INDEX('FR Y-15 Data'!$A$1:$ED$66,MATCH($C17,'FR Y-15 Data'!$C$1:$C$66,0),MATCH($B$4,'FR Y-15 Data'!$A$1:$EE$1,0))</f>
        <v xml:space="preserve">COMERICA INCORPORATED                                                                                                   </v>
      </c>
      <c r="C17" s="4">
        <f>INDEX('FR Y-15 Data'!$A$1:$ED$66,ROWS($C$5:C17)+1,MATCH($C$4,'FR Y-15 Data'!$A$1:$EE$1,0))</f>
        <v>1199844</v>
      </c>
      <c r="D17" s="42">
        <f>INDEX('FR Y-15 Data'!$A$1:$ED$66,MATCH($C17,'FR Y-15 Data'!$C$1:$C$66,0),MATCH(D$4,'FR Y-15 Data'!$A$1:$EE$1,0))/1000</f>
        <v>102554.103</v>
      </c>
      <c r="E17" s="308">
        <f>INDEX('FR Y-15 Data'!$A$1:$ED$66,MATCH($C17,'FR Y-15 Data'!$C$1:$C$66,0),MATCH(E$4,'FR Y-15 Data'!$A$1:$EE$1,0))/1000</f>
        <v>6057.5720000000001</v>
      </c>
      <c r="F17" s="309">
        <f>INDEX('FR Y-15 Data'!$A$1:$ED$66,MATCH($C17,'FR Y-15 Data'!$C$1:$C$66,0),MATCH(F$4,'FR Y-15 Data'!$A$1:$EE$1,0))/1000</f>
        <v>4756.9089999999997</v>
      </c>
      <c r="G17" s="310">
        <f>INDEX('FR Y-15 Data'!$A$1:$ED$66,MATCH($C17,'FR Y-15 Data'!$C$1:$C$66,0),MATCH(G$4,'FR Y-15 Data'!$A$1:$EE$1,0))/1000</f>
        <v>15463.120999999999</v>
      </c>
      <c r="H17" s="308">
        <f>INDEX('FR Y-15 Data'!$A$1:$ED$66,MATCH($C17,'FR Y-15 Data'!$C$1:$C$66,0),MATCH(H$4,'FR Y-15 Data'!$A$1:$EE$1,0))/1000</f>
        <v>250361.02</v>
      </c>
      <c r="I17" s="309">
        <f>INDEX('FR Y-15 Data'!$A$1:$ED$66,MATCH($C17,'FR Y-15 Data'!$C$1:$C$66,0),MATCH(I$4,'FR Y-15 Data'!$A$1:$EE$1,0))/1000</f>
        <v>55913.241999999998</v>
      </c>
      <c r="J17" s="310">
        <f>INDEX('FR Y-15 Data'!$A$1:$ED$66,MATCH($C17,'FR Y-15 Data'!$C$1:$C$66,0),MATCH(J$4,'FR Y-15 Data'!$A$1:$EE$1,0))/1000</f>
        <v>1556</v>
      </c>
      <c r="K17" s="308">
        <f>INDEX('FR Y-15 Data'!$A$1:$ED$66,MATCH($C17,'FR Y-15 Data'!$C$1:$C$66,0),MATCH(K$4,'FR Y-15 Data'!$A$1:$EE$1,0))/1000</f>
        <v>21561.311000000002</v>
      </c>
      <c r="L17" s="309">
        <f>INDEX('FR Y-15 Data'!$A$1:$ED$66,MATCH($C17,'FR Y-15 Data'!$C$1:$C$66,0),MATCH(L$4,'FR Y-15 Data'!$A$1:$EE$1,0))/1000</f>
        <v>1333.855</v>
      </c>
      <c r="M17" s="310">
        <f>INDEX('FR Y-15 Data'!$A$1:$ED$66,MATCH($C17,'FR Y-15 Data'!$C$1:$C$66,0),MATCH(M$4,'FR Y-15 Data'!$A$1:$EE$1,0))/1000</f>
        <v>138.553</v>
      </c>
      <c r="N17" s="308">
        <f>INDEX('FR Y-15 Data'!$A$1:$ED$66,MATCH($C17,'FR Y-15 Data'!$C$1:$C$66,0),MATCH(N$4,'FR Y-15 Data'!$A$1:$EE$1,0))/1000</f>
        <v>2051</v>
      </c>
      <c r="O17" s="310">
        <f>INDEX('FR Y-15 Data'!$A$1:$ED$66,MATCH($C17,'FR Y-15 Data'!$C$1:$C$66,0),MATCH(O$4,'FR Y-15 Data'!$A$1:$EE$1,0))/1000</f>
        <v>1662</v>
      </c>
    </row>
    <row r="18" spans="2:15">
      <c r="B18" s="231" t="str">
        <f>INDEX('FR Y-15 Data'!$A$1:$ED$66,MATCH($C18,'FR Y-15 Data'!$C$1:$C$66,0),MATCH($B$4,'FR Y-15 Data'!$A$1:$EE$1,0))</f>
        <v xml:space="preserve">DEUTSCHE BANK TRUST CORPORATION                                                                                         </v>
      </c>
      <c r="C18" s="4">
        <f>INDEX('FR Y-15 Data'!$A$1:$ED$66,ROWS($C$5:C18)+1,MATCH($C$4,'FR Y-15 Data'!$A$1:$EE$1,0))</f>
        <v>1032473</v>
      </c>
      <c r="D18" s="42">
        <f>INDEX('FR Y-15 Data'!$A$1:$ED$66,MATCH($C18,'FR Y-15 Data'!$C$1:$C$66,0),MATCH(D$4,'FR Y-15 Data'!$A$1:$EE$1,0))/1000</f>
        <v>52700.800000000003</v>
      </c>
      <c r="E18" s="308">
        <f>INDEX('FR Y-15 Data'!$A$1:$ED$66,MATCH($C18,'FR Y-15 Data'!$C$1:$C$66,0),MATCH(E$4,'FR Y-15 Data'!$A$1:$EE$1,0))/1000</f>
        <v>24422.799999999999</v>
      </c>
      <c r="F18" s="309">
        <f>INDEX('FR Y-15 Data'!$A$1:$ED$66,MATCH($C18,'FR Y-15 Data'!$C$1:$C$66,0),MATCH(F$4,'FR Y-15 Data'!$A$1:$EE$1,0))/1000</f>
        <v>26104</v>
      </c>
      <c r="G18" s="310">
        <f>INDEX('FR Y-15 Data'!$A$1:$ED$66,MATCH($C18,'FR Y-15 Data'!$C$1:$C$66,0),MATCH(G$4,'FR Y-15 Data'!$A$1:$EE$1,0))/1000</f>
        <v>158.5</v>
      </c>
      <c r="H18" s="308">
        <f>INDEX('FR Y-15 Data'!$A$1:$ED$66,MATCH($C18,'FR Y-15 Data'!$C$1:$C$66,0),MATCH(H$4,'FR Y-15 Data'!$A$1:$EE$1,0))/1000</f>
        <v>76992937</v>
      </c>
      <c r="I18" s="309">
        <f>INDEX('FR Y-15 Data'!$A$1:$ED$66,MATCH($C18,'FR Y-15 Data'!$C$1:$C$66,0),MATCH(I$4,'FR Y-15 Data'!$A$1:$EE$1,0))/1000</f>
        <v>0</v>
      </c>
      <c r="J18" s="310">
        <f>INDEX('FR Y-15 Data'!$A$1:$ED$66,MATCH($C18,'FR Y-15 Data'!$C$1:$C$66,0),MATCH(J$4,'FR Y-15 Data'!$A$1:$EE$1,0))/1000</f>
        <v>0</v>
      </c>
      <c r="K18" s="308">
        <f>INDEX('FR Y-15 Data'!$A$1:$ED$66,MATCH($C18,'FR Y-15 Data'!$C$1:$C$66,0),MATCH(K$4,'FR Y-15 Data'!$A$1:$EE$1,0))/1000</f>
        <v>9046</v>
      </c>
      <c r="L18" s="309">
        <f>INDEX('FR Y-15 Data'!$A$1:$ED$66,MATCH($C18,'FR Y-15 Data'!$C$1:$C$66,0),MATCH(L$4,'FR Y-15 Data'!$A$1:$EE$1,0))/1000</f>
        <v>0.9</v>
      </c>
      <c r="M18" s="310">
        <f>INDEX('FR Y-15 Data'!$A$1:$ED$66,MATCH($C18,'FR Y-15 Data'!$C$1:$C$66,0),MATCH(M$4,'FR Y-15 Data'!$A$1:$EE$1,0))/1000</f>
        <v>83</v>
      </c>
      <c r="N18" s="308">
        <f>INDEX('FR Y-15 Data'!$A$1:$ED$66,MATCH($C18,'FR Y-15 Data'!$C$1:$C$66,0),MATCH(N$4,'FR Y-15 Data'!$A$1:$EE$1,0))/1000</f>
        <v>1074</v>
      </c>
      <c r="O18" s="310">
        <f>INDEX('FR Y-15 Data'!$A$1:$ED$66,MATCH($C18,'FR Y-15 Data'!$C$1:$C$66,0),MATCH(O$4,'FR Y-15 Data'!$A$1:$EE$1,0))/1000</f>
        <v>1</v>
      </c>
    </row>
    <row r="19" spans="2:15">
      <c r="B19" s="231" t="str">
        <f>INDEX('FR Y-15 Data'!$A$1:$ED$66,MATCH($C19,'FR Y-15 Data'!$C$1:$C$66,0),MATCH($B$4,'FR Y-15 Data'!$A$1:$EE$1,0))</f>
        <v xml:space="preserve">DISCOVER FINANCIAL SERVICES                                                                                             </v>
      </c>
      <c r="C19" s="4">
        <f>INDEX('FR Y-15 Data'!$A$1:$ED$66,ROWS($C$5:C19)+1,MATCH($C$4,'FR Y-15 Data'!$A$1:$EE$1,0))</f>
        <v>3846375</v>
      </c>
      <c r="D19" s="42">
        <f>INDEX('FR Y-15 Data'!$A$1:$ED$66,MATCH($C19,'FR Y-15 Data'!$C$1:$C$66,0),MATCH(D$4,'FR Y-15 Data'!$A$1:$EE$1,0))/1000</f>
        <v>100186.019</v>
      </c>
      <c r="E19" s="308">
        <f>INDEX('FR Y-15 Data'!$A$1:$ED$66,MATCH($C19,'FR Y-15 Data'!$C$1:$C$66,0),MATCH(E$4,'FR Y-15 Data'!$A$1:$EE$1,0))/1000</f>
        <v>7507.7309999999998</v>
      </c>
      <c r="F19" s="309">
        <f>INDEX('FR Y-15 Data'!$A$1:$ED$66,MATCH($C19,'FR Y-15 Data'!$C$1:$C$66,0),MATCH(F$4,'FR Y-15 Data'!$A$1:$EE$1,0))/1000</f>
        <v>233.917</v>
      </c>
      <c r="G19" s="310">
        <f>INDEX('FR Y-15 Data'!$A$1:$ED$66,MATCH($C19,'FR Y-15 Data'!$C$1:$C$66,0),MATCH(G$4,'FR Y-15 Data'!$A$1:$EE$1,0))/1000</f>
        <v>79096.437999999995</v>
      </c>
      <c r="H19" s="308">
        <f>INDEX('FR Y-15 Data'!$A$1:$ED$66,MATCH($C19,'FR Y-15 Data'!$C$1:$C$66,0),MATCH(H$4,'FR Y-15 Data'!$A$1:$EE$1,0))/1000</f>
        <v>321440.96299999999</v>
      </c>
      <c r="I19" s="309">
        <f>INDEX('FR Y-15 Data'!$A$1:$ED$66,MATCH($C19,'FR Y-15 Data'!$C$1:$C$66,0),MATCH(I$4,'FR Y-15 Data'!$A$1:$EE$1,0))/1000</f>
        <v>0</v>
      </c>
      <c r="J19" s="310">
        <f>INDEX('FR Y-15 Data'!$A$1:$ED$66,MATCH($C19,'FR Y-15 Data'!$C$1:$C$66,0),MATCH(J$4,'FR Y-15 Data'!$A$1:$EE$1,0))/1000</f>
        <v>0</v>
      </c>
      <c r="K19" s="308">
        <f>INDEX('FR Y-15 Data'!$A$1:$ED$66,MATCH($C19,'FR Y-15 Data'!$C$1:$C$66,0),MATCH(K$4,'FR Y-15 Data'!$A$1:$EE$1,0))/1000</f>
        <v>11227.315000000001</v>
      </c>
      <c r="L19" s="309">
        <f>INDEX('FR Y-15 Data'!$A$1:$ED$66,MATCH($C19,'FR Y-15 Data'!$C$1:$C$66,0),MATCH(L$4,'FR Y-15 Data'!$A$1:$EE$1,0))/1000</f>
        <v>432.589</v>
      </c>
      <c r="M19" s="310">
        <f>INDEX('FR Y-15 Data'!$A$1:$ED$66,MATCH($C19,'FR Y-15 Data'!$C$1:$C$66,0),MATCH(M$4,'FR Y-15 Data'!$A$1:$EE$1,0))/1000</f>
        <v>7.4960000000000004</v>
      </c>
      <c r="N19" s="308">
        <f>INDEX('FR Y-15 Data'!$A$1:$ED$66,MATCH($C19,'FR Y-15 Data'!$C$1:$C$66,0),MATCH(N$4,'FR Y-15 Data'!$A$1:$EE$1,0))/1000</f>
        <v>129</v>
      </c>
      <c r="O19" s="310">
        <f>INDEX('FR Y-15 Data'!$A$1:$ED$66,MATCH($C19,'FR Y-15 Data'!$C$1:$C$66,0),MATCH(O$4,'FR Y-15 Data'!$A$1:$EE$1,0))/1000</f>
        <v>18</v>
      </c>
    </row>
    <row r="20" spans="2:15">
      <c r="B20" s="231" t="str">
        <f>INDEX('FR Y-15 Data'!$A$1:$ED$66,MATCH($C20,'FR Y-15 Data'!$C$1:$C$66,0),MATCH($B$4,'FR Y-15 Data'!$A$1:$EE$1,0))</f>
        <v xml:space="preserve">FIFTH THIRD BANCORP                                                                                                     </v>
      </c>
      <c r="C20" s="4">
        <f>INDEX('FR Y-15 Data'!$A$1:$ED$66,ROWS($C$5:C20)+1,MATCH($C$4,'FR Y-15 Data'!$A$1:$EE$1,0))</f>
        <v>1070345</v>
      </c>
      <c r="D20" s="42">
        <f>INDEX('FR Y-15 Data'!$A$1:$ED$66,MATCH($C20,'FR Y-15 Data'!$C$1:$C$66,0),MATCH(D$4,'FR Y-15 Data'!$A$1:$EE$1,0))/1000</f>
        <v>184945.58799999999</v>
      </c>
      <c r="E20" s="308">
        <f>INDEX('FR Y-15 Data'!$A$1:$ED$66,MATCH($C20,'FR Y-15 Data'!$C$1:$C$66,0),MATCH(E$4,'FR Y-15 Data'!$A$1:$EE$1,0))/1000</f>
        <v>3247.5880000000002</v>
      </c>
      <c r="F20" s="309">
        <f>INDEX('FR Y-15 Data'!$A$1:$ED$66,MATCH($C20,'FR Y-15 Data'!$C$1:$C$66,0),MATCH(F$4,'FR Y-15 Data'!$A$1:$EE$1,0))/1000</f>
        <v>3231.8560000000002</v>
      </c>
      <c r="G20" s="310">
        <f>INDEX('FR Y-15 Data'!$A$1:$ED$66,MATCH($C20,'FR Y-15 Data'!$C$1:$C$66,0),MATCH(G$4,'FR Y-15 Data'!$A$1:$EE$1,0))/1000</f>
        <v>38466.464</v>
      </c>
      <c r="H20" s="308">
        <f>INDEX('FR Y-15 Data'!$A$1:$ED$66,MATCH($C20,'FR Y-15 Data'!$C$1:$C$66,0),MATCH(H$4,'FR Y-15 Data'!$A$1:$EE$1,0))/1000</f>
        <v>1479898.463</v>
      </c>
      <c r="I20" s="309">
        <f>INDEX('FR Y-15 Data'!$A$1:$ED$66,MATCH($C20,'FR Y-15 Data'!$C$1:$C$66,0),MATCH(I$4,'FR Y-15 Data'!$A$1:$EE$1,0))/1000</f>
        <v>246920.64499999999</v>
      </c>
      <c r="J20" s="310">
        <f>INDEX('FR Y-15 Data'!$A$1:$ED$66,MATCH($C20,'FR Y-15 Data'!$C$1:$C$66,0),MATCH(J$4,'FR Y-15 Data'!$A$1:$EE$1,0))/1000</f>
        <v>6068.4260000000004</v>
      </c>
      <c r="K20" s="308">
        <f>INDEX('FR Y-15 Data'!$A$1:$ED$66,MATCH($C20,'FR Y-15 Data'!$C$1:$C$66,0),MATCH(K$4,'FR Y-15 Data'!$A$1:$EE$1,0))/1000</f>
        <v>62852.773000000001</v>
      </c>
      <c r="L20" s="309">
        <f>INDEX('FR Y-15 Data'!$A$1:$ED$66,MATCH($C20,'FR Y-15 Data'!$C$1:$C$66,0),MATCH(L$4,'FR Y-15 Data'!$A$1:$EE$1,0))/1000</f>
        <v>5398.9290000000001</v>
      </c>
      <c r="M20" s="310">
        <f>INDEX('FR Y-15 Data'!$A$1:$ED$66,MATCH($C20,'FR Y-15 Data'!$C$1:$C$66,0),MATCH(M$4,'FR Y-15 Data'!$A$1:$EE$1,0))/1000</f>
        <v>535.39599999999996</v>
      </c>
      <c r="N20" s="308">
        <f>INDEX('FR Y-15 Data'!$A$1:$ED$66,MATCH($C20,'FR Y-15 Data'!$C$1:$C$66,0),MATCH(N$4,'FR Y-15 Data'!$A$1:$EE$1,0))/1000</f>
        <v>4463</v>
      </c>
      <c r="O20" s="310">
        <f>INDEX('FR Y-15 Data'!$A$1:$ED$66,MATCH($C20,'FR Y-15 Data'!$C$1:$C$66,0),MATCH(O$4,'FR Y-15 Data'!$A$1:$EE$1,0))/1000</f>
        <v>593</v>
      </c>
    </row>
    <row r="21" spans="2:15">
      <c r="B21" s="231" t="str">
        <f>INDEX('FR Y-15 Data'!$A$1:$ED$66,MATCH($C21,'FR Y-15 Data'!$C$1:$C$66,0),MATCH($B$4,'FR Y-15 Data'!$A$1:$EE$1,0))</f>
        <v xml:space="preserve">GOLDMAN SACHS GROUP, INC., THE                                                                                          </v>
      </c>
      <c r="C21" s="4">
        <f>INDEX('FR Y-15 Data'!$A$1:$ED$66,ROWS($C$5:C21)+1,MATCH($C$4,'FR Y-15 Data'!$A$1:$EE$1,0))</f>
        <v>2380443</v>
      </c>
      <c r="D21" s="42">
        <f>INDEX('FR Y-15 Data'!$A$1:$ED$66,MATCH($C21,'FR Y-15 Data'!$C$1:$C$66,0),MATCH(D$4,'FR Y-15 Data'!$A$1:$EE$1,0))/1000</f>
        <v>1484013</v>
      </c>
      <c r="E21" s="308">
        <f>INDEX('FR Y-15 Data'!$A$1:$ED$66,MATCH($C21,'FR Y-15 Data'!$C$1:$C$66,0),MATCH(E$4,'FR Y-15 Data'!$A$1:$EE$1,0))/1000</f>
        <v>326951</v>
      </c>
      <c r="F21" s="309">
        <f>INDEX('FR Y-15 Data'!$A$1:$ED$66,MATCH($C21,'FR Y-15 Data'!$C$1:$C$66,0),MATCH(F$4,'FR Y-15 Data'!$A$1:$EE$1,0))/1000</f>
        <v>113405</v>
      </c>
      <c r="G21" s="310">
        <f>INDEX('FR Y-15 Data'!$A$1:$ED$66,MATCH($C21,'FR Y-15 Data'!$C$1:$C$66,0),MATCH(G$4,'FR Y-15 Data'!$A$1:$EE$1,0))/1000</f>
        <v>328277</v>
      </c>
      <c r="H21" s="308">
        <f>INDEX('FR Y-15 Data'!$A$1:$ED$66,MATCH($C21,'FR Y-15 Data'!$C$1:$C$66,0),MATCH(H$4,'FR Y-15 Data'!$A$1:$EE$1,0))/1000</f>
        <v>11306295</v>
      </c>
      <c r="I21" s="309">
        <f>INDEX('FR Y-15 Data'!$A$1:$ED$66,MATCH($C21,'FR Y-15 Data'!$C$1:$C$66,0),MATCH(I$4,'FR Y-15 Data'!$A$1:$EE$1,0))/1000</f>
        <v>1013139</v>
      </c>
      <c r="J21" s="310">
        <f>INDEX('FR Y-15 Data'!$A$1:$ED$66,MATCH($C21,'FR Y-15 Data'!$C$1:$C$66,0),MATCH(J$4,'FR Y-15 Data'!$A$1:$EE$1,0))/1000</f>
        <v>346000</v>
      </c>
      <c r="K21" s="308">
        <f>INDEX('FR Y-15 Data'!$A$1:$ED$66,MATCH($C21,'FR Y-15 Data'!$C$1:$C$66,0),MATCH(K$4,'FR Y-15 Data'!$A$1:$EE$1,0))/1000</f>
        <v>53478619</v>
      </c>
      <c r="L21" s="309">
        <f>INDEX('FR Y-15 Data'!$A$1:$ED$66,MATCH($C21,'FR Y-15 Data'!$C$1:$C$66,0),MATCH(L$4,'FR Y-15 Data'!$A$1:$EE$1,0))/1000</f>
        <v>148746</v>
      </c>
      <c r="M21" s="310">
        <f>INDEX('FR Y-15 Data'!$A$1:$ED$66,MATCH($C21,'FR Y-15 Data'!$C$1:$C$66,0),MATCH(M$4,'FR Y-15 Data'!$A$1:$EE$1,0))/1000</f>
        <v>44666</v>
      </c>
      <c r="N21" s="308">
        <f>INDEX('FR Y-15 Data'!$A$1:$ED$66,MATCH($C21,'FR Y-15 Data'!$C$1:$C$66,0),MATCH(N$4,'FR Y-15 Data'!$A$1:$EE$1,0))/1000</f>
        <v>333240</v>
      </c>
      <c r="O21" s="310">
        <f>INDEX('FR Y-15 Data'!$A$1:$ED$66,MATCH($C21,'FR Y-15 Data'!$C$1:$C$66,0),MATCH(O$4,'FR Y-15 Data'!$A$1:$EE$1,0))/1000</f>
        <v>289812</v>
      </c>
    </row>
    <row r="22" spans="2:15">
      <c r="B22" s="231" t="str">
        <f>INDEX('FR Y-15 Data'!$A$1:$ED$66,MATCH($C22,'FR Y-15 Data'!$C$1:$C$66,0),MATCH($B$4,'FR Y-15 Data'!$A$1:$EE$1,0))</f>
        <v xml:space="preserve">HSBC NORTH AMERICA HOLDINGS INC.                                                                                        </v>
      </c>
      <c r="C22" s="4">
        <f>INDEX('FR Y-15 Data'!$A$1:$ED$66,ROWS($C$5:C22)+1,MATCH($C$4,'FR Y-15 Data'!$A$1:$EE$1,0))</f>
        <v>3232316</v>
      </c>
      <c r="D22" s="42">
        <f>INDEX('FR Y-15 Data'!$A$1:$ED$66,MATCH($C22,'FR Y-15 Data'!$C$1:$C$66,0),MATCH(D$4,'FR Y-15 Data'!$A$1:$EE$1,0))/1000</f>
        <v>416909.71299999999</v>
      </c>
      <c r="E22" s="308">
        <f>INDEX('FR Y-15 Data'!$A$1:$ED$66,MATCH($C22,'FR Y-15 Data'!$C$1:$C$66,0),MATCH(E$4,'FR Y-15 Data'!$A$1:$EE$1,0))/1000</f>
        <v>36445.146999999997</v>
      </c>
      <c r="F22" s="309">
        <f>INDEX('FR Y-15 Data'!$A$1:$ED$66,MATCH($C22,'FR Y-15 Data'!$C$1:$C$66,0),MATCH(F$4,'FR Y-15 Data'!$A$1:$EE$1,0))/1000</f>
        <v>41279.038</v>
      </c>
      <c r="G22" s="310">
        <f>INDEX('FR Y-15 Data'!$A$1:$ED$66,MATCH($C22,'FR Y-15 Data'!$C$1:$C$66,0),MATCH(G$4,'FR Y-15 Data'!$A$1:$EE$1,0))/1000</f>
        <v>54211.152999999998</v>
      </c>
      <c r="H22" s="308">
        <f>INDEX('FR Y-15 Data'!$A$1:$ED$66,MATCH($C22,'FR Y-15 Data'!$C$1:$C$66,0),MATCH(H$4,'FR Y-15 Data'!$A$1:$EE$1,0))/1000</f>
        <v>3704706.9369999999</v>
      </c>
      <c r="I22" s="309">
        <f>INDEX('FR Y-15 Data'!$A$1:$ED$66,MATCH($C22,'FR Y-15 Data'!$C$1:$C$66,0),MATCH(I$4,'FR Y-15 Data'!$A$1:$EE$1,0))/1000</f>
        <v>39475.866000000002</v>
      </c>
      <c r="J22" s="310">
        <f>INDEX('FR Y-15 Data'!$A$1:$ED$66,MATCH($C22,'FR Y-15 Data'!$C$1:$C$66,0),MATCH(J$4,'FR Y-15 Data'!$A$1:$EE$1,0))/1000</f>
        <v>51887.06</v>
      </c>
      <c r="K22" s="308">
        <f>INDEX('FR Y-15 Data'!$A$1:$ED$66,MATCH($C22,'FR Y-15 Data'!$C$1:$C$66,0),MATCH(K$4,'FR Y-15 Data'!$A$1:$EE$1,0))/1000</f>
        <v>4737666.1229999997</v>
      </c>
      <c r="L22" s="309">
        <f>INDEX('FR Y-15 Data'!$A$1:$ED$66,MATCH($C22,'FR Y-15 Data'!$C$1:$C$66,0),MATCH(L$4,'FR Y-15 Data'!$A$1:$EE$1,0))/1000</f>
        <v>43561.152000000002</v>
      </c>
      <c r="M22" s="310">
        <f>INDEX('FR Y-15 Data'!$A$1:$ED$66,MATCH($C22,'FR Y-15 Data'!$C$1:$C$66,0),MATCH(M$4,'FR Y-15 Data'!$A$1:$EE$1,0))/1000</f>
        <v>4231.6059999999998</v>
      </c>
      <c r="N22" s="308">
        <f>INDEX('FR Y-15 Data'!$A$1:$ED$66,MATCH($C22,'FR Y-15 Data'!$C$1:$C$66,0),MATCH(N$4,'FR Y-15 Data'!$A$1:$EE$1,0))/1000</f>
        <v>44431</v>
      </c>
      <c r="O22" s="310">
        <f>INDEX('FR Y-15 Data'!$A$1:$ED$66,MATCH($C22,'FR Y-15 Data'!$C$1:$C$66,0),MATCH(O$4,'FR Y-15 Data'!$A$1:$EE$1,0))/1000</f>
        <v>3</v>
      </c>
    </row>
    <row r="23" spans="2:15">
      <c r="B23" s="231" t="str">
        <f>INDEX('FR Y-15 Data'!$A$1:$ED$66,MATCH($C23,'FR Y-15 Data'!$C$1:$C$66,0),MATCH($B$4,'FR Y-15 Data'!$A$1:$EE$1,0))</f>
        <v xml:space="preserve">HUNTINGTON BANCSHARES INCORPORATED                                                                                      </v>
      </c>
      <c r="C23" s="4">
        <f>INDEX('FR Y-15 Data'!$A$1:$ED$66,ROWS($C$5:C23)+1,MATCH($C$4,'FR Y-15 Data'!$A$1:$EE$1,0))</f>
        <v>1068191</v>
      </c>
      <c r="D23" s="42">
        <f>INDEX('FR Y-15 Data'!$A$1:$ED$66,MATCH($C23,'FR Y-15 Data'!$C$1:$C$66,0),MATCH(D$4,'FR Y-15 Data'!$A$1:$EE$1,0))/1000</f>
        <v>80340.612999999998</v>
      </c>
      <c r="E23" s="308">
        <f>INDEX('FR Y-15 Data'!$A$1:$ED$66,MATCH($C23,'FR Y-15 Data'!$C$1:$C$66,0),MATCH(E$4,'FR Y-15 Data'!$A$1:$EE$1,0))/1000</f>
        <v>2270.14</v>
      </c>
      <c r="F23" s="309">
        <f>INDEX('FR Y-15 Data'!$A$1:$ED$66,MATCH($C23,'FR Y-15 Data'!$C$1:$C$66,0),MATCH(F$4,'FR Y-15 Data'!$A$1:$EE$1,0))/1000</f>
        <v>1273.6780000000001</v>
      </c>
      <c r="G23" s="310">
        <f>INDEX('FR Y-15 Data'!$A$1:$ED$66,MATCH($C23,'FR Y-15 Data'!$C$1:$C$66,0),MATCH(G$4,'FR Y-15 Data'!$A$1:$EE$1,0))/1000</f>
        <v>16114.478999999999</v>
      </c>
      <c r="H23" s="308">
        <f>INDEX('FR Y-15 Data'!$A$1:$ED$66,MATCH($C23,'FR Y-15 Data'!$C$1:$C$66,0),MATCH(H$4,'FR Y-15 Data'!$A$1:$EE$1,0))/1000</f>
        <v>431901.65399999998</v>
      </c>
      <c r="I23" s="309">
        <f>INDEX('FR Y-15 Data'!$A$1:$ED$66,MATCH($C23,'FR Y-15 Data'!$C$1:$C$66,0),MATCH(I$4,'FR Y-15 Data'!$A$1:$EE$1,0))/1000</f>
        <v>79217.167000000001</v>
      </c>
      <c r="J23" s="310">
        <f>INDEX('FR Y-15 Data'!$A$1:$ED$66,MATCH($C23,'FR Y-15 Data'!$C$1:$C$66,0),MATCH(J$4,'FR Y-15 Data'!$A$1:$EE$1,0))/1000</f>
        <v>1142.4849999999999</v>
      </c>
      <c r="K23" s="308">
        <f>INDEX('FR Y-15 Data'!$A$1:$ED$66,MATCH($C23,'FR Y-15 Data'!$C$1:$C$66,0),MATCH(K$4,'FR Y-15 Data'!$A$1:$EE$1,0))/1000</f>
        <v>29096.081999999999</v>
      </c>
      <c r="L23" s="309">
        <f>INDEX('FR Y-15 Data'!$A$1:$ED$66,MATCH($C23,'FR Y-15 Data'!$C$1:$C$66,0),MATCH(L$4,'FR Y-15 Data'!$A$1:$EE$1,0))/1000</f>
        <v>3693.1309999999999</v>
      </c>
      <c r="M23" s="310">
        <f>INDEX('FR Y-15 Data'!$A$1:$ED$66,MATCH($C23,'FR Y-15 Data'!$C$1:$C$66,0),MATCH(M$4,'FR Y-15 Data'!$A$1:$EE$1,0))/1000</f>
        <v>1568.2339999999999</v>
      </c>
      <c r="N23" s="308">
        <f>INDEX('FR Y-15 Data'!$A$1:$ED$66,MATCH($C23,'FR Y-15 Data'!$C$1:$C$66,0),MATCH(N$4,'FR Y-15 Data'!$A$1:$EE$1,0))/1000</f>
        <v>1529</v>
      </c>
      <c r="O23" s="310">
        <f>INDEX('FR Y-15 Data'!$A$1:$ED$66,MATCH($C23,'FR Y-15 Data'!$C$1:$C$66,0),MATCH(O$4,'FR Y-15 Data'!$A$1:$EE$1,0))/1000</f>
        <v>0</v>
      </c>
    </row>
    <row r="24" spans="2:15">
      <c r="B24" s="231" t="str">
        <f>INDEX('FR Y-15 Data'!$A$1:$ED$66,MATCH($C24,'FR Y-15 Data'!$C$1:$C$66,0),MATCH($B$4,'FR Y-15 Data'!$A$1:$EE$1,0))</f>
        <v xml:space="preserve">JPMORGAN CHASE &amp; CO.                                                                                                    </v>
      </c>
      <c r="C24" s="4">
        <f>INDEX('FR Y-15 Data'!$A$1:$ED$66,ROWS($C$5:C24)+1,MATCH($C$4,'FR Y-15 Data'!$A$1:$EE$1,0))</f>
        <v>1039502</v>
      </c>
      <c r="D24" s="42">
        <f>INDEX('FR Y-15 Data'!$A$1:$ED$66,MATCH($C24,'FR Y-15 Data'!$C$1:$C$66,0),MATCH(D$4,'FR Y-15 Data'!$A$1:$EE$1,0))/1000</f>
        <v>3743113</v>
      </c>
      <c r="E24" s="308">
        <f>INDEX('FR Y-15 Data'!$A$1:$ED$66,MATCH($C24,'FR Y-15 Data'!$C$1:$C$66,0),MATCH(E$4,'FR Y-15 Data'!$A$1:$EE$1,0))/1000</f>
        <v>461425</v>
      </c>
      <c r="F24" s="309">
        <f>INDEX('FR Y-15 Data'!$A$1:$ED$66,MATCH($C24,'FR Y-15 Data'!$C$1:$C$66,0),MATCH(F$4,'FR Y-15 Data'!$A$1:$EE$1,0))/1000</f>
        <v>570830</v>
      </c>
      <c r="G24" s="310">
        <f>INDEX('FR Y-15 Data'!$A$1:$ED$66,MATCH($C24,'FR Y-15 Data'!$C$1:$C$66,0),MATCH(G$4,'FR Y-15 Data'!$A$1:$EE$1,0))/1000</f>
        <v>641607</v>
      </c>
      <c r="H24" s="308">
        <f>INDEX('FR Y-15 Data'!$A$1:$ED$66,MATCH($C24,'FR Y-15 Data'!$C$1:$C$66,0),MATCH(H$4,'FR Y-15 Data'!$A$1:$EE$1,0))/1000</f>
        <v>323173878</v>
      </c>
      <c r="I24" s="309">
        <f>INDEX('FR Y-15 Data'!$A$1:$ED$66,MATCH($C24,'FR Y-15 Data'!$C$1:$C$66,0),MATCH(I$4,'FR Y-15 Data'!$A$1:$EE$1,0))/1000</f>
        <v>21097734</v>
      </c>
      <c r="J24" s="310">
        <f>INDEX('FR Y-15 Data'!$A$1:$ED$66,MATCH($C24,'FR Y-15 Data'!$C$1:$C$66,0),MATCH(J$4,'FR Y-15 Data'!$A$1:$EE$1,0))/1000</f>
        <v>490698</v>
      </c>
      <c r="K24" s="308">
        <f>INDEX('FR Y-15 Data'!$A$1:$ED$66,MATCH($C24,'FR Y-15 Data'!$C$1:$C$66,0),MATCH(K$4,'FR Y-15 Data'!$A$1:$EE$1,0))/1000</f>
        <v>65268349</v>
      </c>
      <c r="L24" s="309">
        <f>INDEX('FR Y-15 Data'!$A$1:$ED$66,MATCH($C24,'FR Y-15 Data'!$C$1:$C$66,0),MATCH(L$4,'FR Y-15 Data'!$A$1:$EE$1,0))/1000</f>
        <v>323285</v>
      </c>
      <c r="M24" s="310">
        <f>INDEX('FR Y-15 Data'!$A$1:$ED$66,MATCH($C24,'FR Y-15 Data'!$C$1:$C$66,0),MATCH(M$4,'FR Y-15 Data'!$A$1:$EE$1,0))/1000</f>
        <v>50457</v>
      </c>
      <c r="N24" s="308">
        <f>INDEX('FR Y-15 Data'!$A$1:$ED$66,MATCH($C24,'FR Y-15 Data'!$C$1:$C$66,0),MATCH(N$4,'FR Y-15 Data'!$A$1:$EE$1,0))/1000</f>
        <v>616296</v>
      </c>
      <c r="O24" s="310">
        <f>INDEX('FR Y-15 Data'!$A$1:$ED$66,MATCH($C24,'FR Y-15 Data'!$C$1:$C$66,0),MATCH(O$4,'FR Y-15 Data'!$A$1:$EE$1,0))/1000</f>
        <v>625601</v>
      </c>
    </row>
    <row r="25" spans="2:15">
      <c r="B25" s="231" t="str">
        <f>INDEX('FR Y-15 Data'!$A$1:$ED$66,MATCH($C25,'FR Y-15 Data'!$C$1:$C$66,0),MATCH($B$4,'FR Y-15 Data'!$A$1:$EE$1,0))</f>
        <v xml:space="preserve">KEYCORP                                                                                                                 </v>
      </c>
      <c r="C25" s="4">
        <f>INDEX('FR Y-15 Data'!$A$1:$ED$66,ROWS($C$5:C25)+1,MATCH($C$4,'FR Y-15 Data'!$A$1:$EE$1,0))</f>
        <v>1068025</v>
      </c>
      <c r="D25" s="42">
        <f>INDEX('FR Y-15 Data'!$A$1:$ED$66,MATCH($C25,'FR Y-15 Data'!$C$1:$C$66,0),MATCH(D$4,'FR Y-15 Data'!$A$1:$EE$1,0))/1000</f>
        <v>140421.22899999999</v>
      </c>
      <c r="E25" s="308">
        <f>INDEX('FR Y-15 Data'!$A$1:$ED$66,MATCH($C25,'FR Y-15 Data'!$C$1:$C$66,0),MATCH(E$4,'FR Y-15 Data'!$A$1:$EE$1,0))/1000</f>
        <v>5423.3310000000001</v>
      </c>
      <c r="F25" s="309">
        <f>INDEX('FR Y-15 Data'!$A$1:$ED$66,MATCH($C25,'FR Y-15 Data'!$C$1:$C$66,0),MATCH(F$4,'FR Y-15 Data'!$A$1:$EE$1,0))/1000</f>
        <v>2139.61</v>
      </c>
      <c r="G25" s="310">
        <f>INDEX('FR Y-15 Data'!$A$1:$ED$66,MATCH($C25,'FR Y-15 Data'!$C$1:$C$66,0),MATCH(G$4,'FR Y-15 Data'!$A$1:$EE$1,0))/1000</f>
        <v>25397.323</v>
      </c>
      <c r="H25" s="308">
        <f>INDEX('FR Y-15 Data'!$A$1:$ED$66,MATCH($C25,'FR Y-15 Data'!$C$1:$C$66,0),MATCH(H$4,'FR Y-15 Data'!$A$1:$EE$1,0))/1000</f>
        <v>945763.05200000003</v>
      </c>
      <c r="I25" s="309">
        <f>INDEX('FR Y-15 Data'!$A$1:$ED$66,MATCH($C25,'FR Y-15 Data'!$C$1:$C$66,0),MATCH(I$4,'FR Y-15 Data'!$A$1:$EE$1,0))/1000</f>
        <v>89323.600999999995</v>
      </c>
      <c r="J25" s="310">
        <f>INDEX('FR Y-15 Data'!$A$1:$ED$66,MATCH($C25,'FR Y-15 Data'!$C$1:$C$66,0),MATCH(J$4,'FR Y-15 Data'!$A$1:$EE$1,0))/1000</f>
        <v>5838.0169999999998</v>
      </c>
      <c r="K25" s="308">
        <f>INDEX('FR Y-15 Data'!$A$1:$ED$66,MATCH($C25,'FR Y-15 Data'!$C$1:$C$66,0),MATCH(K$4,'FR Y-15 Data'!$A$1:$EE$1,0))/1000</f>
        <v>55642.767999999996</v>
      </c>
      <c r="L25" s="309">
        <f>INDEX('FR Y-15 Data'!$A$1:$ED$66,MATCH($C25,'FR Y-15 Data'!$C$1:$C$66,0),MATCH(L$4,'FR Y-15 Data'!$A$1:$EE$1,0))/1000</f>
        <v>1371.9390000000001</v>
      </c>
      <c r="M25" s="310">
        <f>INDEX('FR Y-15 Data'!$A$1:$ED$66,MATCH($C25,'FR Y-15 Data'!$C$1:$C$66,0),MATCH(M$4,'FR Y-15 Data'!$A$1:$EE$1,0))/1000</f>
        <v>632.41700000000003</v>
      </c>
      <c r="N25" s="308">
        <f>INDEX('FR Y-15 Data'!$A$1:$ED$66,MATCH($C25,'FR Y-15 Data'!$C$1:$C$66,0),MATCH(N$4,'FR Y-15 Data'!$A$1:$EE$1,0))/1000</f>
        <v>1903</v>
      </c>
      <c r="O25" s="310">
        <f>INDEX('FR Y-15 Data'!$A$1:$ED$66,MATCH($C25,'FR Y-15 Data'!$C$1:$C$66,0),MATCH(O$4,'FR Y-15 Data'!$A$1:$EE$1,0))/1000</f>
        <v>8</v>
      </c>
    </row>
    <row r="26" spans="2:15">
      <c r="B26" s="231" t="str">
        <f>INDEX('FR Y-15 Data'!$A$1:$ED$66,MATCH($C26,'FR Y-15 Data'!$C$1:$C$66,0),MATCH($B$4,'FR Y-15 Data'!$A$1:$EE$1,0))</f>
        <v xml:space="preserve">M&amp;T BANK CORPORATION                                                                                                    </v>
      </c>
      <c r="C26" s="4">
        <f>INDEX('FR Y-15 Data'!$A$1:$ED$66,ROWS($C$5:C26)+1,MATCH($C$4,'FR Y-15 Data'!$A$1:$EE$1,0))</f>
        <v>1037003</v>
      </c>
      <c r="D26" s="42">
        <f>INDEX('FR Y-15 Data'!$A$1:$ED$66,MATCH($C26,'FR Y-15 Data'!$C$1:$C$66,0),MATCH(D$4,'FR Y-15 Data'!$A$1:$EE$1,0))/1000</f>
        <v>119589.791</v>
      </c>
      <c r="E26" s="308">
        <f>INDEX('FR Y-15 Data'!$A$1:$ED$66,MATCH($C26,'FR Y-15 Data'!$C$1:$C$66,0),MATCH(E$4,'FR Y-15 Data'!$A$1:$EE$1,0))/1000</f>
        <v>2260.067</v>
      </c>
      <c r="F26" s="309">
        <f>INDEX('FR Y-15 Data'!$A$1:$ED$66,MATCH($C26,'FR Y-15 Data'!$C$1:$C$66,0),MATCH(F$4,'FR Y-15 Data'!$A$1:$EE$1,0))/1000</f>
        <v>5014.0479999999998</v>
      </c>
      <c r="G26" s="310">
        <f>INDEX('FR Y-15 Data'!$A$1:$ED$66,MATCH($C26,'FR Y-15 Data'!$C$1:$C$66,0),MATCH(G$4,'FR Y-15 Data'!$A$1:$EE$1,0))/1000</f>
        <v>25803.718000000001</v>
      </c>
      <c r="H26" s="308">
        <f>INDEX('FR Y-15 Data'!$A$1:$ED$66,MATCH($C26,'FR Y-15 Data'!$C$1:$C$66,0),MATCH(H$4,'FR Y-15 Data'!$A$1:$EE$1,0))/1000</f>
        <v>1546287.7309999999</v>
      </c>
      <c r="I26" s="309">
        <f>INDEX('FR Y-15 Data'!$A$1:$ED$66,MATCH($C26,'FR Y-15 Data'!$C$1:$C$66,0),MATCH(I$4,'FR Y-15 Data'!$A$1:$EE$1,0))/1000</f>
        <v>112906.36599999999</v>
      </c>
      <c r="J26" s="310">
        <f>INDEX('FR Y-15 Data'!$A$1:$ED$66,MATCH($C26,'FR Y-15 Data'!$C$1:$C$66,0),MATCH(J$4,'FR Y-15 Data'!$A$1:$EE$1,0))/1000</f>
        <v>25633.255000000001</v>
      </c>
      <c r="K26" s="308">
        <f>INDEX('FR Y-15 Data'!$A$1:$ED$66,MATCH($C26,'FR Y-15 Data'!$C$1:$C$66,0),MATCH(K$4,'FR Y-15 Data'!$A$1:$EE$1,0))/1000</f>
        <v>22149.042000000001</v>
      </c>
      <c r="L26" s="309">
        <f>INDEX('FR Y-15 Data'!$A$1:$ED$66,MATCH($C26,'FR Y-15 Data'!$C$1:$C$66,0),MATCH(L$4,'FR Y-15 Data'!$A$1:$EE$1,0))/1000</f>
        <v>1118.271</v>
      </c>
      <c r="M26" s="310">
        <f>INDEX('FR Y-15 Data'!$A$1:$ED$66,MATCH($C26,'FR Y-15 Data'!$C$1:$C$66,0),MATCH(M$4,'FR Y-15 Data'!$A$1:$EE$1,0))/1000</f>
        <v>68.364999999999995</v>
      </c>
      <c r="N26" s="308">
        <f>INDEX('FR Y-15 Data'!$A$1:$ED$66,MATCH($C26,'FR Y-15 Data'!$C$1:$C$66,0),MATCH(N$4,'FR Y-15 Data'!$A$1:$EE$1,0))/1000</f>
        <v>316.90100000000001</v>
      </c>
      <c r="O26" s="310">
        <f>INDEX('FR Y-15 Data'!$A$1:$ED$66,MATCH($C26,'FR Y-15 Data'!$C$1:$C$66,0),MATCH(O$4,'FR Y-15 Data'!$A$1:$EE$1,0))/1000</f>
        <v>36.478000000000002</v>
      </c>
    </row>
    <row r="27" spans="2:15">
      <c r="B27" s="231" t="str">
        <f>INDEX('FR Y-15 Data'!$A$1:$ED$66,MATCH($C27,'FR Y-15 Data'!$C$1:$C$66,0),MATCH($B$4,'FR Y-15 Data'!$A$1:$EE$1,0))</f>
        <v xml:space="preserve">MORGAN STANLEY                                                                                                          </v>
      </c>
      <c r="C27" s="4">
        <f>INDEX('FR Y-15 Data'!$A$1:$ED$66,ROWS($C$5:C27)+1,MATCH($C$4,'FR Y-15 Data'!$A$1:$EE$1,0))</f>
        <v>2162966</v>
      </c>
      <c r="D27" s="42">
        <f>INDEX('FR Y-15 Data'!$A$1:$ED$66,MATCH($C27,'FR Y-15 Data'!$C$1:$C$66,0),MATCH(D$4,'FR Y-15 Data'!$A$1:$EE$1,0))/1000</f>
        <v>1281234.6640000001</v>
      </c>
      <c r="E27" s="308">
        <f>INDEX('FR Y-15 Data'!$A$1:$ED$66,MATCH($C27,'FR Y-15 Data'!$C$1:$C$66,0),MATCH(E$4,'FR Y-15 Data'!$A$1:$EE$1,0))/1000</f>
        <v>221710.37700000001</v>
      </c>
      <c r="F27" s="309">
        <f>INDEX('FR Y-15 Data'!$A$1:$ED$66,MATCH($C27,'FR Y-15 Data'!$C$1:$C$66,0),MATCH(F$4,'FR Y-15 Data'!$A$1:$EE$1,0))/1000</f>
        <v>118359.86599999999</v>
      </c>
      <c r="G27" s="310">
        <f>INDEX('FR Y-15 Data'!$A$1:$ED$66,MATCH($C27,'FR Y-15 Data'!$C$1:$C$66,0),MATCH(G$4,'FR Y-15 Data'!$A$1:$EE$1,0))/1000</f>
        <v>246186.644</v>
      </c>
      <c r="H27" s="308">
        <f>INDEX('FR Y-15 Data'!$A$1:$ED$66,MATCH($C27,'FR Y-15 Data'!$C$1:$C$66,0),MATCH(H$4,'FR Y-15 Data'!$A$1:$EE$1,0))/1000</f>
        <v>11640647.738</v>
      </c>
      <c r="I27" s="309">
        <f>INDEX('FR Y-15 Data'!$A$1:$ED$66,MATCH($C27,'FR Y-15 Data'!$C$1:$C$66,0),MATCH(I$4,'FR Y-15 Data'!$A$1:$EE$1,0))/1000</f>
        <v>1573836.5220000001</v>
      </c>
      <c r="J27" s="310">
        <f>INDEX('FR Y-15 Data'!$A$1:$ED$66,MATCH($C27,'FR Y-15 Data'!$C$1:$C$66,0),MATCH(J$4,'FR Y-15 Data'!$A$1:$EE$1,0))/1000</f>
        <v>331344</v>
      </c>
      <c r="K27" s="308">
        <f>INDEX('FR Y-15 Data'!$A$1:$ED$66,MATCH($C27,'FR Y-15 Data'!$C$1:$C$66,0),MATCH(K$4,'FR Y-15 Data'!$A$1:$EE$1,0))/1000</f>
        <v>34515890.479999997</v>
      </c>
      <c r="L27" s="309">
        <f>INDEX('FR Y-15 Data'!$A$1:$ED$66,MATCH($C27,'FR Y-15 Data'!$C$1:$C$66,0),MATCH(L$4,'FR Y-15 Data'!$A$1:$EE$1,0))/1000</f>
        <v>286974.81300000002</v>
      </c>
      <c r="M27" s="310">
        <f>INDEX('FR Y-15 Data'!$A$1:$ED$66,MATCH($C27,'FR Y-15 Data'!$C$1:$C$66,0),MATCH(M$4,'FR Y-15 Data'!$A$1:$EE$1,0))/1000</f>
        <v>22137</v>
      </c>
      <c r="N27" s="308">
        <f>INDEX('FR Y-15 Data'!$A$1:$ED$66,MATCH($C27,'FR Y-15 Data'!$C$1:$C$66,0),MATCH(N$4,'FR Y-15 Data'!$A$1:$EE$1,0))/1000</f>
        <v>350157</v>
      </c>
      <c r="O27" s="310">
        <f>INDEX('FR Y-15 Data'!$A$1:$ED$66,MATCH($C27,'FR Y-15 Data'!$C$1:$C$66,0),MATCH(O$4,'FR Y-15 Data'!$A$1:$EE$1,0))/1000</f>
        <v>298181.19300000003</v>
      </c>
    </row>
    <row r="28" spans="2:15">
      <c r="B28" s="231" t="str">
        <f>INDEX('FR Y-15 Data'!$A$1:$ED$66,MATCH($C28,'FR Y-15 Data'!$C$1:$C$66,0),MATCH($B$4,'FR Y-15 Data'!$A$1:$EE$1,0))</f>
        <v xml:space="preserve">MUFG AMERICAS HOLDINGS CORPORATION                                                                                      </v>
      </c>
      <c r="C28" s="4">
        <f>INDEX('FR Y-15 Data'!$A$1:$ED$66,ROWS($C$5:C28)+1,MATCH($C$4,'FR Y-15 Data'!$A$1:$EE$1,0))</f>
        <v>1378434</v>
      </c>
      <c r="D28" s="42">
        <f>INDEX('FR Y-15 Data'!$A$1:$ED$66,MATCH($C28,'FR Y-15 Data'!$C$1:$C$66,0),MATCH(D$4,'FR Y-15 Data'!$A$1:$EE$1,0))/1000</f>
        <v>153901.38399999999</v>
      </c>
      <c r="E28" s="308">
        <f>INDEX('FR Y-15 Data'!$A$1:$ED$66,MATCH($C28,'FR Y-15 Data'!$C$1:$C$66,0),MATCH(E$4,'FR Y-15 Data'!$A$1:$EE$1,0))/1000</f>
        <v>10971.438</v>
      </c>
      <c r="F28" s="309">
        <f>INDEX('FR Y-15 Data'!$A$1:$ED$66,MATCH($C28,'FR Y-15 Data'!$C$1:$C$66,0),MATCH(F$4,'FR Y-15 Data'!$A$1:$EE$1,0))/1000</f>
        <v>5362.9380000000001</v>
      </c>
      <c r="G28" s="310">
        <f>INDEX('FR Y-15 Data'!$A$1:$ED$66,MATCH($C28,'FR Y-15 Data'!$C$1:$C$66,0),MATCH(G$4,'FR Y-15 Data'!$A$1:$EE$1,0))/1000</f>
        <v>18188.98</v>
      </c>
      <c r="H28" s="308">
        <f>INDEX('FR Y-15 Data'!$A$1:$ED$66,MATCH($C28,'FR Y-15 Data'!$C$1:$C$66,0),MATCH(H$4,'FR Y-15 Data'!$A$1:$EE$1,0))/1000</f>
        <v>947515.26899999997</v>
      </c>
      <c r="I28" s="309">
        <f>INDEX('FR Y-15 Data'!$A$1:$ED$66,MATCH($C28,'FR Y-15 Data'!$C$1:$C$66,0),MATCH(I$4,'FR Y-15 Data'!$A$1:$EE$1,0))/1000</f>
        <v>128819.09299999999</v>
      </c>
      <c r="J28" s="310">
        <f>INDEX('FR Y-15 Data'!$A$1:$ED$66,MATCH($C28,'FR Y-15 Data'!$C$1:$C$66,0),MATCH(J$4,'FR Y-15 Data'!$A$1:$EE$1,0))/1000</f>
        <v>0</v>
      </c>
      <c r="K28" s="308">
        <f>INDEX('FR Y-15 Data'!$A$1:$ED$66,MATCH($C28,'FR Y-15 Data'!$C$1:$C$66,0),MATCH(K$4,'FR Y-15 Data'!$A$1:$EE$1,0))/1000</f>
        <v>71678.107000000004</v>
      </c>
      <c r="L28" s="309">
        <f>INDEX('FR Y-15 Data'!$A$1:$ED$66,MATCH($C28,'FR Y-15 Data'!$C$1:$C$66,0),MATCH(L$4,'FR Y-15 Data'!$A$1:$EE$1,0))/1000</f>
        <v>7297.11</v>
      </c>
      <c r="M28" s="310">
        <f>INDEX('FR Y-15 Data'!$A$1:$ED$66,MATCH($C28,'FR Y-15 Data'!$C$1:$C$66,0),MATCH(M$4,'FR Y-15 Data'!$A$1:$EE$1,0))/1000</f>
        <v>2102.1060000000002</v>
      </c>
      <c r="N28" s="308">
        <f>INDEX('FR Y-15 Data'!$A$1:$ED$66,MATCH($C28,'FR Y-15 Data'!$C$1:$C$66,0),MATCH(N$4,'FR Y-15 Data'!$A$1:$EE$1,0))/1000</f>
        <v>4097</v>
      </c>
      <c r="O28" s="310">
        <f>INDEX('FR Y-15 Data'!$A$1:$ED$66,MATCH($C28,'FR Y-15 Data'!$C$1:$C$66,0),MATCH(O$4,'FR Y-15 Data'!$A$1:$EE$1,0))/1000</f>
        <v>2439</v>
      </c>
    </row>
    <row r="29" spans="2:15">
      <c r="B29" s="231" t="str">
        <f>INDEX('FR Y-15 Data'!$A$1:$ED$66,MATCH($C29,'FR Y-15 Data'!$C$1:$C$66,0),MATCH($B$4,'FR Y-15 Data'!$A$1:$EE$1,0))</f>
        <v xml:space="preserve">NORTHERN TRUST CORPORATION                                                                                              </v>
      </c>
      <c r="C29" s="4">
        <f>INDEX('FR Y-15 Data'!$A$1:$ED$66,ROWS($C$5:C29)+1,MATCH($C$4,'FR Y-15 Data'!$A$1:$EE$1,0))</f>
        <v>1199611</v>
      </c>
      <c r="D29" s="42">
        <f>INDEX('FR Y-15 Data'!$A$1:$ED$66,MATCH($C29,'FR Y-15 Data'!$C$1:$C$66,0),MATCH(D$4,'FR Y-15 Data'!$A$1:$EE$1,0))/1000</f>
        <v>151569.46599999999</v>
      </c>
      <c r="E29" s="308">
        <f>INDEX('FR Y-15 Data'!$A$1:$ED$66,MATCH($C29,'FR Y-15 Data'!$C$1:$C$66,0),MATCH(E$4,'FR Y-15 Data'!$A$1:$EE$1,0))/1000</f>
        <v>43202.591</v>
      </c>
      <c r="F29" s="309">
        <f>INDEX('FR Y-15 Data'!$A$1:$ED$66,MATCH($C29,'FR Y-15 Data'!$C$1:$C$66,0),MATCH(F$4,'FR Y-15 Data'!$A$1:$EE$1,0))/1000</f>
        <v>17567.797999999999</v>
      </c>
      <c r="G29" s="310">
        <f>INDEX('FR Y-15 Data'!$A$1:$ED$66,MATCH($C29,'FR Y-15 Data'!$C$1:$C$66,0),MATCH(G$4,'FR Y-15 Data'!$A$1:$EE$1,0))/1000</f>
        <v>16212.311</v>
      </c>
      <c r="H29" s="308">
        <f>INDEX('FR Y-15 Data'!$A$1:$ED$66,MATCH($C29,'FR Y-15 Data'!$C$1:$C$66,0),MATCH(H$4,'FR Y-15 Data'!$A$1:$EE$1,0))/1000</f>
        <v>35333968.064999998</v>
      </c>
      <c r="I29" s="309">
        <f>INDEX('FR Y-15 Data'!$A$1:$ED$66,MATCH($C29,'FR Y-15 Data'!$C$1:$C$66,0),MATCH(I$4,'FR Y-15 Data'!$A$1:$EE$1,0))/1000</f>
        <v>5968800</v>
      </c>
      <c r="J29" s="310">
        <f>INDEX('FR Y-15 Data'!$A$1:$ED$66,MATCH($C29,'FR Y-15 Data'!$C$1:$C$66,0),MATCH(J$4,'FR Y-15 Data'!$A$1:$EE$1,0))/1000</f>
        <v>0</v>
      </c>
      <c r="K29" s="308">
        <f>INDEX('FR Y-15 Data'!$A$1:$ED$66,MATCH($C29,'FR Y-15 Data'!$C$1:$C$66,0),MATCH(K$4,'FR Y-15 Data'!$A$1:$EE$1,0))/1000</f>
        <v>270053.50300000003</v>
      </c>
      <c r="L29" s="309">
        <f>INDEX('FR Y-15 Data'!$A$1:$ED$66,MATCH($C29,'FR Y-15 Data'!$C$1:$C$66,0),MATCH(L$4,'FR Y-15 Data'!$A$1:$EE$1,0))/1000</f>
        <v>7492.2380000000003</v>
      </c>
      <c r="M29" s="310">
        <f>INDEX('FR Y-15 Data'!$A$1:$ED$66,MATCH($C29,'FR Y-15 Data'!$C$1:$C$66,0),MATCH(M$4,'FR Y-15 Data'!$A$1:$EE$1,0))/1000</f>
        <v>18.109000000000002</v>
      </c>
      <c r="N29" s="308">
        <f>INDEX('FR Y-15 Data'!$A$1:$ED$66,MATCH($C29,'FR Y-15 Data'!$C$1:$C$66,0),MATCH(N$4,'FR Y-15 Data'!$A$1:$EE$1,0))/1000</f>
        <v>26139</v>
      </c>
      <c r="O29" s="310">
        <f>INDEX('FR Y-15 Data'!$A$1:$ED$66,MATCH($C29,'FR Y-15 Data'!$C$1:$C$66,0),MATCH(O$4,'FR Y-15 Data'!$A$1:$EE$1,0))/1000</f>
        <v>50515</v>
      </c>
    </row>
    <row r="30" spans="2:15">
      <c r="B30" s="231" t="str">
        <f>INDEX('FR Y-15 Data'!$A$1:$ED$66,MATCH($C30,'FR Y-15 Data'!$C$1:$C$66,0),MATCH($B$4,'FR Y-15 Data'!$A$1:$EE$1,0))</f>
        <v xml:space="preserve">PNC FINANCIAL SERVICES GROUP, INC., THE                                                                                 </v>
      </c>
      <c r="C30" s="4">
        <f>INDEX('FR Y-15 Data'!$A$1:$ED$66,ROWS($C$5:C30)+1,MATCH($C$4,'FR Y-15 Data'!$A$1:$EE$1,0))</f>
        <v>1069778</v>
      </c>
      <c r="D30" s="42">
        <f>INDEX('FR Y-15 Data'!$A$1:$ED$66,MATCH($C30,'FR Y-15 Data'!$C$1:$C$66,0),MATCH(D$4,'FR Y-15 Data'!$A$1:$EE$1,0))/1000</f>
        <v>459925.08100000001</v>
      </c>
      <c r="E30" s="308">
        <f>INDEX('FR Y-15 Data'!$A$1:$ED$66,MATCH($C30,'FR Y-15 Data'!$C$1:$C$66,0),MATCH(E$4,'FR Y-15 Data'!$A$1:$EE$1,0))/1000</f>
        <v>18636</v>
      </c>
      <c r="F30" s="309">
        <f>INDEX('FR Y-15 Data'!$A$1:$ED$66,MATCH($C30,'FR Y-15 Data'!$C$1:$C$66,0),MATCH(F$4,'FR Y-15 Data'!$A$1:$EE$1,0))/1000</f>
        <v>8342</v>
      </c>
      <c r="G30" s="310">
        <f>INDEX('FR Y-15 Data'!$A$1:$ED$66,MATCH($C30,'FR Y-15 Data'!$C$1:$C$66,0),MATCH(G$4,'FR Y-15 Data'!$A$1:$EE$1,0))/1000</f>
        <v>78034.804000000004</v>
      </c>
      <c r="H30" s="308">
        <f>INDEX('FR Y-15 Data'!$A$1:$ED$66,MATCH($C30,'FR Y-15 Data'!$C$1:$C$66,0),MATCH(H$4,'FR Y-15 Data'!$A$1:$EE$1,0))/1000</f>
        <v>2598451</v>
      </c>
      <c r="I30" s="309">
        <f>INDEX('FR Y-15 Data'!$A$1:$ED$66,MATCH($C30,'FR Y-15 Data'!$C$1:$C$66,0),MATCH(I$4,'FR Y-15 Data'!$A$1:$EE$1,0))/1000</f>
        <v>171000</v>
      </c>
      <c r="J30" s="310">
        <f>INDEX('FR Y-15 Data'!$A$1:$ED$66,MATCH($C30,'FR Y-15 Data'!$C$1:$C$66,0),MATCH(J$4,'FR Y-15 Data'!$A$1:$EE$1,0))/1000</f>
        <v>12740</v>
      </c>
      <c r="K30" s="308">
        <f>INDEX('FR Y-15 Data'!$A$1:$ED$66,MATCH($C30,'FR Y-15 Data'!$C$1:$C$66,0),MATCH(K$4,'FR Y-15 Data'!$A$1:$EE$1,0))/1000</f>
        <v>278409</v>
      </c>
      <c r="L30" s="309">
        <f>INDEX('FR Y-15 Data'!$A$1:$ED$66,MATCH($C30,'FR Y-15 Data'!$C$1:$C$66,0),MATCH(L$4,'FR Y-15 Data'!$A$1:$EE$1,0))/1000</f>
        <v>16384.612000000001</v>
      </c>
      <c r="M30" s="310">
        <f>INDEX('FR Y-15 Data'!$A$1:$ED$66,MATCH($C30,'FR Y-15 Data'!$C$1:$C$66,0),MATCH(M$4,'FR Y-15 Data'!$A$1:$EE$1,0))/1000</f>
        <v>10257.986999999999</v>
      </c>
      <c r="N30" s="308">
        <f>INDEX('FR Y-15 Data'!$A$1:$ED$66,MATCH($C30,'FR Y-15 Data'!$C$1:$C$66,0),MATCH(N$4,'FR Y-15 Data'!$A$1:$EE$1,0))/1000</f>
        <v>5343</v>
      </c>
      <c r="O30" s="310">
        <f>INDEX('FR Y-15 Data'!$A$1:$ED$66,MATCH($C30,'FR Y-15 Data'!$C$1:$C$66,0),MATCH(O$4,'FR Y-15 Data'!$A$1:$EE$1,0))/1000</f>
        <v>2659</v>
      </c>
    </row>
    <row r="31" spans="2:15">
      <c r="B31" s="231" t="str">
        <f>INDEX('FR Y-15 Data'!$A$1:$ED$66,MATCH($C31,'FR Y-15 Data'!$C$1:$C$66,0),MATCH($B$4,'FR Y-15 Data'!$A$1:$EE$1,0))</f>
        <v xml:space="preserve">REGIONS FINANCIAL CORPORATION                                                                                           </v>
      </c>
      <c r="C31" s="4">
        <f>INDEX('FR Y-15 Data'!$A$1:$ED$66,ROWS($C$5:C31)+1,MATCH($C$4,'FR Y-15 Data'!$A$1:$EE$1,0))</f>
        <v>3242838</v>
      </c>
      <c r="D31" s="42">
        <f>INDEX('FR Y-15 Data'!$A$1:$ED$66,MATCH($C31,'FR Y-15 Data'!$C$1:$C$66,0),MATCH(D$4,'FR Y-15 Data'!$A$1:$EE$1,0))/1000</f>
        <v>151156.76300000001</v>
      </c>
      <c r="E31" s="308">
        <f>INDEX('FR Y-15 Data'!$A$1:$ED$66,MATCH($C31,'FR Y-15 Data'!$C$1:$C$66,0),MATCH(E$4,'FR Y-15 Data'!$A$1:$EE$1,0))/1000</f>
        <v>1314.25</v>
      </c>
      <c r="F31" s="309">
        <f>INDEX('FR Y-15 Data'!$A$1:$ED$66,MATCH($C31,'FR Y-15 Data'!$C$1:$C$66,0),MATCH(F$4,'FR Y-15 Data'!$A$1:$EE$1,0))/1000</f>
        <v>6831.84</v>
      </c>
      <c r="G31" s="310">
        <f>INDEX('FR Y-15 Data'!$A$1:$ED$66,MATCH($C31,'FR Y-15 Data'!$C$1:$C$66,0),MATCH(G$4,'FR Y-15 Data'!$A$1:$EE$1,0))/1000</f>
        <v>27305.881000000001</v>
      </c>
      <c r="H31" s="308">
        <f>INDEX('FR Y-15 Data'!$A$1:$ED$66,MATCH($C31,'FR Y-15 Data'!$C$1:$C$66,0),MATCH(H$4,'FR Y-15 Data'!$A$1:$EE$1,0))/1000</f>
        <v>800829.83799999999</v>
      </c>
      <c r="I31" s="309">
        <f>INDEX('FR Y-15 Data'!$A$1:$ED$66,MATCH($C31,'FR Y-15 Data'!$C$1:$C$66,0),MATCH(I$4,'FR Y-15 Data'!$A$1:$EE$1,0))/1000</f>
        <v>17108.381000000001</v>
      </c>
      <c r="J31" s="310">
        <f>INDEX('FR Y-15 Data'!$A$1:$ED$66,MATCH($C31,'FR Y-15 Data'!$C$1:$C$66,0),MATCH(J$4,'FR Y-15 Data'!$A$1:$EE$1,0))/1000</f>
        <v>1400.2049999999999</v>
      </c>
      <c r="K31" s="308">
        <f>INDEX('FR Y-15 Data'!$A$1:$ED$66,MATCH($C31,'FR Y-15 Data'!$C$1:$C$66,0),MATCH(K$4,'FR Y-15 Data'!$A$1:$EE$1,0))/1000</f>
        <v>79236.517999999996</v>
      </c>
      <c r="L31" s="309">
        <f>INDEX('FR Y-15 Data'!$A$1:$ED$66,MATCH($C31,'FR Y-15 Data'!$C$1:$C$66,0),MATCH(L$4,'FR Y-15 Data'!$A$1:$EE$1,0))/1000</f>
        <v>4813.7709999999997</v>
      </c>
      <c r="M31" s="310">
        <f>INDEX('FR Y-15 Data'!$A$1:$ED$66,MATCH($C31,'FR Y-15 Data'!$C$1:$C$66,0),MATCH(M$4,'FR Y-15 Data'!$A$1:$EE$1,0))/1000</f>
        <v>275.71300000000002</v>
      </c>
      <c r="N31" s="308">
        <f>INDEX('FR Y-15 Data'!$A$1:$ED$66,MATCH($C31,'FR Y-15 Data'!$C$1:$C$66,0),MATCH(N$4,'FR Y-15 Data'!$A$1:$EE$1,0))/1000</f>
        <v>937</v>
      </c>
      <c r="O31" s="310">
        <f>INDEX('FR Y-15 Data'!$A$1:$ED$66,MATCH($C31,'FR Y-15 Data'!$C$1:$C$66,0),MATCH(O$4,'FR Y-15 Data'!$A$1:$EE$1,0))/1000</f>
        <v>483</v>
      </c>
    </row>
    <row r="32" spans="2:15">
      <c r="B32" s="231" t="str">
        <f>INDEX('FR Y-15 Data'!$A$1:$ED$66,MATCH($C32,'FR Y-15 Data'!$C$1:$C$66,0),MATCH($B$4,'FR Y-15 Data'!$A$1:$EE$1,0))</f>
        <v xml:space="preserve">SANTANDER HOLDINGS USA, INC.                                                                                            </v>
      </c>
      <c r="C32" s="4">
        <f>INDEX('FR Y-15 Data'!$A$1:$ED$66,ROWS($C$5:C32)+1,MATCH($C$4,'FR Y-15 Data'!$A$1:$EE$1,0))</f>
        <v>3981856</v>
      </c>
      <c r="D32" s="42">
        <f>INDEX('FR Y-15 Data'!$A$1:$ED$66,MATCH($C32,'FR Y-15 Data'!$C$1:$C$66,0),MATCH(D$4,'FR Y-15 Data'!$A$1:$EE$1,0))/1000</f>
        <v>146358.35699999999</v>
      </c>
      <c r="E32" s="308">
        <f>INDEX('FR Y-15 Data'!$A$1:$ED$66,MATCH($C32,'FR Y-15 Data'!$C$1:$C$66,0),MATCH(E$4,'FR Y-15 Data'!$A$1:$EE$1,0))/1000</f>
        <v>3821.355</v>
      </c>
      <c r="F32" s="309">
        <f>INDEX('FR Y-15 Data'!$A$1:$ED$66,MATCH($C32,'FR Y-15 Data'!$C$1:$C$66,0),MATCH(F$4,'FR Y-15 Data'!$A$1:$EE$1,0))/1000</f>
        <v>7289.9480000000003</v>
      </c>
      <c r="G32" s="310">
        <f>INDEX('FR Y-15 Data'!$A$1:$ED$66,MATCH($C32,'FR Y-15 Data'!$C$1:$C$66,0),MATCH(G$4,'FR Y-15 Data'!$A$1:$EE$1,0))/1000</f>
        <v>21681.932000000001</v>
      </c>
      <c r="H32" s="308">
        <f>INDEX('FR Y-15 Data'!$A$1:$ED$66,MATCH($C32,'FR Y-15 Data'!$C$1:$C$66,0),MATCH(H$4,'FR Y-15 Data'!$A$1:$EE$1,0))/1000</f>
        <v>51581.190999999999</v>
      </c>
      <c r="I32" s="309">
        <f>INDEX('FR Y-15 Data'!$A$1:$ED$66,MATCH($C32,'FR Y-15 Data'!$C$1:$C$66,0),MATCH(I$4,'FR Y-15 Data'!$A$1:$EE$1,0))/1000</f>
        <v>0</v>
      </c>
      <c r="J32" s="310">
        <f>INDEX('FR Y-15 Data'!$A$1:$ED$66,MATCH($C32,'FR Y-15 Data'!$C$1:$C$66,0),MATCH(J$4,'FR Y-15 Data'!$A$1:$EE$1,0))/1000</f>
        <v>0</v>
      </c>
      <c r="K32" s="308">
        <f>INDEX('FR Y-15 Data'!$A$1:$ED$66,MATCH($C32,'FR Y-15 Data'!$C$1:$C$66,0),MATCH(K$4,'FR Y-15 Data'!$A$1:$EE$1,0))/1000</f>
        <v>49005.497000000003</v>
      </c>
      <c r="L32" s="309">
        <f>INDEX('FR Y-15 Data'!$A$1:$ED$66,MATCH($C32,'FR Y-15 Data'!$C$1:$C$66,0),MATCH(L$4,'FR Y-15 Data'!$A$1:$EE$1,0))/1000</f>
        <v>9122.5840000000007</v>
      </c>
      <c r="M32" s="310">
        <f>INDEX('FR Y-15 Data'!$A$1:$ED$66,MATCH($C32,'FR Y-15 Data'!$C$1:$C$66,0),MATCH(M$4,'FR Y-15 Data'!$A$1:$EE$1,0))/1000</f>
        <v>2261.6709999999998</v>
      </c>
      <c r="N32" s="308">
        <f>INDEX('FR Y-15 Data'!$A$1:$ED$66,MATCH($C32,'FR Y-15 Data'!$C$1:$C$66,0),MATCH(N$4,'FR Y-15 Data'!$A$1:$EE$1,0))/1000</f>
        <v>3785.125</v>
      </c>
      <c r="O32" s="310">
        <f>INDEX('FR Y-15 Data'!$A$1:$ED$66,MATCH($C32,'FR Y-15 Data'!$C$1:$C$66,0),MATCH(O$4,'FR Y-15 Data'!$A$1:$EE$1,0))/1000</f>
        <v>574.06899999999996</v>
      </c>
    </row>
    <row r="33" spans="2:15">
      <c r="B33" s="231" t="str">
        <f>INDEX('FR Y-15 Data'!$A$1:$ED$66,MATCH($C33,'FR Y-15 Data'!$C$1:$C$66,0),MATCH($B$4,'FR Y-15 Data'!$A$1:$EE$1,0))</f>
        <v xml:space="preserve">STATE STREET CORPORATION                                                                                                </v>
      </c>
      <c r="C33" s="4">
        <f>INDEX('FR Y-15 Data'!$A$1:$ED$66,ROWS($C$5:C33)+1,MATCH($C$4,'FR Y-15 Data'!$A$1:$EE$1,0))</f>
        <v>1111435</v>
      </c>
      <c r="D33" s="42">
        <f>INDEX('FR Y-15 Data'!$A$1:$ED$66,MATCH($C33,'FR Y-15 Data'!$C$1:$C$66,0),MATCH(D$4,'FR Y-15 Data'!$A$1:$EE$1,0))/1000</f>
        <v>292211.65500000003</v>
      </c>
      <c r="E33" s="308">
        <f>INDEX('FR Y-15 Data'!$A$1:$ED$66,MATCH($C33,'FR Y-15 Data'!$C$1:$C$66,0),MATCH(E$4,'FR Y-15 Data'!$A$1:$EE$1,0))/1000</f>
        <v>38366.180999999997</v>
      </c>
      <c r="F33" s="309">
        <f>INDEX('FR Y-15 Data'!$A$1:$ED$66,MATCH($C33,'FR Y-15 Data'!$C$1:$C$66,0),MATCH(F$4,'FR Y-15 Data'!$A$1:$EE$1,0))/1000</f>
        <v>214038.86900000001</v>
      </c>
      <c r="G33" s="310">
        <f>INDEX('FR Y-15 Data'!$A$1:$ED$66,MATCH($C33,'FR Y-15 Data'!$C$1:$C$66,0),MATCH(G$4,'FR Y-15 Data'!$A$1:$EE$1,0))/1000</f>
        <v>60107.008999999998</v>
      </c>
      <c r="H33" s="308">
        <f>INDEX('FR Y-15 Data'!$A$1:$ED$66,MATCH($C33,'FR Y-15 Data'!$C$1:$C$66,0),MATCH(H$4,'FR Y-15 Data'!$A$1:$EE$1,0))/1000</f>
        <v>71014770.240999997</v>
      </c>
      <c r="I33" s="309">
        <f>INDEX('FR Y-15 Data'!$A$1:$ED$66,MATCH($C33,'FR Y-15 Data'!$C$1:$C$66,0),MATCH(I$4,'FR Y-15 Data'!$A$1:$EE$1,0))/1000</f>
        <v>21656000</v>
      </c>
      <c r="J33" s="310">
        <f>INDEX('FR Y-15 Data'!$A$1:$ED$66,MATCH($C33,'FR Y-15 Data'!$C$1:$C$66,0),MATCH(J$4,'FR Y-15 Data'!$A$1:$EE$1,0))/1000</f>
        <v>0</v>
      </c>
      <c r="K33" s="308">
        <f>INDEX('FR Y-15 Data'!$A$1:$ED$66,MATCH($C33,'FR Y-15 Data'!$C$1:$C$66,0),MATCH(K$4,'FR Y-15 Data'!$A$1:$EE$1,0))/1000</f>
        <v>1239187.564</v>
      </c>
      <c r="L33" s="309">
        <f>INDEX('FR Y-15 Data'!$A$1:$ED$66,MATCH($C33,'FR Y-15 Data'!$C$1:$C$66,0),MATCH(L$4,'FR Y-15 Data'!$A$1:$EE$1,0))/1000</f>
        <v>33982.639999999999</v>
      </c>
      <c r="M33" s="310">
        <f>INDEX('FR Y-15 Data'!$A$1:$ED$66,MATCH($C33,'FR Y-15 Data'!$C$1:$C$66,0),MATCH(M$4,'FR Y-15 Data'!$A$1:$EE$1,0))/1000</f>
        <v>5446.1840000000002</v>
      </c>
      <c r="N33" s="308">
        <f>INDEX('FR Y-15 Data'!$A$1:$ED$66,MATCH($C33,'FR Y-15 Data'!$C$1:$C$66,0),MATCH(N$4,'FR Y-15 Data'!$A$1:$EE$1,0))/1000</f>
        <v>74588.706000000006</v>
      </c>
      <c r="O33" s="310">
        <f>INDEX('FR Y-15 Data'!$A$1:$ED$66,MATCH($C33,'FR Y-15 Data'!$C$1:$C$66,0),MATCH(O$4,'FR Y-15 Data'!$A$1:$EE$1,0))/1000</f>
        <v>138801</v>
      </c>
    </row>
    <row r="34" spans="2:15">
      <c r="B34" s="231" t="str">
        <f>INDEX('FR Y-15 Data'!$A$1:$ED$66,MATCH($C34,'FR Y-15 Data'!$C$1:$C$66,0),MATCH($B$4,'FR Y-15 Data'!$A$1:$EE$1,0))</f>
        <v xml:space="preserve">SUNTRUST BANKS, INC.                                                                                                    </v>
      </c>
      <c r="C34" s="4">
        <f>INDEX('FR Y-15 Data'!$A$1:$ED$66,ROWS($C$5:C34)+1,MATCH($C$4,'FR Y-15 Data'!$A$1:$EE$1,0))</f>
        <v>1131787</v>
      </c>
      <c r="D34" s="42">
        <f>INDEX('FR Y-15 Data'!$A$1:$ED$66,MATCH($C34,'FR Y-15 Data'!$C$1:$C$66,0),MATCH(D$4,'FR Y-15 Data'!$A$1:$EE$1,0))/1000</f>
        <v>252483.177</v>
      </c>
      <c r="E34" s="308">
        <f>INDEX('FR Y-15 Data'!$A$1:$ED$66,MATCH($C34,'FR Y-15 Data'!$C$1:$C$66,0),MATCH(E$4,'FR Y-15 Data'!$A$1:$EE$1,0))/1000</f>
        <v>3520.1979999999999</v>
      </c>
      <c r="F34" s="309">
        <f>INDEX('FR Y-15 Data'!$A$1:$ED$66,MATCH($C34,'FR Y-15 Data'!$C$1:$C$66,0),MATCH(F$4,'FR Y-15 Data'!$A$1:$EE$1,0))/1000</f>
        <v>1281.693</v>
      </c>
      <c r="G34" s="310">
        <f>INDEX('FR Y-15 Data'!$A$1:$ED$66,MATCH($C34,'FR Y-15 Data'!$C$1:$C$66,0),MATCH(G$4,'FR Y-15 Data'!$A$1:$EE$1,0))/1000</f>
        <v>51740.993000000002</v>
      </c>
      <c r="H34" s="308">
        <f>INDEX('FR Y-15 Data'!$A$1:$ED$66,MATCH($C34,'FR Y-15 Data'!$C$1:$C$66,0),MATCH(H$4,'FR Y-15 Data'!$A$1:$EE$1,0))/1000</f>
        <v>781719.61499999999</v>
      </c>
      <c r="I34" s="309">
        <f>INDEX('FR Y-15 Data'!$A$1:$ED$66,MATCH($C34,'FR Y-15 Data'!$C$1:$C$66,0),MATCH(I$4,'FR Y-15 Data'!$A$1:$EE$1,0))/1000</f>
        <v>58848.508999999998</v>
      </c>
      <c r="J34" s="310">
        <f>INDEX('FR Y-15 Data'!$A$1:$ED$66,MATCH($C34,'FR Y-15 Data'!$C$1:$C$66,0),MATCH(J$4,'FR Y-15 Data'!$A$1:$EE$1,0))/1000</f>
        <v>11870.763000000001</v>
      </c>
      <c r="K34" s="308">
        <f>INDEX('FR Y-15 Data'!$A$1:$ED$66,MATCH($C34,'FR Y-15 Data'!$C$1:$C$66,0),MATCH(K$4,'FR Y-15 Data'!$A$1:$EE$1,0))/1000</f>
        <v>195902.55799999999</v>
      </c>
      <c r="L34" s="309">
        <f>INDEX('FR Y-15 Data'!$A$1:$ED$66,MATCH($C34,'FR Y-15 Data'!$C$1:$C$66,0),MATCH(L$4,'FR Y-15 Data'!$A$1:$EE$1,0))/1000</f>
        <v>3331.768</v>
      </c>
      <c r="M34" s="310">
        <f>INDEX('FR Y-15 Data'!$A$1:$ED$66,MATCH($C34,'FR Y-15 Data'!$C$1:$C$66,0),MATCH(M$4,'FR Y-15 Data'!$A$1:$EE$1,0))/1000</f>
        <v>2450.076</v>
      </c>
      <c r="N34" s="308">
        <f>INDEX('FR Y-15 Data'!$A$1:$ED$66,MATCH($C34,'FR Y-15 Data'!$C$1:$C$66,0),MATCH(N$4,'FR Y-15 Data'!$A$1:$EE$1,0))/1000</f>
        <v>1963</v>
      </c>
      <c r="O34" s="310">
        <f>INDEX('FR Y-15 Data'!$A$1:$ED$66,MATCH($C34,'FR Y-15 Data'!$C$1:$C$66,0),MATCH(O$4,'FR Y-15 Data'!$A$1:$EE$1,0))/1000</f>
        <v>2063.3510000000001</v>
      </c>
    </row>
    <row r="35" spans="2:15">
      <c r="B35" s="231" t="str">
        <f>INDEX('FR Y-15 Data'!$A$1:$ED$66,MATCH($C35,'FR Y-15 Data'!$C$1:$C$66,0),MATCH($B$4,'FR Y-15 Data'!$A$1:$EE$1,0))</f>
        <v xml:space="preserve">TD BANK US HOLDING COMPANY                                                                                              </v>
      </c>
      <c r="C35" s="4">
        <f>INDEX('FR Y-15 Data'!$A$1:$ED$66,ROWS($C$5:C35)+1,MATCH($C$4,'FR Y-15 Data'!$A$1:$EE$1,0))</f>
        <v>1249196</v>
      </c>
      <c r="D35" s="42">
        <f>INDEX('FR Y-15 Data'!$A$1:$ED$66,MATCH($C35,'FR Y-15 Data'!$C$1:$C$66,0),MATCH(D$4,'FR Y-15 Data'!$A$1:$EE$1,0))/1000</f>
        <v>283631.859</v>
      </c>
      <c r="E35" s="308">
        <f>INDEX('FR Y-15 Data'!$A$1:$ED$66,MATCH($C35,'FR Y-15 Data'!$C$1:$C$66,0),MATCH(E$4,'FR Y-15 Data'!$A$1:$EE$1,0))/1000</f>
        <v>12414.462</v>
      </c>
      <c r="F35" s="309">
        <f>INDEX('FR Y-15 Data'!$A$1:$ED$66,MATCH($C35,'FR Y-15 Data'!$C$1:$C$66,0),MATCH(F$4,'FR Y-15 Data'!$A$1:$EE$1,0))/1000</f>
        <v>4472.2439999999997</v>
      </c>
      <c r="G35" s="310">
        <f>INDEX('FR Y-15 Data'!$A$1:$ED$66,MATCH($C35,'FR Y-15 Data'!$C$1:$C$66,0),MATCH(G$4,'FR Y-15 Data'!$A$1:$EE$1,0))/1000</f>
        <v>9665.7260000000006</v>
      </c>
      <c r="H35" s="308">
        <f>INDEX('FR Y-15 Data'!$A$1:$ED$66,MATCH($C35,'FR Y-15 Data'!$C$1:$C$66,0),MATCH(H$4,'FR Y-15 Data'!$A$1:$EE$1,0))/1000</f>
        <v>2417350.4539999999</v>
      </c>
      <c r="I35" s="309">
        <f>INDEX('FR Y-15 Data'!$A$1:$ED$66,MATCH($C35,'FR Y-15 Data'!$C$1:$C$66,0),MATCH(I$4,'FR Y-15 Data'!$A$1:$EE$1,0))/1000</f>
        <v>9512.5759999999991</v>
      </c>
      <c r="J35" s="310">
        <f>INDEX('FR Y-15 Data'!$A$1:$ED$66,MATCH($C35,'FR Y-15 Data'!$C$1:$C$66,0),MATCH(J$4,'FR Y-15 Data'!$A$1:$EE$1,0))/1000</f>
        <v>0</v>
      </c>
      <c r="K35" s="308">
        <f>INDEX('FR Y-15 Data'!$A$1:$ED$66,MATCH($C35,'FR Y-15 Data'!$C$1:$C$66,0),MATCH(K$4,'FR Y-15 Data'!$A$1:$EE$1,0))/1000</f>
        <v>234593.80900000001</v>
      </c>
      <c r="L35" s="309">
        <f>INDEX('FR Y-15 Data'!$A$1:$ED$66,MATCH($C35,'FR Y-15 Data'!$C$1:$C$66,0),MATCH(L$4,'FR Y-15 Data'!$A$1:$EE$1,0))/1000</f>
        <v>39308.286</v>
      </c>
      <c r="M35" s="310">
        <f>INDEX('FR Y-15 Data'!$A$1:$ED$66,MATCH($C35,'FR Y-15 Data'!$C$1:$C$66,0),MATCH(M$4,'FR Y-15 Data'!$A$1:$EE$1,0))/1000</f>
        <v>1498.489</v>
      </c>
      <c r="N35" s="308">
        <f>INDEX('FR Y-15 Data'!$A$1:$ED$66,MATCH($C35,'FR Y-15 Data'!$C$1:$C$66,0),MATCH(N$4,'FR Y-15 Data'!$A$1:$EE$1,0))/1000</f>
        <v>28605</v>
      </c>
      <c r="O35" s="310">
        <f>INDEX('FR Y-15 Data'!$A$1:$ED$66,MATCH($C35,'FR Y-15 Data'!$C$1:$C$66,0),MATCH(O$4,'FR Y-15 Data'!$A$1:$EE$1,0))/1000</f>
        <v>1806</v>
      </c>
    </row>
    <row r="36" spans="2:15">
      <c r="B36" s="231" t="str">
        <f>INDEX('FR Y-15 Data'!$A$1:$ED$66,MATCH($C36,'FR Y-15 Data'!$C$1:$C$66,0),MATCH($B$4,'FR Y-15 Data'!$A$1:$EE$1,0))</f>
        <v xml:space="preserve">U.S. BANCORP                                                                                                            </v>
      </c>
      <c r="C36" s="4">
        <f>INDEX('FR Y-15 Data'!$A$1:$ED$66,ROWS($C$5:C36)+1,MATCH($C$4,'FR Y-15 Data'!$A$1:$EE$1,0))</f>
        <v>1119794</v>
      </c>
      <c r="D36" s="42">
        <f>INDEX('FR Y-15 Data'!$A$1:$ED$66,MATCH($C36,'FR Y-15 Data'!$C$1:$C$66,0),MATCH(D$4,'FR Y-15 Data'!$A$1:$EE$1,0))/1000</f>
        <v>538755.69999999995</v>
      </c>
      <c r="E36" s="308">
        <f>INDEX('FR Y-15 Data'!$A$1:$ED$66,MATCH($C36,'FR Y-15 Data'!$C$1:$C$66,0),MATCH(E$4,'FR Y-15 Data'!$A$1:$EE$1,0))/1000</f>
        <v>15130</v>
      </c>
      <c r="F36" s="309">
        <f>INDEX('FR Y-15 Data'!$A$1:$ED$66,MATCH($C36,'FR Y-15 Data'!$C$1:$C$66,0),MATCH(F$4,'FR Y-15 Data'!$A$1:$EE$1,0))/1000</f>
        <v>13976</v>
      </c>
      <c r="G36" s="310">
        <f>INDEX('FR Y-15 Data'!$A$1:$ED$66,MATCH($C36,'FR Y-15 Data'!$C$1:$C$66,0),MATCH(G$4,'FR Y-15 Data'!$A$1:$EE$1,0))/1000</f>
        <v>174515</v>
      </c>
      <c r="H36" s="308">
        <f>INDEX('FR Y-15 Data'!$A$1:$ED$66,MATCH($C36,'FR Y-15 Data'!$C$1:$C$66,0),MATCH(H$4,'FR Y-15 Data'!$A$1:$EE$1,0))/1000</f>
        <v>7772596</v>
      </c>
      <c r="I36" s="309">
        <f>INDEX('FR Y-15 Data'!$A$1:$ED$66,MATCH($C36,'FR Y-15 Data'!$C$1:$C$66,0),MATCH(I$4,'FR Y-15 Data'!$A$1:$EE$1,0))/1000</f>
        <v>1102084</v>
      </c>
      <c r="J36" s="310">
        <f>INDEX('FR Y-15 Data'!$A$1:$ED$66,MATCH($C36,'FR Y-15 Data'!$C$1:$C$66,0),MATCH(J$4,'FR Y-15 Data'!$A$1:$EE$1,0))/1000</f>
        <v>27517</v>
      </c>
      <c r="K36" s="308">
        <f>INDEX('FR Y-15 Data'!$A$1:$ED$66,MATCH($C36,'FR Y-15 Data'!$C$1:$C$66,0),MATCH(K$4,'FR Y-15 Data'!$A$1:$EE$1,0))/1000</f>
        <v>136400</v>
      </c>
      <c r="L36" s="309">
        <f>INDEX('FR Y-15 Data'!$A$1:$ED$66,MATCH($C36,'FR Y-15 Data'!$C$1:$C$66,0),MATCH(L$4,'FR Y-15 Data'!$A$1:$EE$1,0))/1000</f>
        <v>13830</v>
      </c>
      <c r="M36" s="310">
        <f>INDEX('FR Y-15 Data'!$A$1:$ED$66,MATCH($C36,'FR Y-15 Data'!$C$1:$C$66,0),MATCH(M$4,'FR Y-15 Data'!$A$1:$EE$1,0))/1000</f>
        <v>3754</v>
      </c>
      <c r="N36" s="308">
        <f>INDEX('FR Y-15 Data'!$A$1:$ED$66,MATCH($C36,'FR Y-15 Data'!$C$1:$C$66,0),MATCH(N$4,'FR Y-15 Data'!$A$1:$EE$1,0))/1000</f>
        <v>3192</v>
      </c>
      <c r="O36" s="310">
        <f>INDEX('FR Y-15 Data'!$A$1:$ED$66,MATCH($C36,'FR Y-15 Data'!$C$1:$C$66,0),MATCH(O$4,'FR Y-15 Data'!$A$1:$EE$1,0))/1000</f>
        <v>32731</v>
      </c>
    </row>
    <row r="37" spans="2:15">
      <c r="B37" s="231" t="str">
        <f>INDEX('FR Y-15 Data'!$A$1:$ED$66,MATCH($C37,'FR Y-15 Data'!$C$1:$C$66,0),MATCH($B$4,'FR Y-15 Data'!$A$1:$EE$1,0))</f>
        <v xml:space="preserve">WELLS FARGO &amp; COMPANY                                                                                                   </v>
      </c>
      <c r="C37" s="4">
        <f>INDEX('FR Y-15 Data'!$A$1:$ED$66,ROWS($C$5:C37)+1,MATCH($C$4,'FR Y-15 Data'!$A$1:$EE$1,0))</f>
        <v>1120754</v>
      </c>
      <c r="D37" s="42">
        <f>INDEX('FR Y-15 Data'!$A$1:$ED$66,MATCH($C37,'FR Y-15 Data'!$C$1:$C$66,0),MATCH(D$4,'FR Y-15 Data'!$A$1:$EE$1,0))/1000</f>
        <v>2191752.2999999998</v>
      </c>
      <c r="E37" s="308">
        <f>INDEX('FR Y-15 Data'!$A$1:$ED$66,MATCH($C37,'FR Y-15 Data'!$C$1:$C$66,0),MATCH(E$4,'FR Y-15 Data'!$A$1:$EE$1,0))/1000</f>
        <v>167007</v>
      </c>
      <c r="F37" s="309">
        <f>INDEX('FR Y-15 Data'!$A$1:$ED$66,MATCH($C37,'FR Y-15 Data'!$C$1:$C$66,0),MATCH(F$4,'FR Y-15 Data'!$A$1:$EE$1,0))/1000</f>
        <v>170841</v>
      </c>
      <c r="G37" s="310">
        <f>INDEX('FR Y-15 Data'!$A$1:$ED$66,MATCH($C37,'FR Y-15 Data'!$C$1:$C$66,0),MATCH(G$4,'FR Y-15 Data'!$A$1:$EE$1,0))/1000</f>
        <v>590283</v>
      </c>
      <c r="H37" s="308">
        <f>INDEX('FR Y-15 Data'!$A$1:$ED$66,MATCH($C37,'FR Y-15 Data'!$C$1:$C$66,0),MATCH(H$4,'FR Y-15 Data'!$A$1:$EE$1,0))/1000</f>
        <v>34295107</v>
      </c>
      <c r="I37" s="309">
        <f>INDEX('FR Y-15 Data'!$A$1:$ED$66,MATCH($C37,'FR Y-15 Data'!$C$1:$C$66,0),MATCH(I$4,'FR Y-15 Data'!$A$1:$EE$1,0))/1000</f>
        <v>2500000</v>
      </c>
      <c r="J37" s="310">
        <f>INDEX('FR Y-15 Data'!$A$1:$ED$66,MATCH($C37,'FR Y-15 Data'!$C$1:$C$66,0),MATCH(J$4,'FR Y-15 Data'!$A$1:$EE$1,0))/1000</f>
        <v>167681</v>
      </c>
      <c r="K37" s="308">
        <f>INDEX('FR Y-15 Data'!$A$1:$ED$66,MATCH($C37,'FR Y-15 Data'!$C$1:$C$66,0),MATCH(K$4,'FR Y-15 Data'!$A$1:$EE$1,0))/1000</f>
        <v>5643148</v>
      </c>
      <c r="L37" s="309">
        <f>INDEX('FR Y-15 Data'!$A$1:$ED$66,MATCH($C37,'FR Y-15 Data'!$C$1:$C$66,0),MATCH(L$4,'FR Y-15 Data'!$A$1:$EE$1,0))/1000</f>
        <v>135221</v>
      </c>
      <c r="M37" s="310">
        <f>INDEX('FR Y-15 Data'!$A$1:$ED$66,MATCH($C37,'FR Y-15 Data'!$C$1:$C$66,0),MATCH(M$4,'FR Y-15 Data'!$A$1:$EE$1,0))/1000</f>
        <v>32324</v>
      </c>
      <c r="N37" s="308">
        <f>INDEX('FR Y-15 Data'!$A$1:$ED$66,MATCH($C37,'FR Y-15 Data'!$C$1:$C$66,0),MATCH(N$4,'FR Y-15 Data'!$A$1:$EE$1,0))/1000</f>
        <v>100542</v>
      </c>
      <c r="O37" s="310">
        <f>INDEX('FR Y-15 Data'!$A$1:$ED$66,MATCH($C37,'FR Y-15 Data'!$C$1:$C$66,0),MATCH(O$4,'FR Y-15 Data'!$A$1:$EE$1,0))/1000</f>
        <v>147496</v>
      </c>
    </row>
    <row r="38" spans="2:15">
      <c r="B38" s="232" t="str">
        <f>INDEX('FR Y-15 Data'!$A$1:$ED$66,MATCH($C38,'FR Y-15 Data'!$C$1:$C$66,0),MATCH($B$4,'FR Y-15 Data'!$A$1:$EE$1,0))</f>
        <v xml:space="preserve">ZIONS BANCORPORATION                                                                                                    </v>
      </c>
      <c r="C38" s="188">
        <f>INDEX('FR Y-15 Data'!$A$1:$ED$66,ROWS($C$5:C38)+1,MATCH($C$4,'FR Y-15 Data'!$A$1:$EE$1,0))</f>
        <v>1027004</v>
      </c>
      <c r="D38" s="189">
        <f>INDEX('FR Y-15 Data'!$A$1:$ED$66,MATCH($C38,'FR Y-15 Data'!$C$1:$C$66,0),MATCH(D$4,'FR Y-15 Data'!$A$1:$EE$1,0))/1000</f>
        <v>74391.153000000006</v>
      </c>
      <c r="E38" s="311">
        <f>INDEX('FR Y-15 Data'!$A$1:$ED$66,MATCH($C38,'FR Y-15 Data'!$C$1:$C$66,0),MATCH(E$4,'FR Y-15 Data'!$A$1:$EE$1,0))/1000</f>
        <v>1745.942</v>
      </c>
      <c r="F38" s="312">
        <f>INDEX('FR Y-15 Data'!$A$1:$ED$66,MATCH($C38,'FR Y-15 Data'!$C$1:$C$66,0),MATCH(F$4,'FR Y-15 Data'!$A$1:$EE$1,0))/1000</f>
        <v>2713.3409999999999</v>
      </c>
      <c r="G38" s="313">
        <f>INDEX('FR Y-15 Data'!$A$1:$ED$66,MATCH($C38,'FR Y-15 Data'!$C$1:$C$66,0),MATCH(G$4,'FR Y-15 Data'!$A$1:$EE$1,0))/1000</f>
        <v>9868.09</v>
      </c>
      <c r="H38" s="311">
        <f>INDEX('FR Y-15 Data'!$A$1:$ED$66,MATCH($C38,'FR Y-15 Data'!$C$1:$C$66,0),MATCH(H$4,'FR Y-15 Data'!$A$1:$EE$1,0))/1000</f>
        <v>417119.391</v>
      </c>
      <c r="I38" s="312">
        <f>INDEX('FR Y-15 Data'!$A$1:$ED$66,MATCH($C38,'FR Y-15 Data'!$C$1:$C$66,0),MATCH(I$4,'FR Y-15 Data'!$A$1:$EE$1,0))/1000</f>
        <v>3580.7449999999999</v>
      </c>
      <c r="J38" s="313">
        <f>INDEX('FR Y-15 Data'!$A$1:$ED$66,MATCH($C38,'FR Y-15 Data'!$C$1:$C$66,0),MATCH(J$4,'FR Y-15 Data'!$A$1:$EE$1,0))/1000</f>
        <v>155.17500000000001</v>
      </c>
      <c r="K38" s="311">
        <f>INDEX('FR Y-15 Data'!$A$1:$ED$66,MATCH($C38,'FR Y-15 Data'!$C$1:$C$66,0),MATCH(K$4,'FR Y-15 Data'!$A$1:$EE$1,0))/1000</f>
        <v>3070.0520000000001</v>
      </c>
      <c r="L38" s="312">
        <f>INDEX('FR Y-15 Data'!$A$1:$ED$66,MATCH($C38,'FR Y-15 Data'!$C$1:$C$66,0),MATCH(L$4,'FR Y-15 Data'!$A$1:$EE$1,0))/1000</f>
        <v>1640.664</v>
      </c>
      <c r="M38" s="313">
        <f>INDEX('FR Y-15 Data'!$A$1:$ED$66,MATCH($C38,'FR Y-15 Data'!$C$1:$C$66,0),MATCH(M$4,'FR Y-15 Data'!$A$1:$EE$1,0))/1000</f>
        <v>514.04899999999998</v>
      </c>
      <c r="N38" s="311">
        <f>INDEX('FR Y-15 Data'!$A$1:$ED$66,MATCH($C38,'FR Y-15 Data'!$C$1:$C$66,0),MATCH(N$4,'FR Y-15 Data'!$A$1:$EE$1,0))/1000</f>
        <v>95.17</v>
      </c>
      <c r="O38" s="313">
        <f>INDEX('FR Y-15 Data'!$A$1:$ED$66,MATCH($C38,'FR Y-15 Data'!$C$1:$C$66,0),MATCH(O$4,'FR Y-15 Data'!$A$1:$EE$1,0))/1000</f>
        <v>629.23</v>
      </c>
    </row>
    <row r="39" spans="2:15">
      <c r="B39" s="363" t="s">
        <v>623</v>
      </c>
    </row>
    <row r="40" spans="2:15">
      <c r="D40" s="37"/>
      <c r="E40" s="37"/>
      <c r="F40" s="37"/>
      <c r="G40" s="37"/>
      <c r="H40" s="37"/>
    </row>
  </sheetData>
  <sheetProtection sheet="1" objects="1" scenarios="1"/>
  <sortState ref="B7:P39">
    <sortCondition ref="B7"/>
  </sortState>
  <mergeCells count="4">
    <mergeCell ref="E3:G3"/>
    <mergeCell ref="H3:J3"/>
    <mergeCell ref="K3:M3"/>
    <mergeCell ref="N3:O3"/>
  </mergeCells>
  <printOptions horizontalCentered="1"/>
  <pageMargins left="0.7" right="0.7" top="0.75" bottom="0.75" header="0.3" footer="0.3"/>
  <pageSetup scale="50" orientation="landscape" r:id="rId1"/>
  <headerFooter scaleWithDoc="0">
    <oddFooter>&amp;L&amp;10Data Source: FR Y-15&amp;C&amp;10Page &amp;P of &amp;N&amp;R&amp;10As-of Date: December 31, 2014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 tint="0.79998168889431442"/>
  </sheetPr>
  <dimension ref="A1:U272"/>
  <sheetViews>
    <sheetView showGridLines="0" zoomScale="85" zoomScaleNormal="85" zoomScaleSheetLayoutView="87" workbookViewId="0">
      <pane ySplit="3" topLeftCell="A4" activePane="bottomLeft" state="frozen"/>
      <selection pane="bottomLeft" activeCell="G3" sqref="G3"/>
    </sheetView>
  </sheetViews>
  <sheetFormatPr defaultColWidth="11.453125" defaultRowHeight="15" customHeight="1"/>
  <cols>
    <col min="1" max="1" width="5.7265625" style="8" customWidth="1"/>
    <col min="2" max="2" width="5.7265625" style="30" customWidth="1"/>
    <col min="3" max="3" width="50.7265625" style="31" customWidth="1"/>
    <col min="4" max="4" width="10.7265625" style="31" customWidth="1"/>
    <col min="5" max="5" width="25.7265625" style="31" customWidth="1"/>
    <col min="6" max="6" width="5.7265625" style="31" customWidth="1"/>
    <col min="7" max="7" width="27.26953125" style="31" customWidth="1"/>
    <col min="8" max="8" width="10.54296875" style="187" customWidth="1"/>
    <col min="9" max="9" width="17" style="31" hidden="1" customWidth="1"/>
    <col min="10" max="10" width="4.7265625" style="8" hidden="1" customWidth="1"/>
    <col min="11" max="11" width="15.26953125" style="32" hidden="1" customWidth="1"/>
    <col min="12" max="12" width="45.7265625" style="31" hidden="1" customWidth="1"/>
    <col min="13" max="13" width="4.7265625" style="8" hidden="1" customWidth="1"/>
    <col min="14" max="14" width="25.7265625" style="31" hidden="1" customWidth="1"/>
    <col min="15" max="15" width="5.7265625" style="32" customWidth="1"/>
    <col min="16" max="16" width="5.7265625" hidden="1" customWidth="1"/>
    <col min="17" max="19" width="10.7265625" style="8" hidden="1" customWidth="1"/>
    <col min="20" max="20" width="5.7265625" style="8" customWidth="1"/>
    <col min="21" max="16384" width="11.453125" style="8"/>
  </cols>
  <sheetData>
    <row r="1" spans="1:20" ht="15" customHeight="1">
      <c r="A1" s="6"/>
      <c r="B1" s="67"/>
      <c r="C1" s="68"/>
      <c r="D1" s="68"/>
      <c r="E1" s="68"/>
      <c r="F1" s="68"/>
      <c r="G1" s="68"/>
      <c r="H1" s="69"/>
      <c r="I1" s="68"/>
      <c r="J1" s="6"/>
      <c r="K1" s="7"/>
      <c r="L1" s="68"/>
      <c r="M1" s="6"/>
      <c r="N1" s="68"/>
      <c r="O1" s="7"/>
      <c r="P1" s="233"/>
      <c r="Q1" s="6"/>
      <c r="R1" s="6"/>
      <c r="S1" s="6"/>
      <c r="T1" s="6"/>
    </row>
    <row r="2" spans="1:20" ht="37.5" customHeight="1">
      <c r="A2" s="6"/>
      <c r="B2" s="68"/>
      <c r="C2" s="382" t="s">
        <v>339</v>
      </c>
      <c r="D2" s="382"/>
      <c r="E2" s="382"/>
      <c r="F2" s="68"/>
      <c r="G2" s="70" t="s">
        <v>340</v>
      </c>
      <c r="H2" s="69"/>
      <c r="I2" s="71"/>
      <c r="J2" s="6"/>
      <c r="K2" s="7"/>
      <c r="L2" s="71"/>
      <c r="M2" s="6"/>
      <c r="N2" s="71"/>
      <c r="O2" s="7"/>
      <c r="P2" s="233"/>
      <c r="Q2" s="7"/>
      <c r="R2" s="6"/>
      <c r="S2" s="6"/>
      <c r="T2" s="6"/>
    </row>
    <row r="3" spans="1:20" ht="39" customHeight="1">
      <c r="A3" s="6"/>
      <c r="B3" s="72" t="s">
        <v>18</v>
      </c>
      <c r="C3" s="73"/>
      <c r="D3" s="73"/>
      <c r="E3" s="223" t="s">
        <v>576</v>
      </c>
      <c r="F3" s="224" t="s">
        <v>573</v>
      </c>
      <c r="G3" s="282" t="s">
        <v>570</v>
      </c>
      <c r="H3" s="74"/>
      <c r="I3" s="73"/>
      <c r="J3" s="73"/>
      <c r="K3" s="73"/>
      <c r="L3" s="73"/>
      <c r="M3" s="73"/>
      <c r="N3" s="73"/>
      <c r="O3" s="75"/>
      <c r="P3" s="233"/>
      <c r="Q3" s="377" t="s">
        <v>569</v>
      </c>
      <c r="R3" s="378"/>
      <c r="S3" s="379"/>
      <c r="T3" s="6"/>
    </row>
    <row r="4" spans="1:20" ht="20.149999999999999" customHeight="1">
      <c r="A4" s="6"/>
      <c r="B4" s="76"/>
      <c r="C4" s="9"/>
      <c r="D4" s="9"/>
      <c r="E4" s="7"/>
      <c r="F4" s="7"/>
      <c r="G4" s="7"/>
      <c r="H4" s="10"/>
      <c r="I4" s="7"/>
      <c r="J4" s="7"/>
      <c r="K4" s="7"/>
      <c r="L4" s="7"/>
      <c r="M4" s="7"/>
      <c r="N4" s="7"/>
      <c r="O4" s="77"/>
      <c r="P4" s="233"/>
      <c r="Q4" s="202"/>
      <c r="R4" s="33"/>
      <c r="S4" s="234"/>
      <c r="T4" s="6"/>
    </row>
    <row r="5" spans="1:20" ht="15" customHeight="1">
      <c r="A5" s="6"/>
      <c r="B5" s="76"/>
      <c r="C5" s="78" t="s">
        <v>341</v>
      </c>
      <c r="D5" s="79"/>
      <c r="E5" s="80"/>
      <c r="F5" s="81" t="s">
        <v>342</v>
      </c>
      <c r="G5" s="11" t="s">
        <v>26</v>
      </c>
      <c r="H5" s="12"/>
      <c r="I5" s="11" t="s">
        <v>27</v>
      </c>
      <c r="J5" s="7"/>
      <c r="K5" s="7"/>
      <c r="L5" s="7"/>
      <c r="M5" s="7"/>
      <c r="N5" s="7"/>
      <c r="O5" s="77"/>
      <c r="P5" s="233"/>
      <c r="Q5" s="202"/>
      <c r="R5" s="33"/>
      <c r="S5" s="234"/>
      <c r="T5" s="6"/>
    </row>
    <row r="6" spans="1:20" ht="15" customHeight="1">
      <c r="A6" s="6"/>
      <c r="B6" s="76"/>
      <c r="C6" s="82" t="s">
        <v>343</v>
      </c>
      <c r="D6" s="83"/>
      <c r="E6" s="84"/>
      <c r="F6" s="85"/>
      <c r="G6" s="86"/>
      <c r="H6" s="12"/>
      <c r="I6" s="87"/>
      <c r="J6" s="7"/>
      <c r="K6" s="7"/>
      <c r="L6" s="7"/>
      <c r="M6" s="7"/>
      <c r="N6" s="7"/>
      <c r="O6" s="77"/>
      <c r="P6" s="233"/>
      <c r="Q6" s="202"/>
      <c r="R6" s="33"/>
      <c r="S6" s="234"/>
      <c r="T6" s="6"/>
    </row>
    <row r="7" spans="1:20" ht="15" customHeight="1">
      <c r="A7" s="6"/>
      <c r="B7" s="76"/>
      <c r="C7" s="88" t="s">
        <v>28</v>
      </c>
      <c r="D7" s="89"/>
      <c r="E7" s="84"/>
      <c r="F7" s="90">
        <v>1001</v>
      </c>
      <c r="G7" s="235" t="s">
        <v>229</v>
      </c>
      <c r="H7" s="12" t="s">
        <v>29</v>
      </c>
      <c r="I7" s="91" t="str">
        <f>IF(OR(G7="&lt;select&gt;",ISBLANK(G7)),"Please select a code"," ")</f>
        <v xml:space="preserve"> </v>
      </c>
      <c r="J7" s="7"/>
      <c r="K7" s="7"/>
      <c r="L7" s="7"/>
      <c r="M7" s="7"/>
      <c r="N7" s="7"/>
      <c r="O7" s="77"/>
      <c r="P7" s="233"/>
      <c r="Q7" s="202"/>
      <c r="R7" s="33"/>
      <c r="S7" s="234"/>
      <c r="T7" s="6"/>
    </row>
    <row r="8" spans="1:20" ht="15" customHeight="1">
      <c r="A8" s="6"/>
      <c r="B8" s="76"/>
      <c r="C8" s="88" t="s">
        <v>30</v>
      </c>
      <c r="D8" s="89"/>
      <c r="E8" s="84"/>
      <c r="F8" s="90">
        <v>1002</v>
      </c>
      <c r="G8" s="190" t="str">
        <f>G3</f>
        <v>----</v>
      </c>
      <c r="H8" s="12" t="s">
        <v>31</v>
      </c>
      <c r="I8" s="91" t="str">
        <f>IF(ISNUMBER(G8),"No numbers please",IF(ISTEXT(G8)," ","Please enter a name"))</f>
        <v xml:space="preserve"> </v>
      </c>
      <c r="J8" s="7"/>
      <c r="K8" s="7"/>
      <c r="L8" s="7"/>
      <c r="M8" s="7"/>
      <c r="N8" s="7"/>
      <c r="O8" s="77"/>
      <c r="P8" s="233"/>
      <c r="Q8" s="202"/>
      <c r="R8" s="33"/>
      <c r="S8" s="234"/>
      <c r="T8" s="6"/>
    </row>
    <row r="9" spans="1:20" ht="15" customHeight="1">
      <c r="A9" s="6"/>
      <c r="B9" s="76"/>
      <c r="C9" s="88" t="s">
        <v>344</v>
      </c>
      <c r="D9" s="89"/>
      <c r="E9" s="84"/>
      <c r="F9" s="90">
        <v>1003</v>
      </c>
      <c r="G9" s="191">
        <v>42004</v>
      </c>
      <c r="H9" s="12" t="s">
        <v>32</v>
      </c>
      <c r="I9" s="91" t="str">
        <f>IF(OR(G9="&lt;select&gt;",ISBLANK(G9)),"Please select a date"," ")</f>
        <v xml:space="preserve"> </v>
      </c>
      <c r="J9" s="7"/>
      <c r="K9" s="7"/>
      <c r="L9" s="7"/>
      <c r="M9" s="7"/>
      <c r="N9" s="7"/>
      <c r="O9" s="77"/>
      <c r="P9" s="233"/>
      <c r="Q9" s="202"/>
      <c r="R9" s="33"/>
      <c r="S9" s="234"/>
      <c r="T9" s="6"/>
    </row>
    <row r="10" spans="1:20" ht="15" customHeight="1">
      <c r="A10" s="6"/>
      <c r="B10" s="76"/>
      <c r="C10" s="88" t="s">
        <v>345</v>
      </c>
      <c r="D10" s="89"/>
      <c r="E10" s="84"/>
      <c r="F10" s="90">
        <v>1004</v>
      </c>
      <c r="G10" s="192" t="s">
        <v>156</v>
      </c>
      <c r="H10" s="12" t="s">
        <v>346</v>
      </c>
      <c r="I10" s="91" t="str">
        <f>IF(OR(G10="&lt;select&gt;",ISBLANK(G10)),"Please select a value"," ")</f>
        <v xml:space="preserve"> </v>
      </c>
      <c r="J10" s="7"/>
      <c r="K10" s="7"/>
      <c r="L10" s="7"/>
      <c r="M10" s="7"/>
      <c r="N10" s="7"/>
      <c r="O10" s="77"/>
      <c r="P10" s="233"/>
      <c r="Q10" s="202"/>
      <c r="R10" s="33"/>
      <c r="S10" s="234"/>
      <c r="T10" s="6"/>
    </row>
    <row r="11" spans="1:20" ht="15" customHeight="1">
      <c r="A11" s="6"/>
      <c r="B11" s="76"/>
      <c r="C11" s="92" t="s">
        <v>347</v>
      </c>
      <c r="D11" s="93"/>
      <c r="E11" s="94"/>
      <c r="F11" s="90">
        <v>1005</v>
      </c>
      <c r="G11" s="215">
        <v>0.82365538299999996</v>
      </c>
      <c r="H11" s="12" t="s">
        <v>348</v>
      </c>
      <c r="I11" s="95"/>
      <c r="J11" s="7"/>
      <c r="K11" s="7"/>
      <c r="L11" s="7"/>
      <c r="M11" s="7"/>
      <c r="N11" s="7"/>
      <c r="O11" s="77"/>
      <c r="P11" s="233"/>
      <c r="Q11" s="202"/>
      <c r="R11" s="33"/>
      <c r="S11" s="234"/>
      <c r="T11" s="6"/>
    </row>
    <row r="12" spans="1:20" ht="15" customHeight="1">
      <c r="A12" s="6"/>
      <c r="B12" s="76"/>
      <c r="C12" s="92" t="s">
        <v>349</v>
      </c>
      <c r="D12" s="93"/>
      <c r="E12" s="96"/>
      <c r="F12" s="90">
        <v>1006</v>
      </c>
      <c r="G12" s="193">
        <v>42217</v>
      </c>
      <c r="H12" s="12" t="s">
        <v>350</v>
      </c>
      <c r="I12" s="91" t="str">
        <f>IF(ISTEXT(G12),"No text please",IF(ISNUMBER(G12)," ", "Please enter a date"))</f>
        <v xml:space="preserve"> </v>
      </c>
      <c r="J12" s="7"/>
      <c r="K12" s="7"/>
      <c r="L12" s="7"/>
      <c r="M12" s="7"/>
      <c r="N12" s="7"/>
      <c r="O12" s="77"/>
      <c r="P12" s="233"/>
      <c r="Q12" s="202"/>
      <c r="R12" s="33"/>
      <c r="S12" s="234"/>
      <c r="T12" s="6"/>
    </row>
    <row r="13" spans="1:20" ht="15" customHeight="1">
      <c r="A13" s="6"/>
      <c r="B13" s="76"/>
      <c r="C13" s="82" t="s">
        <v>33</v>
      </c>
      <c r="D13" s="83"/>
      <c r="E13" s="84"/>
      <c r="F13" s="85"/>
      <c r="G13" s="86"/>
      <c r="H13" s="12"/>
      <c r="I13" s="95"/>
      <c r="J13" s="7"/>
      <c r="K13" s="7"/>
      <c r="L13" s="7"/>
      <c r="M13" s="7"/>
      <c r="N13" s="7"/>
      <c r="O13" s="77"/>
      <c r="P13" s="233"/>
      <c r="Q13" s="202"/>
      <c r="R13" s="228"/>
      <c r="S13" s="236"/>
      <c r="T13" s="6"/>
    </row>
    <row r="14" spans="1:20" ht="15" customHeight="1">
      <c r="A14" s="6"/>
      <c r="B14" s="76"/>
      <c r="C14" s="88" t="s">
        <v>351</v>
      </c>
      <c r="D14" s="89"/>
      <c r="E14" s="84"/>
      <c r="F14" s="90">
        <v>1007</v>
      </c>
      <c r="G14" s="194">
        <v>1000</v>
      </c>
      <c r="H14" s="12" t="s">
        <v>34</v>
      </c>
      <c r="I14" s="91" t="str">
        <f>IF(OR(G14="&lt;select&gt;",ISBLANK(G14)),"Please select a value"," ")</f>
        <v xml:space="preserve"> </v>
      </c>
      <c r="J14" s="7"/>
      <c r="K14" s="7"/>
      <c r="L14" s="7"/>
      <c r="M14" s="7"/>
      <c r="N14" s="7"/>
      <c r="O14" s="77"/>
      <c r="P14" s="233"/>
      <c r="Q14" s="202"/>
      <c r="R14" s="228"/>
      <c r="S14" s="236"/>
      <c r="T14" s="6"/>
    </row>
    <row r="15" spans="1:20" ht="15" customHeight="1">
      <c r="A15" s="6"/>
      <c r="B15" s="76"/>
      <c r="C15" s="92" t="s">
        <v>352</v>
      </c>
      <c r="D15" s="93"/>
      <c r="E15" s="96"/>
      <c r="F15" s="90">
        <v>1008</v>
      </c>
      <c r="G15" s="195" t="s">
        <v>230</v>
      </c>
      <c r="H15" s="12" t="s">
        <v>35</v>
      </c>
      <c r="I15" s="91" t="str">
        <f>IF(OR(G15="&lt;select&gt;",ISBLANK(G15)),"Please select a value"," ")</f>
        <v xml:space="preserve"> </v>
      </c>
      <c r="J15" s="7"/>
      <c r="K15" s="7"/>
      <c r="L15" s="11" t="s">
        <v>36</v>
      </c>
      <c r="M15" s="7"/>
      <c r="N15" s="11" t="s">
        <v>353</v>
      </c>
      <c r="O15" s="77"/>
      <c r="P15" s="233"/>
      <c r="Q15" s="202"/>
      <c r="R15" s="228"/>
      <c r="S15" s="236"/>
      <c r="T15" s="6"/>
    </row>
    <row r="16" spans="1:20" ht="15" customHeight="1">
      <c r="A16" s="6"/>
      <c r="B16" s="76"/>
      <c r="C16" s="92" t="s">
        <v>354</v>
      </c>
      <c r="D16" s="93"/>
      <c r="E16" s="96"/>
      <c r="F16" s="90">
        <v>1009</v>
      </c>
      <c r="G16" s="196">
        <v>42217</v>
      </c>
      <c r="H16" s="12" t="s">
        <v>37</v>
      </c>
      <c r="I16" s="91" t="str">
        <f>IF(ISTEXT(G16),"No text please",IF(ISNUMBER(G16)," ", "Please enter a date"))</f>
        <v xml:space="preserve"> </v>
      </c>
      <c r="J16" s="7"/>
      <c r="K16" s="7"/>
      <c r="L16" s="237"/>
      <c r="M16" s="7"/>
      <c r="N16" s="238"/>
      <c r="O16" s="77"/>
      <c r="P16" s="233"/>
      <c r="Q16" s="202"/>
      <c r="R16" s="228"/>
      <c r="S16" s="236"/>
      <c r="T16" s="6"/>
    </row>
    <row r="17" spans="1:20" ht="15" customHeight="1">
      <c r="A17" s="6"/>
      <c r="B17" s="76"/>
      <c r="C17" s="92" t="s">
        <v>355</v>
      </c>
      <c r="D17" s="93"/>
      <c r="E17" s="96"/>
      <c r="F17" s="90">
        <v>1010</v>
      </c>
      <c r="G17" s="195" t="s">
        <v>356</v>
      </c>
      <c r="H17" s="12" t="s">
        <v>38</v>
      </c>
      <c r="I17" s="91" t="str">
        <f>IF(ISNUMBER(G17),"No numbers please",IF(ISTEXT(G17)," ","Please enter a value"))</f>
        <v xml:space="preserve"> </v>
      </c>
      <c r="J17" s="7"/>
      <c r="K17" s="7"/>
      <c r="L17" s="237"/>
      <c r="M17" s="7"/>
      <c r="N17" s="238"/>
      <c r="O17" s="77"/>
      <c r="P17" s="233"/>
      <c r="Q17" s="202"/>
      <c r="R17" s="228"/>
      <c r="S17" s="236"/>
      <c r="T17" s="6"/>
    </row>
    <row r="18" spans="1:20" ht="15" customHeight="1">
      <c r="A18" s="6"/>
      <c r="B18" s="76"/>
      <c r="C18" s="92" t="s">
        <v>357</v>
      </c>
      <c r="D18" s="93"/>
      <c r="E18" s="96"/>
      <c r="F18" s="90">
        <v>1011</v>
      </c>
      <c r="G18" s="197" t="s">
        <v>358</v>
      </c>
      <c r="H18" s="12" t="s">
        <v>39</v>
      </c>
      <c r="I18" s="91" t="str">
        <f>IF(ISNUMBER(G18),"No numbers please",IF(ISTEXT(G18)," ","Please enter a value"))</f>
        <v xml:space="preserve"> </v>
      </c>
      <c r="J18" s="7"/>
      <c r="K18" s="7"/>
      <c r="L18" s="237"/>
      <c r="M18" s="7"/>
      <c r="N18" s="238"/>
      <c r="O18" s="77"/>
      <c r="P18" s="233"/>
      <c r="Q18" s="202"/>
      <c r="R18" s="228"/>
      <c r="S18" s="236"/>
      <c r="T18" s="6"/>
    </row>
    <row r="19" spans="1:20" ht="20.149999999999999" customHeight="1">
      <c r="A19" s="6"/>
      <c r="B19" s="97"/>
      <c r="C19" s="98"/>
      <c r="D19" s="98"/>
      <c r="E19" s="99"/>
      <c r="F19" s="100"/>
      <c r="G19" s="99"/>
      <c r="H19" s="101"/>
      <c r="I19" s="99"/>
      <c r="J19" s="99"/>
      <c r="K19" s="99"/>
      <c r="L19" s="99"/>
      <c r="M19" s="99"/>
      <c r="N19" s="99"/>
      <c r="O19" s="102"/>
      <c r="P19" s="233"/>
      <c r="Q19" s="202"/>
      <c r="R19" s="228"/>
      <c r="S19" s="236"/>
      <c r="T19" s="6"/>
    </row>
    <row r="20" spans="1:20" ht="20.149999999999999" customHeight="1">
      <c r="A20" s="6"/>
      <c r="B20" s="72" t="s">
        <v>40</v>
      </c>
      <c r="C20" s="73"/>
      <c r="D20" s="73"/>
      <c r="E20" s="73"/>
      <c r="F20" s="73"/>
      <c r="G20" s="73"/>
      <c r="H20" s="74"/>
      <c r="I20" s="73"/>
      <c r="J20" s="73"/>
      <c r="K20" s="73"/>
      <c r="L20" s="73"/>
      <c r="M20" s="73"/>
      <c r="N20" s="73"/>
      <c r="O20" s="75"/>
      <c r="P20" s="233"/>
      <c r="Q20" s="202"/>
      <c r="R20" s="228"/>
      <c r="S20" s="236"/>
      <c r="T20" s="6"/>
    </row>
    <row r="21" spans="1:20" ht="20.149999999999999" customHeight="1">
      <c r="A21" s="6"/>
      <c r="B21" s="103"/>
      <c r="C21" s="104"/>
      <c r="D21" s="104"/>
      <c r="E21" s="105"/>
      <c r="F21" s="106"/>
      <c r="G21" s="105"/>
      <c r="H21" s="107"/>
      <c r="I21" s="105"/>
      <c r="J21" s="105"/>
      <c r="K21" s="105"/>
      <c r="L21" s="105"/>
      <c r="M21" s="105"/>
      <c r="N21" s="105"/>
      <c r="O21" s="108"/>
      <c r="P21" s="233"/>
      <c r="Q21" s="202"/>
      <c r="R21" s="228"/>
      <c r="S21" s="236"/>
      <c r="T21" s="6"/>
    </row>
    <row r="22" spans="1:20" ht="15" customHeight="1">
      <c r="A22" s="6"/>
      <c r="B22" s="76"/>
      <c r="C22" s="78" t="s">
        <v>359</v>
      </c>
      <c r="D22" s="79"/>
      <c r="E22" s="80"/>
      <c r="F22" s="81" t="s">
        <v>342</v>
      </c>
      <c r="G22" s="222" t="str">
        <f>IF(OR($G$10="&lt;select&gt;",ISBLANK($G$10)),"Amount","Amount in thousand "&amp;$G$10)</f>
        <v>Amount in thousand USD</v>
      </c>
      <c r="H22" s="12"/>
      <c r="I22" s="11" t="s">
        <v>27</v>
      </c>
      <c r="J22" s="7"/>
      <c r="K22" s="11" t="s">
        <v>41</v>
      </c>
      <c r="L22" s="11" t="str">
        <f>L15</f>
        <v>Comments</v>
      </c>
      <c r="M22" s="7"/>
      <c r="N22" s="11" t="str">
        <f>N15</f>
        <v>Supervisor Comments</v>
      </c>
      <c r="O22" s="77"/>
      <c r="P22" s="233"/>
      <c r="Q22" s="202"/>
      <c r="R22" s="228"/>
      <c r="S22" s="236"/>
      <c r="T22" s="6"/>
    </row>
    <row r="23" spans="1:20" ht="15" customHeight="1">
      <c r="A23" s="6"/>
      <c r="B23" s="109"/>
      <c r="C23" s="110" t="s">
        <v>360</v>
      </c>
      <c r="D23" s="111"/>
      <c r="E23" s="84"/>
      <c r="F23" s="112">
        <v>1012</v>
      </c>
      <c r="G23" s="198" t="str">
        <f>IF($G$3="----","--------",INDEX('FR Y-15 Data'!$A$1:$ED$36,MATCH($G$3,'FR Y-15 Data'!$A$1:$A$36,0),MATCH($Q23,'FR Y-15 Data'!$A$1:$EE$1,0))+INDEX('FR Y-15 Data'!$A$1:$ED$36,MATCH($G$3,'FR Y-15 Data'!$A$1:$A$36,0),MATCH($R23,'FR Y-15 Data'!$A$1:$EE$1,0)))</f>
        <v>--------</v>
      </c>
      <c r="H23" s="12" t="s">
        <v>42</v>
      </c>
      <c r="I23" s="91" t="str">
        <f>IF(ISTEXT(G23),"No text please",IF(G23&lt;0,"No negatives please",IF(ISBLANK(G23),"Please enter a value",IF(AND(G23=0,ISERROR(FIND("zero",K23))),"Please confirm zero",IF(AND(G23&lt;&gt;0,K23="Confirmed zero"),"Value not zero"," ")))))</f>
        <v>No text please</v>
      </c>
      <c r="J23" s="7"/>
      <c r="K23" s="239" t="str">
        <f>IF(G23=0,"Confirmed zero","")</f>
        <v/>
      </c>
      <c r="L23" s="237"/>
      <c r="M23" s="7"/>
      <c r="N23" s="238"/>
      <c r="O23" s="77"/>
      <c r="P23" s="233"/>
      <c r="Q23" s="240" t="s">
        <v>295</v>
      </c>
      <c r="R23" s="228" t="s">
        <v>296</v>
      </c>
      <c r="S23" s="236"/>
      <c r="T23" s="6"/>
    </row>
    <row r="24" spans="1:20" ht="15" customHeight="1">
      <c r="A24" s="6"/>
      <c r="B24" s="109"/>
      <c r="C24" s="110" t="s">
        <v>43</v>
      </c>
      <c r="D24" s="111"/>
      <c r="E24" s="84"/>
      <c r="F24" s="90">
        <v>1013</v>
      </c>
      <c r="G24" s="198" t="str">
        <f>INDEX('FR Y-15 Data'!$A$1:$ED$36,MATCH($G$3,'FR Y-15 Data'!$A$1:$A$36,0),MATCH($Q24,'FR Y-15 Data'!$A$1:$EE$1,0))</f>
        <v>--------</v>
      </c>
      <c r="H24" s="12" t="s">
        <v>44</v>
      </c>
      <c r="I24" s="91" t="str">
        <f>IF(ISTEXT(G24),"No text please",IF(G24&lt;0,"No negatives please",IF(ISBLANK(G24),"Please enter a value",IF(AND(G24=0,ISERROR(FIND("zero",K24))),"Please confirm zero",IF(AND(G24&lt;&gt;0,K24="Confirmed zero"),"Value not zero"," ")))))</f>
        <v>No text please</v>
      </c>
      <c r="J24" s="7"/>
      <c r="K24" s="239" t="str">
        <f t="shared" ref="K24:K27" si="0">IF(G24=0,"Confirmed zero","")</f>
        <v/>
      </c>
      <c r="L24" s="237"/>
      <c r="M24" s="7"/>
      <c r="N24" s="238"/>
      <c r="O24" s="77"/>
      <c r="P24" s="233"/>
      <c r="Q24" s="240" t="s">
        <v>231</v>
      </c>
      <c r="R24" s="228"/>
      <c r="S24" s="236"/>
      <c r="T24" s="6"/>
    </row>
    <row r="25" spans="1:20" ht="15" customHeight="1">
      <c r="A25" s="6"/>
      <c r="B25" s="109"/>
      <c r="C25" s="110" t="s">
        <v>45</v>
      </c>
      <c r="D25" s="111"/>
      <c r="E25" s="113"/>
      <c r="F25" s="90">
        <v>1014</v>
      </c>
      <c r="G25" s="198" t="str">
        <f>INDEX('FR Y-15 Data'!$A$1:$ED$36,MATCH($G$3,'FR Y-15 Data'!$A$1:$A$36,0),MATCH($Q25,'FR Y-15 Data'!$A$1:$EE$1,0))</f>
        <v>--------</v>
      </c>
      <c r="H25" s="12" t="s">
        <v>46</v>
      </c>
      <c r="I25" s="91" t="str">
        <f>IF(ISTEXT(G25),"No text please",IF(G25&lt;0,"No negatives please",IF(ISBLANK(G25),"Please enter a value",IF(AND(G25=0,ISERROR(FIND("zero",K25))),"Please confirm zero",IF(AND(G25&lt;&gt;0,K25="Confirmed zero"),"Value not zero"," ")))))</f>
        <v>No text please</v>
      </c>
      <c r="J25" s="7"/>
      <c r="K25" s="239" t="str">
        <f t="shared" si="0"/>
        <v/>
      </c>
      <c r="L25" s="237"/>
      <c r="M25" s="7"/>
      <c r="N25" s="238"/>
      <c r="O25" s="77"/>
      <c r="P25" s="233"/>
      <c r="Q25" s="240" t="s">
        <v>232</v>
      </c>
      <c r="R25" s="228"/>
      <c r="S25" s="236"/>
      <c r="T25" s="6"/>
    </row>
    <row r="26" spans="1:20" ht="15" customHeight="1">
      <c r="A26" s="6"/>
      <c r="B26" s="109"/>
      <c r="C26" s="110" t="s">
        <v>47</v>
      </c>
      <c r="D26" s="111"/>
      <c r="E26" s="113"/>
      <c r="F26" s="112">
        <v>1015</v>
      </c>
      <c r="G26" s="198" t="str">
        <f>IF($G$3="----","--------",INDEX('FR Y-15 Data'!$A$1:$ED$36,MATCH($G$3,'FR Y-15 Data'!$A$1:$A$36,0),MATCH($Q26,'FR Y-15 Data'!$A$1:$EE$1,0))-INDEX('FR Y-15 Data'!$A$1:$ED$36,MATCH($G$3,'FR Y-15 Data'!$A$1:$A$36,0),MATCH($R26,'FR Y-15 Data'!$A$1:$EE$1,0))-INDEX('FR Y-15 Data'!$A$1:$ED$36,MATCH($G$3,'FR Y-15 Data'!$A$1:$A$36,0),MATCH($S26,'FR Y-15 Data'!$A$1:$EE$1,0)))</f>
        <v>--------</v>
      </c>
      <c r="H26" s="12" t="s">
        <v>48</v>
      </c>
      <c r="I26" s="91" t="str">
        <f>IF(ISTEXT(G26),"No text please",IF(G26&lt;0,"No negatives please",IF(ISBLANK(G26),"Please enter a value",IF(AND(G26=0,ISERROR(FIND("zero",K26))),"Please confirm zero",IF(AND(G26&lt;&gt;0,K26="Confirmed zero"),"Value not zero"," ")))))</f>
        <v>No text please</v>
      </c>
      <c r="J26" s="7"/>
      <c r="K26" s="239" t="str">
        <f t="shared" si="0"/>
        <v/>
      </c>
      <c r="L26" s="237"/>
      <c r="M26" s="7"/>
      <c r="N26" s="238"/>
      <c r="O26" s="77"/>
      <c r="P26" s="233"/>
      <c r="Q26" s="241" t="s">
        <v>292</v>
      </c>
      <c r="R26" s="228" t="s">
        <v>293</v>
      </c>
      <c r="S26" s="236" t="s">
        <v>295</v>
      </c>
      <c r="T26" s="6"/>
    </row>
    <row r="27" spans="1:20" ht="15" customHeight="1">
      <c r="A27" s="6"/>
      <c r="B27" s="114"/>
      <c r="C27" s="115" t="s">
        <v>49</v>
      </c>
      <c r="D27" s="116"/>
      <c r="E27" s="113"/>
      <c r="F27" s="90">
        <v>1016</v>
      </c>
      <c r="G27" s="198" t="str">
        <f>INDEX('FR Y-15 Data'!$A$1:$ED$36,MATCH($G$3,'FR Y-15 Data'!$A$1:$A$36,0),MATCH($Q27,'FR Y-15 Data'!$A$1:$EE$1,0))</f>
        <v>--------</v>
      </c>
      <c r="H27" s="12" t="s">
        <v>50</v>
      </c>
      <c r="I27" s="91" t="str">
        <f>IF(ISTEXT(G27),"No text please",IF(G27&lt;0,"No negatives please",IF(ISBLANK(G27),"Please enter a value",IF(AND(G27=0,ISERROR(FIND("zero",K27))),"Please confirm zero",IF(AND(G27&lt;&gt;0,K27="Confirmed zero"),"Value not zero"," ")))))</f>
        <v>No text please</v>
      </c>
      <c r="J27" s="7"/>
      <c r="K27" s="239" t="str">
        <f t="shared" si="0"/>
        <v/>
      </c>
      <c r="L27" s="237"/>
      <c r="M27" s="7"/>
      <c r="N27" s="238"/>
      <c r="O27" s="77"/>
      <c r="P27" s="233"/>
      <c r="Q27" s="240" t="s">
        <v>233</v>
      </c>
      <c r="R27" s="228"/>
      <c r="S27" s="236"/>
      <c r="T27" s="6"/>
    </row>
    <row r="28" spans="1:20" ht="15" customHeight="1">
      <c r="A28" s="6"/>
      <c r="B28" s="109"/>
      <c r="C28" s="117" t="s">
        <v>361</v>
      </c>
      <c r="D28" s="118"/>
      <c r="E28" s="113"/>
      <c r="F28" s="90">
        <v>1017</v>
      </c>
      <c r="G28" s="216" t="str">
        <f>IF(COUNTIF(I23:I27,"&lt;&gt; ")=0,SUM(G23,G24,G25,MAX((G26-G27),0)),"")</f>
        <v/>
      </c>
      <c r="H28" s="12" t="s">
        <v>51</v>
      </c>
      <c r="I28" s="86"/>
      <c r="J28" s="7"/>
      <c r="K28" s="86"/>
      <c r="L28" s="86"/>
      <c r="M28" s="7"/>
      <c r="N28" s="86"/>
      <c r="O28" s="77"/>
      <c r="P28" s="233"/>
      <c r="Q28" s="203"/>
      <c r="R28" s="228"/>
      <c r="S28" s="236"/>
      <c r="T28" s="6"/>
    </row>
    <row r="29" spans="1:20" ht="15" customHeight="1">
      <c r="A29" s="6"/>
      <c r="B29" s="109"/>
      <c r="C29" s="110" t="s">
        <v>362</v>
      </c>
      <c r="D29" s="111"/>
      <c r="E29" s="84"/>
      <c r="F29" s="112">
        <v>1018</v>
      </c>
      <c r="G29" s="198" t="str">
        <f>INDEX('FR Y-15 Data'!$A$1:$ED$36,MATCH($G$3,'FR Y-15 Data'!$A$1:$A$36,0),MATCH($Q29,'FR Y-15 Data'!$A$1:$EE$1,0))</f>
        <v>--------</v>
      </c>
      <c r="H29" s="13" t="s">
        <v>52</v>
      </c>
      <c r="I29" s="91" t="str">
        <f>IF(ISTEXT(G29),"No text please",IF(G29&lt;0,"No negatives please",IF(ISBLANK(G29),"Please enter a value",IF(AND(G29=0,ISERROR(FIND("zero",K29))),"Please confirm zero",IF(AND(G29&lt;&gt;0,K29="Confirmed zero"),"Value not zero"," ")))))</f>
        <v>No text please</v>
      </c>
      <c r="J29" s="7"/>
      <c r="K29" s="239" t="str">
        <f t="shared" ref="K29:K35" si="1">IF(G29=0,"Confirmed zero","")</f>
        <v/>
      </c>
      <c r="L29" s="237"/>
      <c r="M29" s="7"/>
      <c r="N29" s="238"/>
      <c r="O29" s="77"/>
      <c r="P29" s="233"/>
      <c r="Q29" s="240" t="s">
        <v>234</v>
      </c>
      <c r="R29" s="228"/>
      <c r="S29" s="236"/>
      <c r="T29" s="6"/>
    </row>
    <row r="30" spans="1:20" ht="15" customHeight="1">
      <c r="A30" s="6"/>
      <c r="B30" s="109"/>
      <c r="C30" s="110" t="s">
        <v>363</v>
      </c>
      <c r="D30" s="111"/>
      <c r="E30" s="84"/>
      <c r="F30" s="90">
        <v>1019</v>
      </c>
      <c r="G30" s="198" t="str">
        <f>INDEX('FR Y-15 Data'!$A$1:$ED$36,MATCH($G$3,'FR Y-15 Data'!$A$1:$A$36,0),MATCH($Q30,'FR Y-15 Data'!$A$1:$EE$1,0))</f>
        <v>--------</v>
      </c>
      <c r="H30" s="13" t="s">
        <v>53</v>
      </c>
      <c r="I30" s="91" t="str">
        <f>IF(ISTEXT(G30),"No text please",IF(G30&lt;0,"No negatives please",IF(ISBLANK(G30),"Please enter a value",IF(AND(G30=0,ISERROR(FIND("zero",K30))),"Please confirm zero",IF(AND(G30&lt;&gt;0,K30="Confirmed zero"),"Value not zero",IF($G$30&lt;SUM($G$31:$G$32),"&lt; 2.g.(1) + 2.g.(2)"," "))))))</f>
        <v>No text please</v>
      </c>
      <c r="J30" s="7"/>
      <c r="K30" s="239" t="str">
        <f t="shared" si="1"/>
        <v/>
      </c>
      <c r="L30" s="237"/>
      <c r="M30" s="7"/>
      <c r="N30" s="238"/>
      <c r="O30" s="77"/>
      <c r="P30" s="233"/>
      <c r="Q30" s="240" t="s">
        <v>235</v>
      </c>
      <c r="R30" s="228"/>
      <c r="S30" s="236"/>
      <c r="T30" s="6"/>
    </row>
    <row r="31" spans="1:20" ht="15" customHeight="1">
      <c r="A31" s="6"/>
      <c r="B31" s="109"/>
      <c r="C31" s="115" t="s">
        <v>54</v>
      </c>
      <c r="D31" s="116"/>
      <c r="E31" s="113"/>
      <c r="F31" s="90">
        <v>1020</v>
      </c>
      <c r="G31" s="198" t="str">
        <f>INDEX('FR Y-15 Data'!$A$1:$ED$36,MATCH($G$3,'FR Y-15 Data'!$A$1:$A$36,0),MATCH($Q31,'FR Y-15 Data'!$A$1:$EE$1,0))</f>
        <v>--------</v>
      </c>
      <c r="H31" s="13" t="s">
        <v>55</v>
      </c>
      <c r="I31" s="91" t="str">
        <f>IF(ISTEXT(G31),"No text please",IF(G31&lt;0,"No negatives please",IF(ISBLANK(G31),"Please enter a value",IF(AND(G31=0,ISERROR(FIND("zero",K31))),"Please confirm zero",IF(AND(G31&lt;&gt;0,K31="Confirmed zero"),"Value not zero",IF($G$30&lt;$G$31,"&gt; 2.g."," "))))))</f>
        <v>No text please</v>
      </c>
      <c r="J31" s="7"/>
      <c r="K31" s="239" t="str">
        <f t="shared" si="1"/>
        <v/>
      </c>
      <c r="L31" s="237"/>
      <c r="M31" s="7"/>
      <c r="N31" s="238"/>
      <c r="O31" s="77"/>
      <c r="P31" s="233"/>
      <c r="Q31" s="240" t="s">
        <v>236</v>
      </c>
      <c r="R31" s="228"/>
      <c r="S31" s="236"/>
      <c r="T31" s="6"/>
    </row>
    <row r="32" spans="1:20" ht="15" customHeight="1">
      <c r="A32" s="6"/>
      <c r="B32" s="109"/>
      <c r="C32" s="115" t="s">
        <v>56</v>
      </c>
      <c r="D32" s="116"/>
      <c r="E32" s="113"/>
      <c r="F32" s="112">
        <v>1021</v>
      </c>
      <c r="G32" s="198" t="str">
        <f>INDEX('FR Y-15 Data'!$A$1:$ED$36,MATCH($G$3,'FR Y-15 Data'!$A$1:$A$36,0),MATCH($Q32,'FR Y-15 Data'!$A$1:$EE$1,0))</f>
        <v>--------</v>
      </c>
      <c r="H32" s="13" t="s">
        <v>57</v>
      </c>
      <c r="I32" s="91" t="str">
        <f>IF(ISTEXT(G32),"No text please",IF(G32&lt;0,"No negatives please",IF(ISBLANK(G32),"Please enter a value",IF(AND(G32=0,ISERROR(FIND("zero",K32))),"Please confirm zero",IF(AND(G32&lt;&gt;0,K32="Confirmed zero"),"Value not zero",IF($G$30&lt;$G$32,"&gt; 2.g."," "))))))</f>
        <v>No text please</v>
      </c>
      <c r="J32" s="7"/>
      <c r="K32" s="239" t="str">
        <f t="shared" si="1"/>
        <v/>
      </c>
      <c r="L32" s="237"/>
      <c r="M32" s="7"/>
      <c r="N32" s="238"/>
      <c r="O32" s="77"/>
      <c r="P32" s="233"/>
      <c r="Q32" s="240" t="s">
        <v>237</v>
      </c>
      <c r="R32" s="228"/>
      <c r="S32" s="236"/>
      <c r="T32" s="6"/>
    </row>
    <row r="33" spans="1:21" ht="15" customHeight="1">
      <c r="A33" s="6"/>
      <c r="B33" s="109"/>
      <c r="C33" s="110" t="s">
        <v>364</v>
      </c>
      <c r="D33" s="111"/>
      <c r="E33" s="113"/>
      <c r="F33" s="90">
        <v>1022</v>
      </c>
      <c r="G33" s="198" t="str">
        <f>INDEX('FR Y-15 Data'!$A$1:$ED$36,MATCH($G$3,'FR Y-15 Data'!$A$1:$A$36,0),MATCH($Q33,'FR Y-15 Data'!$A$1:$EE$1,0))</f>
        <v>--------</v>
      </c>
      <c r="H33" s="13" t="s">
        <v>58</v>
      </c>
      <c r="I33" s="91" t="str">
        <f>IF(ISTEXT(G33),"No text please",IF(G33&lt;0,"No negatives please",IF(ISBLANK(G33),"Please enter a value",IF(AND(G33=0,ISERROR(FIND("zero",K33))),"Please confirm zero",IF(AND(G33&lt;&gt;0,K33="Confirmed zero"),"Value not zero"," ")))))</f>
        <v>No text please</v>
      </c>
      <c r="J33" s="7"/>
      <c r="K33" s="239" t="str">
        <f t="shared" si="1"/>
        <v/>
      </c>
      <c r="L33" s="237"/>
      <c r="M33" s="7"/>
      <c r="N33" s="238"/>
      <c r="O33" s="77"/>
      <c r="P33" s="233"/>
      <c r="Q33" s="240" t="s">
        <v>238</v>
      </c>
      <c r="R33" s="228"/>
      <c r="S33" s="236"/>
      <c r="T33" s="6"/>
    </row>
    <row r="34" spans="1:21" ht="15" customHeight="1">
      <c r="A34" s="6"/>
      <c r="B34" s="109"/>
      <c r="C34" s="110" t="s">
        <v>365</v>
      </c>
      <c r="D34" s="111"/>
      <c r="E34" s="113"/>
      <c r="F34" s="90">
        <v>1023</v>
      </c>
      <c r="G34" s="198" t="str">
        <f>INDEX('FR Y-15 Data'!$A$1:$ED$36,MATCH($G$3,'FR Y-15 Data'!$A$1:$A$36,0),MATCH($Q34,'FR Y-15 Data'!$A$1:$EE$1,0))</f>
        <v>--------</v>
      </c>
      <c r="H34" s="13" t="s">
        <v>59</v>
      </c>
      <c r="I34" s="91" t="str">
        <f>IF(ISTEXT(G34),"No text please",IF(G34&lt;0,"No negatives please",IF(ISBLANK(G34),"Please enter a value",IF(AND(G34=0,ISERROR(FIND("zero",K34))),"Please confirm zero",IF(AND(G34&lt;&gt;0,K34="Confirmed zero"),"Value not zero"," ")))))</f>
        <v>No text please</v>
      </c>
      <c r="J34" s="7"/>
      <c r="K34" s="239" t="str">
        <f t="shared" si="1"/>
        <v/>
      </c>
      <c r="L34" s="237"/>
      <c r="M34" s="7"/>
      <c r="N34" s="238"/>
      <c r="O34" s="77"/>
      <c r="P34" s="233"/>
      <c r="Q34" s="240" t="s">
        <v>239</v>
      </c>
      <c r="R34" s="228"/>
      <c r="S34" s="236"/>
      <c r="T34" s="6"/>
    </row>
    <row r="35" spans="1:21" ht="15" customHeight="1">
      <c r="A35" s="6"/>
      <c r="B35" s="109"/>
      <c r="C35" s="110" t="s">
        <v>366</v>
      </c>
      <c r="D35" s="111"/>
      <c r="E35" s="113"/>
      <c r="F35" s="112">
        <v>1024</v>
      </c>
      <c r="G35" s="198" t="str">
        <f>INDEX('FR Y-15 Data'!$A$1:$ED$36,MATCH($G$3,'FR Y-15 Data'!$A$1:$A$36,0),MATCH($Q35,'FR Y-15 Data'!$A$1:$EE$1,0))</f>
        <v>--------</v>
      </c>
      <c r="H35" s="13" t="s">
        <v>60</v>
      </c>
      <c r="I35" s="91" t="str">
        <f>IF(ISTEXT(G35),"No text please",IF(G35&lt;0,"No negatives please",IF(ISBLANK(G35),"Please enter a value",IF(AND(G35=0,ISERROR(FIND("zero",K35))),"Please confirm zero",IF(AND(G35&lt;&gt;0,K35="Confirmed zero"),"Value not zero"," ")))))</f>
        <v>No text please</v>
      </c>
      <c r="J35" s="7"/>
      <c r="K35" s="239" t="str">
        <f t="shared" si="1"/>
        <v/>
      </c>
      <c r="L35" s="237"/>
      <c r="M35" s="7"/>
      <c r="N35" s="238"/>
      <c r="O35" s="77"/>
      <c r="P35" s="233"/>
      <c r="Q35" s="240" t="s">
        <v>240</v>
      </c>
      <c r="R35" s="228"/>
      <c r="S35" s="236"/>
      <c r="T35" s="6"/>
    </row>
    <row r="36" spans="1:21" ht="15" customHeight="1">
      <c r="A36" s="6"/>
      <c r="B36" s="109"/>
      <c r="C36" s="383" t="s">
        <v>367</v>
      </c>
      <c r="D36" s="384"/>
      <c r="E36" s="385"/>
      <c r="F36" s="85"/>
      <c r="G36" s="217"/>
      <c r="H36" s="13"/>
      <c r="I36" s="86"/>
      <c r="J36" s="7"/>
      <c r="K36" s="86"/>
      <c r="L36" s="86"/>
      <c r="M36" s="7"/>
      <c r="N36" s="86"/>
      <c r="O36" s="77"/>
      <c r="P36" s="233"/>
      <c r="Q36" s="203"/>
      <c r="R36" s="228"/>
      <c r="S36" s="236"/>
      <c r="T36" s="6"/>
    </row>
    <row r="37" spans="1:21" ht="15" customHeight="1">
      <c r="A37" s="6"/>
      <c r="B37" s="109"/>
      <c r="C37" s="383"/>
      <c r="D37" s="384"/>
      <c r="E37" s="385"/>
      <c r="F37" s="119">
        <v>1025</v>
      </c>
      <c r="G37" s="218" t="str">
        <f>IF(COUNTIF(I29:I35,"&lt;&gt; ")=0,SUM(G29,((G31+G32)*0.1),(G30-(G31+G32)),G33,G34,G35,),"")</f>
        <v/>
      </c>
      <c r="H37" s="13" t="s">
        <v>61</v>
      </c>
      <c r="I37" s="86"/>
      <c r="J37" s="7"/>
      <c r="K37" s="86"/>
      <c r="L37" s="86"/>
      <c r="M37" s="7"/>
      <c r="N37" s="86"/>
      <c r="O37" s="77"/>
      <c r="P37" s="233"/>
      <c r="Q37" s="203"/>
      <c r="R37" s="228"/>
      <c r="S37" s="236"/>
      <c r="T37" s="6"/>
    </row>
    <row r="38" spans="1:21" ht="15" customHeight="1">
      <c r="A38" s="6"/>
      <c r="B38" s="114"/>
      <c r="C38" s="110" t="s">
        <v>62</v>
      </c>
      <c r="D38" s="111"/>
      <c r="E38" s="113"/>
      <c r="F38" s="85"/>
      <c r="G38" s="217"/>
      <c r="H38" s="13"/>
      <c r="I38" s="86"/>
      <c r="J38" s="7"/>
      <c r="K38" s="86"/>
      <c r="L38" s="86"/>
      <c r="M38" s="7"/>
      <c r="N38" s="86"/>
      <c r="O38" s="77"/>
      <c r="P38" s="233"/>
      <c r="Q38" s="203"/>
      <c r="R38" s="228"/>
      <c r="S38" s="236"/>
      <c r="T38" s="6"/>
    </row>
    <row r="39" spans="1:21" ht="15" customHeight="1">
      <c r="A39" s="6"/>
      <c r="B39" s="114"/>
      <c r="C39" s="115" t="s">
        <v>368</v>
      </c>
      <c r="D39" s="116"/>
      <c r="E39" s="84"/>
      <c r="F39" s="90">
        <v>1026</v>
      </c>
      <c r="G39" s="198" t="str">
        <f>IF($G$3="----","--------",0)</f>
        <v>--------</v>
      </c>
      <c r="H39" s="13" t="s">
        <v>63</v>
      </c>
      <c r="I39" s="91" t="str">
        <f>IF(ISTEXT(G39),"No text please",IF(G39&lt;0,"No negatives please",IF(ISBLANK(G39),"Please enter a value",IF(AND(G39=0,ISERROR(FIND("zero",K39))),"Please confirm zero",IF(AND(G39&lt;&gt;0,K39="Confirmed zero"),"Value not zero"," ")))))</f>
        <v>No text please</v>
      </c>
      <c r="J39" s="7"/>
      <c r="K39" s="239" t="str">
        <f t="shared" ref="K39:K44" si="2">IF(G39=0,"Confirmed zero","")</f>
        <v/>
      </c>
      <c r="L39" s="237"/>
      <c r="M39" s="7"/>
      <c r="N39" s="238"/>
      <c r="O39" s="77"/>
      <c r="P39" s="233"/>
      <c r="Q39" s="240"/>
      <c r="R39" s="228"/>
      <c r="S39" s="236"/>
      <c r="T39" s="6"/>
    </row>
    <row r="40" spans="1:21" ht="15" customHeight="1">
      <c r="A40" s="6"/>
      <c r="B40" s="114"/>
      <c r="C40" s="115" t="s">
        <v>64</v>
      </c>
      <c r="D40" s="116"/>
      <c r="E40" s="84"/>
      <c r="F40" s="90">
        <v>1027</v>
      </c>
      <c r="G40" s="198" t="str">
        <f>IF($G$3="----","--------",0)</f>
        <v>--------</v>
      </c>
      <c r="H40" s="13" t="s">
        <v>65</v>
      </c>
      <c r="I40" s="91" t="str">
        <f>IF(ISTEXT(G40),"No text please",IF(G40&lt;0,"No negatives please",IF(ISBLANK(G40),"Please enter a value",IF(AND(G40=0,ISERROR(FIND("zero",K40))),"Please confirm zero",IF(AND(G40&lt;&gt;0,K40="Confirmed zero"),"Value not zero"," ")))))</f>
        <v>No text please</v>
      </c>
      <c r="J40" s="7"/>
      <c r="K40" s="239" t="str">
        <f t="shared" si="2"/>
        <v/>
      </c>
      <c r="L40" s="237"/>
      <c r="M40" s="7"/>
      <c r="N40" s="238"/>
      <c r="O40" s="77"/>
      <c r="P40" s="233"/>
      <c r="Q40" s="240"/>
      <c r="R40" s="228"/>
      <c r="S40" s="236"/>
      <c r="T40" s="6"/>
    </row>
    <row r="41" spans="1:21" ht="15" customHeight="1">
      <c r="A41" s="6"/>
      <c r="B41" s="114"/>
      <c r="C41" s="115" t="s">
        <v>66</v>
      </c>
      <c r="D41" s="116"/>
      <c r="E41" s="84"/>
      <c r="F41" s="90">
        <v>1028</v>
      </c>
      <c r="G41" s="198" t="str">
        <f>IF($G$3="----","--------",0)</f>
        <v>--------</v>
      </c>
      <c r="H41" s="13" t="s">
        <v>67</v>
      </c>
      <c r="I41" s="91" t="str">
        <f>IF(ISTEXT(G41),"No text please",IF(G41&lt;0,"No negatives please",IF(ISBLANK(G41),"Please enter a value",IF(AND(G41=0,ISERROR(FIND("zero",K41))),"Please confirm zero",IF(AND(G41&lt;&gt;0,K41="Confirmed zero"),"Value not zero"," ")))))</f>
        <v>No text please</v>
      </c>
      <c r="J41" s="7"/>
      <c r="K41" s="239" t="str">
        <f t="shared" si="2"/>
        <v/>
      </c>
      <c r="L41" s="237"/>
      <c r="M41" s="7"/>
      <c r="N41" s="238"/>
      <c r="O41" s="77"/>
      <c r="P41" s="233"/>
      <c r="Q41" s="240"/>
      <c r="R41" s="228"/>
      <c r="S41" s="236"/>
      <c r="T41" s="6"/>
    </row>
    <row r="42" spans="1:21" ht="15" customHeight="1">
      <c r="A42" s="6"/>
      <c r="B42" s="114"/>
      <c r="C42" s="115" t="s">
        <v>369</v>
      </c>
      <c r="D42" s="116"/>
      <c r="E42" s="84"/>
      <c r="F42" s="90">
        <v>1029</v>
      </c>
      <c r="G42" s="198" t="str">
        <f>IF($G$3="----","--------",0)</f>
        <v>--------</v>
      </c>
      <c r="H42" s="13" t="s">
        <v>68</v>
      </c>
      <c r="I42" s="91" t="str">
        <f>IF(ISTEXT(G42),"No text please",IF(G42&lt;0,"No negatives please",IF(ISBLANK(G42),"Please enter a value",IF(AND(G42=0,ISERROR(FIND("zero",K42))),"Please confirm zero",IF(AND(G42&lt;&gt;0,K42="Confirmed zero"),"Value not zero"," ")))))</f>
        <v>No text please</v>
      </c>
      <c r="J42" s="7"/>
      <c r="K42" s="239" t="str">
        <f t="shared" si="2"/>
        <v/>
      </c>
      <c r="L42" s="237"/>
      <c r="M42" s="7"/>
      <c r="N42" s="238"/>
      <c r="O42" s="77"/>
      <c r="P42" s="233"/>
      <c r="Q42" s="240"/>
      <c r="R42" s="228"/>
      <c r="S42" s="236"/>
      <c r="T42" s="6"/>
    </row>
    <row r="43" spans="1:21" ht="15" customHeight="1">
      <c r="A43" s="6"/>
      <c r="B43" s="114"/>
      <c r="C43" s="115" t="s">
        <v>69</v>
      </c>
      <c r="D43" s="116"/>
      <c r="E43" s="84"/>
      <c r="F43" s="90">
        <v>1030</v>
      </c>
      <c r="G43" s="198" t="str">
        <f>IF($G$3="----","--------",0)</f>
        <v>--------</v>
      </c>
      <c r="H43" s="13" t="s">
        <v>70</v>
      </c>
      <c r="I43" s="91" t="str">
        <f>IF(ISTEXT(G43),"No text please",IF(G43&lt;0,"No negatives please",IF(ISBLANK(G43),"Please enter a value",IF(AND(G43=0,ISERROR(FIND("zero",K43))),"Please confirm zero",IF(AND(G43&lt;&gt;0,K43="Confirmed zero"),"Value not zero"," ")))))</f>
        <v>No text please</v>
      </c>
      <c r="J43" s="7"/>
      <c r="K43" s="239" t="str">
        <f t="shared" si="2"/>
        <v/>
      </c>
      <c r="L43" s="237"/>
      <c r="M43" s="7"/>
      <c r="N43" s="238"/>
      <c r="O43" s="77"/>
      <c r="P43" s="233"/>
      <c r="Q43" s="240"/>
      <c r="R43" s="228"/>
      <c r="S43" s="236"/>
      <c r="T43" s="6"/>
    </row>
    <row r="44" spans="1:21" ht="15" customHeight="1">
      <c r="A44" s="6"/>
      <c r="B44" s="120"/>
      <c r="C44" s="110" t="s">
        <v>71</v>
      </c>
      <c r="D44" s="111"/>
      <c r="E44" s="84"/>
      <c r="F44" s="90">
        <v>1031</v>
      </c>
      <c r="G44" s="198" t="str">
        <f>INDEX('FR Y-15 Data'!$A$1:$ED$36,MATCH($G$3,'FR Y-15 Data'!$A$1:$A$36,0),MATCH($Q44,'FR Y-15 Data'!$A$1:$EE$1,0))</f>
        <v>--------</v>
      </c>
      <c r="H44" s="13" t="s">
        <v>72</v>
      </c>
      <c r="I44" s="91" t="str">
        <f>IF(ISTEXT(G44),"No text please",IF(ISBLANK(G44),"Please enter a value",IF(AND(G44=0,ISERROR(FIND("zero",K44))),"Please confirm zero",IF(AND(G44&lt;&gt;0,K44="Confirmed zero"),"Value not zero"," "))))</f>
        <v>No text please</v>
      </c>
      <c r="J44" s="7"/>
      <c r="K44" s="239" t="str">
        <f t="shared" si="2"/>
        <v/>
      </c>
      <c r="L44" s="237"/>
      <c r="M44" s="7"/>
      <c r="N44" s="238"/>
      <c r="O44" s="77"/>
      <c r="P44" s="233"/>
      <c r="Q44" s="240" t="s">
        <v>241</v>
      </c>
      <c r="R44" s="228"/>
      <c r="S44" s="236"/>
      <c r="T44" s="6"/>
    </row>
    <row r="45" spans="1:21" s="15" customFormat="1" ht="15" customHeight="1">
      <c r="A45" s="121"/>
      <c r="B45" s="122"/>
      <c r="C45" s="386" t="s">
        <v>370</v>
      </c>
      <c r="D45" s="386"/>
      <c r="E45" s="386"/>
      <c r="F45" s="85"/>
      <c r="G45" s="86"/>
      <c r="H45" s="12"/>
      <c r="I45" s="7"/>
      <c r="J45" s="14"/>
      <c r="K45" s="7"/>
      <c r="L45" s="7"/>
      <c r="M45" s="14"/>
      <c r="N45" s="7"/>
      <c r="O45" s="201"/>
      <c r="P45" s="233"/>
      <c r="Q45" s="202"/>
      <c r="R45" s="228"/>
      <c r="S45" s="236"/>
      <c r="T45" s="121"/>
      <c r="U45" s="8"/>
    </row>
    <row r="46" spans="1:21" ht="15" customHeight="1">
      <c r="A46" s="6"/>
      <c r="B46" s="123"/>
      <c r="C46" s="386"/>
      <c r="D46" s="386"/>
      <c r="E46" s="386"/>
      <c r="F46" s="90">
        <v>1032</v>
      </c>
      <c r="G46" s="124" t="str">
        <f>IF(AND(COUNTIF(I39:I44,"&lt;&gt; ")=0,ISNUMBER(G28),ISNUMBER(G37)),SUM(G28,G37,G39:G40,G41*0.1,G42,-G43,-G44),"")</f>
        <v/>
      </c>
      <c r="H46" s="13" t="s">
        <v>371</v>
      </c>
      <c r="I46" s="7"/>
      <c r="J46" s="7"/>
      <c r="K46" s="7"/>
      <c r="L46" s="7"/>
      <c r="M46" s="7"/>
      <c r="N46" s="7"/>
      <c r="O46" s="77"/>
      <c r="P46" s="233"/>
      <c r="Q46" s="202"/>
      <c r="R46" s="228"/>
      <c r="S46" s="236"/>
      <c r="T46" s="6"/>
    </row>
    <row r="47" spans="1:21" ht="20.149999999999999" customHeight="1">
      <c r="A47" s="6"/>
      <c r="B47" s="125"/>
      <c r="C47" s="126"/>
      <c r="D47" s="126"/>
      <c r="E47" s="127"/>
      <c r="F47" s="128"/>
      <c r="G47" s="129"/>
      <c r="H47" s="130"/>
      <c r="I47" s="99"/>
      <c r="J47" s="99"/>
      <c r="K47" s="131"/>
      <c r="L47" s="99"/>
      <c r="M47" s="99"/>
      <c r="N47" s="99"/>
      <c r="O47" s="102"/>
      <c r="P47" s="233"/>
      <c r="Q47" s="202"/>
      <c r="R47" s="228"/>
      <c r="S47" s="236"/>
      <c r="T47" s="6"/>
    </row>
    <row r="48" spans="1:21" ht="20.149999999999999" customHeight="1">
      <c r="A48" s="6"/>
      <c r="B48" s="72" t="s">
        <v>73</v>
      </c>
      <c r="C48" s="73"/>
      <c r="D48" s="73"/>
      <c r="E48" s="73"/>
      <c r="F48" s="73"/>
      <c r="G48" s="73"/>
      <c r="H48" s="74"/>
      <c r="I48" s="73"/>
      <c r="J48" s="73"/>
      <c r="K48" s="73"/>
      <c r="L48" s="73"/>
      <c r="M48" s="73"/>
      <c r="N48" s="73"/>
      <c r="O48" s="75"/>
      <c r="P48" s="233"/>
      <c r="Q48" s="204"/>
      <c r="R48" s="228"/>
      <c r="S48" s="236"/>
      <c r="T48" s="6"/>
    </row>
    <row r="49" spans="1:21" ht="20.149999999999999" customHeight="1">
      <c r="A49" s="6"/>
      <c r="B49" s="132"/>
      <c r="C49" s="133"/>
      <c r="D49" s="133"/>
      <c r="E49" s="134"/>
      <c r="F49" s="135"/>
      <c r="G49" s="136"/>
      <c r="H49" s="137"/>
      <c r="I49" s="136"/>
      <c r="J49" s="105"/>
      <c r="K49" s="138"/>
      <c r="L49" s="136"/>
      <c r="M49" s="105"/>
      <c r="N49" s="136"/>
      <c r="O49" s="108"/>
      <c r="P49" s="233"/>
      <c r="Q49" s="205"/>
      <c r="R49" s="228"/>
      <c r="S49" s="236"/>
      <c r="T49" s="6"/>
    </row>
    <row r="50" spans="1:21" ht="15" customHeight="1">
      <c r="A50" s="6"/>
      <c r="B50" s="76"/>
      <c r="C50" s="78" t="s">
        <v>372</v>
      </c>
      <c r="D50" s="79"/>
      <c r="E50" s="80"/>
      <c r="F50" s="81" t="s">
        <v>342</v>
      </c>
      <c r="G50" s="211" t="str">
        <f>G$22</f>
        <v>Amount in thousand USD</v>
      </c>
      <c r="H50" s="12"/>
      <c r="I50" s="11" t="str">
        <f>I$22</f>
        <v>Checks</v>
      </c>
      <c r="J50" s="7"/>
      <c r="K50" s="11" t="str">
        <f>K$22</f>
        <v>Remarks</v>
      </c>
      <c r="L50" s="11" t="str">
        <f>L$22</f>
        <v>Comments</v>
      </c>
      <c r="M50" s="7"/>
      <c r="N50" s="11" t="str">
        <f>N$22</f>
        <v>Supervisor Comments</v>
      </c>
      <c r="O50" s="77"/>
      <c r="P50" s="233"/>
      <c r="Q50" s="206"/>
      <c r="R50" s="228"/>
      <c r="S50" s="236"/>
      <c r="T50" s="6"/>
    </row>
    <row r="51" spans="1:21" s="15" customFormat="1" ht="15" customHeight="1">
      <c r="A51" s="121"/>
      <c r="B51" s="122"/>
      <c r="C51" s="110" t="s">
        <v>74</v>
      </c>
      <c r="D51" s="111"/>
      <c r="E51" s="84"/>
      <c r="F51" s="90">
        <v>1033</v>
      </c>
      <c r="G51" s="198" t="str">
        <f>INDEX('FR Y-15 Data'!$A$1:$ED$36,MATCH($G$3,'FR Y-15 Data'!$A$1:$A$36,0),MATCH($Q51,'FR Y-15 Data'!$A$1:$EE$1,0))</f>
        <v>--------</v>
      </c>
      <c r="H51" s="12" t="s">
        <v>75</v>
      </c>
      <c r="I51" s="91" t="str">
        <f>IF(ISTEXT(G51),"No text please",IF(G51&lt;0,"No negatives please",IF(ISBLANK(G51),"Please enter a value",IF(AND(G51=0,ISERROR(FIND("zero",K51))),"Please confirm zero",IF(AND(G51&lt;&gt;0,K51="Confirmed zero"),"Value not zero",IF($G$51&lt;$G$52,"&lt; 3.a.(1)"," "))))))</f>
        <v>No text please</v>
      </c>
      <c r="J51" s="14"/>
      <c r="K51" s="239" t="str">
        <f t="shared" ref="K51:K53" si="3">IF(G51=0,"Confirmed zero","")</f>
        <v/>
      </c>
      <c r="L51" s="237"/>
      <c r="M51" s="14"/>
      <c r="N51" s="238"/>
      <c r="O51" s="201"/>
      <c r="P51" s="233"/>
      <c r="Q51" s="240" t="s">
        <v>242</v>
      </c>
      <c r="R51" s="228"/>
      <c r="S51" s="236"/>
      <c r="T51" s="121"/>
      <c r="U51" s="8"/>
    </row>
    <row r="52" spans="1:21" s="15" customFormat="1" ht="15" customHeight="1">
      <c r="A52" s="121"/>
      <c r="B52" s="122"/>
      <c r="C52" s="115" t="s">
        <v>76</v>
      </c>
      <c r="D52" s="116"/>
      <c r="E52" s="84"/>
      <c r="F52" s="90">
        <v>1034</v>
      </c>
      <c r="G52" s="198" t="str">
        <f>INDEX('FR Y-15 Data'!$A$1:$ED$36,MATCH($G$3,'FR Y-15 Data'!$A$1:$A$36,0),MATCH($Q52,'FR Y-15 Data'!$A$1:$EE$1,0))</f>
        <v>--------</v>
      </c>
      <c r="H52" s="12" t="s">
        <v>77</v>
      </c>
      <c r="I52" s="91" t="str">
        <f>IF(ISTEXT(G52),"No text please",IF(G52&lt;0,"No negatives please",IF(ISBLANK(G52),"Please enter a value",IF(AND(G52=0,ISERROR(FIND("zero",K52))),"Please confirm zero",IF(AND(G52&lt;&gt;0,K52="Confirmed zero"),"Value not zero",IF($G$51&lt;$G$52,"&gt; 3.a."," "))))))</f>
        <v>No text please</v>
      </c>
      <c r="J52" s="14"/>
      <c r="K52" s="239" t="str">
        <f t="shared" si="3"/>
        <v/>
      </c>
      <c r="L52" s="237"/>
      <c r="M52" s="14"/>
      <c r="N52" s="238"/>
      <c r="O52" s="201"/>
      <c r="P52" s="233"/>
      <c r="Q52" s="240" t="s">
        <v>243</v>
      </c>
      <c r="R52" s="228"/>
      <c r="S52" s="236"/>
      <c r="T52" s="121"/>
      <c r="U52" s="8"/>
    </row>
    <row r="53" spans="1:21" s="15" customFormat="1" ht="15" customHeight="1">
      <c r="A53" s="121"/>
      <c r="B53" s="122"/>
      <c r="C53" s="110" t="s">
        <v>373</v>
      </c>
      <c r="D53" s="111"/>
      <c r="E53" s="84"/>
      <c r="F53" s="90">
        <v>1035</v>
      </c>
      <c r="G53" s="198" t="str">
        <f>INDEX('FR Y-15 Data'!$A$1:$ED$36,MATCH($G$3,'FR Y-15 Data'!$A$1:$A$36,0),MATCH($Q53,'FR Y-15 Data'!$A$1:$EE$1,0))</f>
        <v>--------</v>
      </c>
      <c r="H53" s="12" t="s">
        <v>78</v>
      </c>
      <c r="I53" s="91" t="str">
        <f>IF(ISTEXT(G53),"No text please",IF(G53&lt;0,"No negatives please",IF(ISBLANK(G53),"Please enter a value",IF(AND(G53=0,ISERROR(FIND("zero",K53))),"Please confirm zero",IF(AND(G53&lt;&gt;0,K53="Confirmed zero"),"Value not zero"," ")))))</f>
        <v>No text please</v>
      </c>
      <c r="J53" s="14"/>
      <c r="K53" s="239" t="str">
        <f t="shared" si="3"/>
        <v/>
      </c>
      <c r="L53" s="237"/>
      <c r="M53" s="14"/>
      <c r="N53" s="238"/>
      <c r="O53" s="201"/>
      <c r="P53" s="233"/>
      <c r="Q53" s="240" t="s">
        <v>244</v>
      </c>
      <c r="R53" s="228"/>
      <c r="S53" s="236"/>
      <c r="T53" s="121"/>
      <c r="U53" s="8"/>
    </row>
    <row r="54" spans="1:21" ht="15" customHeight="1">
      <c r="A54" s="6"/>
      <c r="B54" s="122"/>
      <c r="C54" s="110" t="s">
        <v>79</v>
      </c>
      <c r="D54" s="111"/>
      <c r="E54" s="84"/>
      <c r="F54" s="85"/>
      <c r="G54" s="217"/>
      <c r="H54" s="12"/>
      <c r="I54" s="86"/>
      <c r="J54" s="7"/>
      <c r="K54" s="86"/>
      <c r="L54" s="86"/>
      <c r="M54" s="7"/>
      <c r="N54" s="86"/>
      <c r="O54" s="77"/>
      <c r="P54" s="233"/>
      <c r="Q54" s="203"/>
      <c r="R54" s="228"/>
      <c r="S54" s="236"/>
      <c r="T54" s="6"/>
    </row>
    <row r="55" spans="1:21" s="15" customFormat="1" ht="15" customHeight="1">
      <c r="A55" s="121"/>
      <c r="B55" s="122"/>
      <c r="C55" s="115" t="s">
        <v>80</v>
      </c>
      <c r="D55" s="116"/>
      <c r="E55" s="84"/>
      <c r="F55" s="90">
        <v>1036</v>
      </c>
      <c r="G55" s="198" t="str">
        <f>INDEX('FR Y-15 Data'!$A$1:$ED$36,MATCH($G$3,'FR Y-15 Data'!$A$1:$A$36,0),MATCH($Q55,'FR Y-15 Data'!$A$1:$EE$1,0))</f>
        <v>--------</v>
      </c>
      <c r="H55" s="12" t="s">
        <v>81</v>
      </c>
      <c r="I55" s="91" t="str">
        <f>IF(ISTEXT(G55),"No text please",IF(G55&lt;0,"No negatives please",IF(ISBLANK(G55),"Please enter a value",IF(AND(G55=0,ISERROR(FIND("zero",K55))),"Please confirm zero",IF(AND(G55&lt;&gt;0,K55="Confirmed zero"),"Value not zero"," ")))))</f>
        <v>No text please</v>
      </c>
      <c r="J55" s="14"/>
      <c r="K55" s="239" t="str">
        <f t="shared" ref="K55:K61" si="4">IF(G55=0,"Confirmed zero","")</f>
        <v/>
      </c>
      <c r="L55" s="237"/>
      <c r="M55" s="14"/>
      <c r="N55" s="238"/>
      <c r="O55" s="201"/>
      <c r="P55" s="233"/>
      <c r="Q55" s="240" t="s">
        <v>245</v>
      </c>
      <c r="R55" s="228"/>
      <c r="S55" s="236"/>
      <c r="T55" s="121"/>
      <c r="U55" s="8"/>
    </row>
    <row r="56" spans="1:21" s="15" customFormat="1" ht="15" customHeight="1">
      <c r="A56" s="121"/>
      <c r="B56" s="122"/>
      <c r="C56" s="115" t="s">
        <v>82</v>
      </c>
      <c r="D56" s="116"/>
      <c r="E56" s="84"/>
      <c r="F56" s="90">
        <v>1037</v>
      </c>
      <c r="G56" s="198" t="str">
        <f>INDEX('FR Y-15 Data'!$A$1:$ED$36,MATCH($G$3,'FR Y-15 Data'!$A$1:$A$36,0),MATCH($Q56,'FR Y-15 Data'!$A$1:$EE$1,0))</f>
        <v>--------</v>
      </c>
      <c r="H56" s="12" t="s">
        <v>83</v>
      </c>
      <c r="I56" s="91" t="str">
        <f>IF(ISTEXT(G56),"No text please",IF(G56&lt;0,"No negatives please",IF(ISBLANK(G56),"Please enter a value",IF(AND(G56=0,ISERROR(FIND("zero",K56))),"Please confirm zero",IF(AND(G56&lt;&gt;0,K56="Confirmed zero"),"Value not zero"," ")))))</f>
        <v>No text please</v>
      </c>
      <c r="J56" s="14"/>
      <c r="K56" s="239" t="str">
        <f t="shared" si="4"/>
        <v/>
      </c>
      <c r="L56" s="237"/>
      <c r="M56" s="14"/>
      <c r="N56" s="238"/>
      <c r="O56" s="201"/>
      <c r="P56" s="233"/>
      <c r="Q56" s="240" t="s">
        <v>246</v>
      </c>
      <c r="R56" s="228"/>
      <c r="S56" s="236"/>
      <c r="T56" s="121"/>
      <c r="U56" s="8"/>
    </row>
    <row r="57" spans="1:21" s="15" customFormat="1" ht="15" customHeight="1">
      <c r="A57" s="121"/>
      <c r="B57" s="122"/>
      <c r="C57" s="115" t="s">
        <v>84</v>
      </c>
      <c r="D57" s="116"/>
      <c r="E57" s="84"/>
      <c r="F57" s="90">
        <v>1038</v>
      </c>
      <c r="G57" s="198" t="str">
        <f>INDEX('FR Y-15 Data'!$A$1:$ED$36,MATCH($G$3,'FR Y-15 Data'!$A$1:$A$36,0),MATCH($Q57,'FR Y-15 Data'!$A$1:$EE$1,0))</f>
        <v>--------</v>
      </c>
      <c r="H57" s="12" t="s">
        <v>85</v>
      </c>
      <c r="I57" s="91" t="str">
        <f>IF(ISTEXT(G57),"No text please",IF(G57&lt;0,"No negatives please",IF(ISBLANK(G57),"Please enter a value",IF(AND(G57=0,ISERROR(FIND("zero",K57))),"Please confirm zero",IF(AND(G57&lt;&gt;0,K57="Confirmed zero"),"Value not zero"," ")))))</f>
        <v>No text please</v>
      </c>
      <c r="J57" s="14"/>
      <c r="K57" s="239" t="str">
        <f t="shared" si="4"/>
        <v/>
      </c>
      <c r="L57" s="237"/>
      <c r="M57" s="14"/>
      <c r="N57" s="238"/>
      <c r="O57" s="201"/>
      <c r="P57" s="233"/>
      <c r="Q57" s="240" t="s">
        <v>247</v>
      </c>
      <c r="R57" s="228"/>
      <c r="S57" s="236"/>
      <c r="T57" s="121"/>
      <c r="U57" s="8"/>
    </row>
    <row r="58" spans="1:21" s="15" customFormat="1" ht="15" customHeight="1">
      <c r="A58" s="121"/>
      <c r="B58" s="122"/>
      <c r="C58" s="115" t="s">
        <v>86</v>
      </c>
      <c r="D58" s="116"/>
      <c r="E58" s="84"/>
      <c r="F58" s="90">
        <v>1039</v>
      </c>
      <c r="G58" s="198" t="str">
        <f>INDEX('FR Y-15 Data'!$A$1:$ED$36,MATCH($G$3,'FR Y-15 Data'!$A$1:$A$36,0),MATCH($Q58,'FR Y-15 Data'!$A$1:$EE$1,0))</f>
        <v>--------</v>
      </c>
      <c r="H58" s="12" t="s">
        <v>87</v>
      </c>
      <c r="I58" s="91" t="str">
        <f>IF(ISTEXT(G58),"No text please",IF(G58&lt;0,"No negatives please",IF(ISBLANK(G58),"Please enter a value",IF(AND(G58=0,ISERROR(FIND("zero",K58))),"Please confirm zero",IF(AND(G58&lt;&gt;0,K58="Confirmed zero"),"Value not zero"," ")))))</f>
        <v>No text please</v>
      </c>
      <c r="J58" s="14"/>
      <c r="K58" s="239" t="str">
        <f t="shared" si="4"/>
        <v/>
      </c>
      <c r="L58" s="237"/>
      <c r="M58" s="14"/>
      <c r="N58" s="238"/>
      <c r="O58" s="201"/>
      <c r="P58" s="233"/>
      <c r="Q58" s="240" t="s">
        <v>248</v>
      </c>
      <c r="R58" s="228"/>
      <c r="S58" s="236"/>
      <c r="T58" s="121"/>
      <c r="U58" s="8"/>
    </row>
    <row r="59" spans="1:21" s="15" customFormat="1" ht="15" customHeight="1">
      <c r="A59" s="121"/>
      <c r="B59" s="122"/>
      <c r="C59" s="115" t="s">
        <v>374</v>
      </c>
      <c r="D59" s="116"/>
      <c r="E59" s="84"/>
      <c r="F59" s="90">
        <v>1040</v>
      </c>
      <c r="G59" s="198" t="str">
        <f>INDEX('FR Y-15 Data'!$A$1:$ED$36,MATCH($G$3,'FR Y-15 Data'!$A$1:$A$36,0),MATCH($Q59,'FR Y-15 Data'!$A$1:$EE$1,0))</f>
        <v>--------</v>
      </c>
      <c r="H59" s="12" t="s">
        <v>88</v>
      </c>
      <c r="I59" s="91" t="str">
        <f>IF(ISTEXT(G59),"No text please",IF(G59&lt;0,"No negatives please",IF(ISBLANK(G59),"Please enter a value",IF(AND(G59=0,ISERROR(FIND("zero",K59))),"Please confirm zero",IF(AND(G59&lt;&gt;0,K59="Confirmed zero"),"Value not zero",IF($G$59&lt;$G$60,"&lt; 3.c.(6)"," "))))))</f>
        <v>No text please</v>
      </c>
      <c r="J59" s="14"/>
      <c r="K59" s="239" t="str">
        <f t="shared" si="4"/>
        <v/>
      </c>
      <c r="L59" s="237"/>
      <c r="M59" s="14"/>
      <c r="N59" s="238"/>
      <c r="O59" s="201"/>
      <c r="P59" s="233"/>
      <c r="Q59" s="240" t="s">
        <v>249</v>
      </c>
      <c r="R59" s="228"/>
      <c r="S59" s="236"/>
      <c r="T59" s="121"/>
      <c r="U59" s="8"/>
    </row>
    <row r="60" spans="1:21" s="15" customFormat="1" ht="15" customHeight="1">
      <c r="A60" s="121"/>
      <c r="B60" s="122"/>
      <c r="C60" s="139" t="s">
        <v>375</v>
      </c>
      <c r="D60" s="140"/>
      <c r="E60" s="84"/>
      <c r="F60" s="90">
        <v>1041</v>
      </c>
      <c r="G60" s="198" t="str">
        <f>INDEX('FR Y-15 Data'!$A$1:$ED$36,MATCH($G$3,'FR Y-15 Data'!$A$1:$A$36,0),MATCH($Q60,'FR Y-15 Data'!$A$1:$EE$1,0))</f>
        <v>--------</v>
      </c>
      <c r="H60" s="12" t="s">
        <v>89</v>
      </c>
      <c r="I60" s="91" t="str">
        <f>IF(ISTEXT(G60),"No text please",IF(G60&lt;0,"No negatives please",IF(ISBLANK(G60),"Please enter a value",IF(AND(G60=0,ISERROR(FIND("zero",K60))),"Please confirm zero",IF(AND(G60&lt;&gt;0,K60="Confirmed zero"),"Value not zero",IF($G$59&lt;$G$60,"&gt; 3.c.(5)"," "))))))</f>
        <v>No text please</v>
      </c>
      <c r="J60" s="14"/>
      <c r="K60" s="239" t="str">
        <f t="shared" si="4"/>
        <v/>
      </c>
      <c r="L60" s="237"/>
      <c r="M60" s="14"/>
      <c r="N60" s="238"/>
      <c r="O60" s="201"/>
      <c r="P60" s="233"/>
      <c r="Q60" s="240" t="s">
        <v>250</v>
      </c>
      <c r="R60" s="228"/>
      <c r="S60" s="236"/>
      <c r="T60" s="121"/>
      <c r="U60" s="8"/>
    </row>
    <row r="61" spans="1:21" s="15" customFormat="1" ht="15" customHeight="1">
      <c r="A61" s="121"/>
      <c r="B61" s="122"/>
      <c r="C61" s="110" t="s">
        <v>90</v>
      </c>
      <c r="D61" s="111"/>
      <c r="E61" s="84"/>
      <c r="F61" s="90">
        <v>1042</v>
      </c>
      <c r="G61" s="198" t="str">
        <f>INDEX('FR Y-15 Data'!$A$1:$ED$36,MATCH($G$3,'FR Y-15 Data'!$A$1:$A$36,0),MATCH($Q61,'FR Y-15 Data'!$A$1:$EE$1,0))</f>
        <v>--------</v>
      </c>
      <c r="H61" s="12" t="s">
        <v>91</v>
      </c>
      <c r="I61" s="91" t="str">
        <f>IF(ISTEXT(G61),"No text please",IF(G61&lt;0,"No negatives please",IF(ISBLANK(G61),"Please enter a value",IF(AND(G61=0,ISERROR(FIND("zero",K61))),"Please confirm zero",IF(AND(G61&lt;&gt;0,K61="Confirmed zero"),"Value not zero"," ")))))</f>
        <v>No text please</v>
      </c>
      <c r="J61" s="14"/>
      <c r="K61" s="239" t="str">
        <f t="shared" si="4"/>
        <v/>
      </c>
      <c r="L61" s="237"/>
      <c r="M61" s="14"/>
      <c r="N61" s="238"/>
      <c r="O61" s="201"/>
      <c r="P61" s="233"/>
      <c r="Q61" s="240" t="s">
        <v>251</v>
      </c>
      <c r="R61" s="228"/>
      <c r="S61" s="236"/>
      <c r="T61" s="121"/>
      <c r="U61" s="8"/>
    </row>
    <row r="62" spans="1:21" ht="15" customHeight="1">
      <c r="A62" s="6"/>
      <c r="B62" s="122"/>
      <c r="C62" s="110" t="s">
        <v>376</v>
      </c>
      <c r="D62" s="111"/>
      <c r="E62" s="84"/>
      <c r="F62" s="85"/>
      <c r="G62" s="217"/>
      <c r="H62" s="12"/>
      <c r="I62" s="86"/>
      <c r="J62" s="7"/>
      <c r="K62" s="86"/>
      <c r="L62" s="86"/>
      <c r="M62" s="7"/>
      <c r="N62" s="86"/>
      <c r="O62" s="77"/>
      <c r="P62" s="233"/>
      <c r="Q62" s="203"/>
      <c r="R62" s="228"/>
      <c r="S62" s="236"/>
      <c r="T62" s="6"/>
    </row>
    <row r="63" spans="1:21" s="15" customFormat="1" ht="15" customHeight="1">
      <c r="A63" s="121"/>
      <c r="B63" s="122"/>
      <c r="C63" s="115" t="s">
        <v>377</v>
      </c>
      <c r="D63" s="116"/>
      <c r="E63" s="84"/>
      <c r="F63" s="90">
        <v>1043</v>
      </c>
      <c r="G63" s="198" t="str">
        <f>INDEX('FR Y-15 Data'!$A$1:$ED$36,MATCH($G$3,'FR Y-15 Data'!$A$1:$A$36,0),MATCH($Q63,'FR Y-15 Data'!$A$1:$EE$1,0))</f>
        <v>--------</v>
      </c>
      <c r="H63" s="12" t="s">
        <v>92</v>
      </c>
      <c r="I63" s="91" t="str">
        <f>IF(ISTEXT(G63),"No text please",IF(G63&lt;0,"No negatives please",IF(ISBLANK(G63),"Please enter a value",IF(AND(G63=0,ISERROR(FIND("zero",K63))),"Please confirm zero",IF(AND(G63&lt;&gt;0,K63="Confirmed zero"),"Value not zero"," ")))))</f>
        <v>No text please</v>
      </c>
      <c r="J63" s="14"/>
      <c r="K63" s="239" t="str">
        <f t="shared" ref="K63:K64" si="5">IF(G63=0,"Confirmed zero","")</f>
        <v/>
      </c>
      <c r="L63" s="237"/>
      <c r="M63" s="14"/>
      <c r="N63" s="238"/>
      <c r="O63" s="201"/>
      <c r="P63" s="233"/>
      <c r="Q63" s="240" t="s">
        <v>252</v>
      </c>
      <c r="R63" s="228"/>
      <c r="S63" s="236"/>
      <c r="T63" s="121"/>
      <c r="U63" s="8"/>
    </row>
    <row r="64" spans="1:21" s="15" customFormat="1" ht="15" customHeight="1">
      <c r="A64" s="121"/>
      <c r="B64" s="122"/>
      <c r="C64" s="115" t="s">
        <v>93</v>
      </c>
      <c r="D64" s="116"/>
      <c r="E64" s="84"/>
      <c r="F64" s="90">
        <v>1044</v>
      </c>
      <c r="G64" s="198" t="str">
        <f>INDEX('FR Y-15 Data'!$A$1:$ED$36,MATCH($G$3,'FR Y-15 Data'!$A$1:$A$36,0),MATCH($Q64,'FR Y-15 Data'!$A$1:$EE$1,0))</f>
        <v>--------</v>
      </c>
      <c r="H64" s="12" t="s">
        <v>94</v>
      </c>
      <c r="I64" s="91" t="str">
        <f>IF(ISTEXT(G64),"No text please",IF(G64&lt;0,"No negatives please",IF(ISBLANK(G64),"Please enter a value",IF(AND(G64=0,ISERROR(FIND("zero",K64))),"Please confirm zero",IF(AND(G64&lt;&gt;0,K64="Confirmed zero"),"Value not zero"," ")))))</f>
        <v>No text please</v>
      </c>
      <c r="J64" s="14"/>
      <c r="K64" s="239" t="str">
        <f t="shared" si="5"/>
        <v/>
      </c>
      <c r="L64" s="237"/>
      <c r="M64" s="14"/>
      <c r="N64" s="238"/>
      <c r="O64" s="201"/>
      <c r="P64" s="233"/>
      <c r="Q64" s="240" t="s">
        <v>253</v>
      </c>
      <c r="R64" s="228"/>
      <c r="S64" s="236"/>
      <c r="T64" s="121"/>
      <c r="U64" s="8"/>
    </row>
    <row r="65" spans="1:21" s="15" customFormat="1" ht="15" customHeight="1">
      <c r="A65" s="121"/>
      <c r="B65" s="122"/>
      <c r="C65" s="387" t="s">
        <v>95</v>
      </c>
      <c r="D65" s="388"/>
      <c r="E65" s="389"/>
      <c r="F65" s="85"/>
      <c r="G65" s="86"/>
      <c r="H65" s="12"/>
      <c r="I65" s="7"/>
      <c r="J65" s="14"/>
      <c r="K65" s="7"/>
      <c r="L65" s="7"/>
      <c r="M65" s="14"/>
      <c r="N65" s="7"/>
      <c r="O65" s="201"/>
      <c r="P65" s="233"/>
      <c r="Q65" s="202"/>
      <c r="R65" s="228"/>
      <c r="S65" s="236"/>
      <c r="T65" s="121"/>
      <c r="U65" s="8"/>
    </row>
    <row r="66" spans="1:21" ht="15" customHeight="1">
      <c r="A66" s="6"/>
      <c r="B66" s="122"/>
      <c r="C66" s="387"/>
      <c r="D66" s="388"/>
      <c r="E66" s="389"/>
      <c r="F66" s="90">
        <v>1045</v>
      </c>
      <c r="G66" s="124" t="str">
        <f>IF(COUNTIF(I51:I53,"&lt;&gt; ")+COUNTIF(I55:I61,"&lt;&gt; ")+COUNTIF(I63:I64,"&lt;&gt; ")=0,G51+G53+SUM(G55:G58)+MAX((G59-G60),0)+G61+G63+G64,"")</f>
        <v/>
      </c>
      <c r="H66" s="12" t="s">
        <v>96</v>
      </c>
      <c r="I66" s="7"/>
      <c r="J66" s="7"/>
      <c r="K66" s="7"/>
      <c r="L66" s="7"/>
      <c r="M66" s="7"/>
      <c r="N66" s="7"/>
      <c r="O66" s="77"/>
      <c r="P66" s="233"/>
      <c r="Q66" s="202"/>
      <c r="R66" s="228"/>
      <c r="S66" s="236"/>
      <c r="T66" s="6"/>
    </row>
    <row r="67" spans="1:21" ht="30" customHeight="1">
      <c r="A67" s="6"/>
      <c r="B67" s="141"/>
      <c r="C67" s="16"/>
      <c r="D67" s="16"/>
      <c r="E67" s="17"/>
      <c r="F67" s="142"/>
      <c r="G67" s="18"/>
      <c r="H67" s="12"/>
      <c r="I67" s="18"/>
      <c r="J67" s="7"/>
      <c r="K67" s="19"/>
      <c r="L67" s="18"/>
      <c r="M67" s="7"/>
      <c r="N67" s="18"/>
      <c r="O67" s="77"/>
      <c r="P67" s="233"/>
      <c r="Q67" s="205"/>
      <c r="R67" s="228"/>
      <c r="S67" s="236"/>
      <c r="T67" s="6"/>
    </row>
    <row r="68" spans="1:21" ht="15" customHeight="1">
      <c r="A68" s="6"/>
      <c r="B68" s="76"/>
      <c r="C68" s="78" t="s">
        <v>378</v>
      </c>
      <c r="D68" s="79"/>
      <c r="E68" s="80"/>
      <c r="F68" s="143" t="s">
        <v>342</v>
      </c>
      <c r="G68" s="211" t="str">
        <f>G$22</f>
        <v>Amount in thousand USD</v>
      </c>
      <c r="H68" s="12"/>
      <c r="I68" s="11" t="str">
        <f>I$22</f>
        <v>Checks</v>
      </c>
      <c r="J68" s="7"/>
      <c r="K68" s="11" t="str">
        <f>K$22</f>
        <v>Remarks</v>
      </c>
      <c r="L68" s="11" t="str">
        <f>L$22</f>
        <v>Comments</v>
      </c>
      <c r="M68" s="7"/>
      <c r="N68" s="11" t="str">
        <f>N$22</f>
        <v>Supervisor Comments</v>
      </c>
      <c r="O68" s="77"/>
      <c r="P68" s="233"/>
      <c r="Q68" s="206"/>
      <c r="R68" s="228"/>
      <c r="S68" s="236"/>
      <c r="T68" s="6"/>
    </row>
    <row r="69" spans="1:21" s="15" customFormat="1" ht="15" customHeight="1">
      <c r="A69" s="121"/>
      <c r="B69" s="123"/>
      <c r="C69" s="110" t="s">
        <v>97</v>
      </c>
      <c r="D69" s="111"/>
      <c r="E69" s="84"/>
      <c r="F69" s="90">
        <v>1046</v>
      </c>
      <c r="G69" s="198" t="str">
        <f>INDEX('FR Y-15 Data'!$A$1:$ED$36,MATCH($G$3,'FR Y-15 Data'!$A$1:$A$36,0),MATCH($Q69,'FR Y-15 Data'!$A$1:$EE$1,0))</f>
        <v>--------</v>
      </c>
      <c r="H69" s="12" t="s">
        <v>98</v>
      </c>
      <c r="I69" s="91" t="str">
        <f>IF(ISTEXT(G69),"No text please",IF(G69&lt;0,"No negatives please",IF(ISBLANK(G69),"Please enter a value",IF(AND(G69=0,ISERROR(FIND("zero",K69))),"Please confirm zero",IF(AND(G69&lt;&gt;0,K69="Confirmed zero"),"Value not zero"," ")))))</f>
        <v>No text please</v>
      </c>
      <c r="J69" s="14"/>
      <c r="K69" s="239" t="str">
        <f t="shared" ref="K69:K72" si="6">IF(G69=0,"Confirmed zero","")</f>
        <v/>
      </c>
      <c r="L69" s="237"/>
      <c r="M69" s="14"/>
      <c r="N69" s="238"/>
      <c r="O69" s="201"/>
      <c r="P69" s="233"/>
      <c r="Q69" s="240" t="s">
        <v>254</v>
      </c>
      <c r="R69" s="228"/>
      <c r="S69" s="236"/>
      <c r="T69" s="121"/>
      <c r="U69" s="8"/>
    </row>
    <row r="70" spans="1:21" s="15" customFormat="1" ht="15" customHeight="1">
      <c r="A70" s="121"/>
      <c r="B70" s="123"/>
      <c r="C70" s="110" t="s">
        <v>99</v>
      </c>
      <c r="D70" s="111"/>
      <c r="E70" s="84"/>
      <c r="F70" s="90">
        <v>1047</v>
      </c>
      <c r="G70" s="198" t="str">
        <f>INDEX('FR Y-15 Data'!$A$1:$ED$36,MATCH($G$3,'FR Y-15 Data'!$A$1:$A$36,0),MATCH($Q70,'FR Y-15 Data'!$A$1:$EE$1,0))</f>
        <v>--------</v>
      </c>
      <c r="H70" s="12" t="s">
        <v>100</v>
      </c>
      <c r="I70" s="91" t="str">
        <f>IF(ISTEXT(G70),"No text please",IF(G70&lt;0,"No negatives please",IF(ISBLANK(G70),"Please enter a value",IF(AND(G70=0,ISERROR(FIND("zero",K70))),"Please confirm zero",IF(AND(G70&lt;&gt;0,K70="Confirmed zero"),"Value not zero"," ")))))</f>
        <v>No text please</v>
      </c>
      <c r="J70" s="14"/>
      <c r="K70" s="239" t="str">
        <f t="shared" si="6"/>
        <v/>
      </c>
      <c r="L70" s="237"/>
      <c r="M70" s="14"/>
      <c r="N70" s="238"/>
      <c r="O70" s="201"/>
      <c r="P70" s="233"/>
      <c r="Q70" s="240" t="s">
        <v>255</v>
      </c>
      <c r="R70" s="228"/>
      <c r="S70" s="236"/>
      <c r="T70" s="121"/>
      <c r="U70" s="8"/>
    </row>
    <row r="71" spans="1:21" s="15" customFormat="1" ht="15" customHeight="1">
      <c r="A71" s="121"/>
      <c r="B71" s="123"/>
      <c r="C71" s="110" t="s">
        <v>379</v>
      </c>
      <c r="D71" s="111"/>
      <c r="E71" s="84"/>
      <c r="F71" s="90">
        <v>1048</v>
      </c>
      <c r="G71" s="198" t="str">
        <f>INDEX('FR Y-15 Data'!$A$1:$ED$36,MATCH($G$3,'FR Y-15 Data'!$A$1:$A$36,0),MATCH($Q71,'FR Y-15 Data'!$A$1:$EE$1,0))</f>
        <v>--------</v>
      </c>
      <c r="H71" s="12" t="s">
        <v>101</v>
      </c>
      <c r="I71" s="91" t="str">
        <f>IF(ISTEXT(G71),"No text please",IF(G71&lt;0,"No negatives please",IF(ISBLANK(G71),"Please enter a value",IF(AND(G71=0,ISERROR(FIND("zero",K71))),"Please confirm zero",IF(AND(G71&lt;&gt;0,K71="Confirmed zero"),"Value not zero"," ")))))</f>
        <v>No text please</v>
      </c>
      <c r="J71" s="14"/>
      <c r="K71" s="239" t="str">
        <f t="shared" si="6"/>
        <v/>
      </c>
      <c r="L71" s="237"/>
      <c r="M71" s="14"/>
      <c r="N71" s="238"/>
      <c r="O71" s="201"/>
      <c r="P71" s="233"/>
      <c r="Q71" s="240" t="s">
        <v>256</v>
      </c>
      <c r="R71" s="228"/>
      <c r="S71" s="236"/>
      <c r="T71" s="121"/>
      <c r="U71" s="8"/>
    </row>
    <row r="72" spans="1:21" s="15" customFormat="1" ht="15" customHeight="1">
      <c r="A72" s="121"/>
      <c r="B72" s="123"/>
      <c r="C72" s="110" t="s">
        <v>102</v>
      </c>
      <c r="D72" s="111"/>
      <c r="E72" s="84"/>
      <c r="F72" s="90">
        <v>1049</v>
      </c>
      <c r="G72" s="198" t="str">
        <f>INDEX('FR Y-15 Data'!$A$1:$ED$36,MATCH($G$3,'FR Y-15 Data'!$A$1:$A$36,0),MATCH($Q72,'FR Y-15 Data'!$A$1:$EE$1,0))</f>
        <v>--------</v>
      </c>
      <c r="H72" s="12" t="s">
        <v>103</v>
      </c>
      <c r="I72" s="91" t="str">
        <f>IF(ISTEXT(G72),"No text please",IF(G72&lt;0,"No negatives please",IF(ISBLANK(G72),"Please enter a value",IF(AND(G72=0,ISERROR(FIND("zero",K72))),"Please confirm zero",IF(AND(G72&lt;&gt;0,K72="Confirmed zero"),"Value not zero"," ")))))</f>
        <v>No text please</v>
      </c>
      <c r="J72" s="14"/>
      <c r="K72" s="239" t="str">
        <f t="shared" si="6"/>
        <v/>
      </c>
      <c r="L72" s="237"/>
      <c r="M72" s="14"/>
      <c r="N72" s="238"/>
      <c r="O72" s="201"/>
      <c r="P72" s="233"/>
      <c r="Q72" s="240" t="s">
        <v>257</v>
      </c>
      <c r="R72" s="228"/>
      <c r="S72" s="236"/>
      <c r="T72" s="121"/>
      <c r="U72" s="8"/>
    </row>
    <row r="73" spans="1:21" s="15" customFormat="1" ht="15" customHeight="1">
      <c r="A73" s="121"/>
      <c r="B73" s="123"/>
      <c r="C73" s="110" t="s">
        <v>380</v>
      </c>
      <c r="D73" s="111"/>
      <c r="E73" s="84"/>
      <c r="F73" s="85"/>
      <c r="G73" s="217"/>
      <c r="H73" s="12"/>
      <c r="I73" s="86"/>
      <c r="J73" s="7"/>
      <c r="K73" s="86"/>
      <c r="L73" s="86"/>
      <c r="M73" s="14"/>
      <c r="N73" s="86"/>
      <c r="O73" s="77"/>
      <c r="P73" s="233"/>
      <c r="Q73" s="203"/>
      <c r="R73" s="228"/>
      <c r="S73" s="236"/>
      <c r="T73" s="121"/>
      <c r="U73" s="8"/>
    </row>
    <row r="74" spans="1:21" s="15" customFormat="1" ht="15" customHeight="1">
      <c r="A74" s="121"/>
      <c r="B74" s="123"/>
      <c r="C74" s="115" t="s">
        <v>381</v>
      </c>
      <c r="D74" s="116"/>
      <c r="E74" s="84"/>
      <c r="F74" s="90">
        <v>1050</v>
      </c>
      <c r="G74" s="198" t="str">
        <f>INDEX('FR Y-15 Data'!$A$1:$ED$36,MATCH($G$3,'FR Y-15 Data'!$A$1:$A$36,0),MATCH($Q74,'FR Y-15 Data'!$A$1:$EE$1,0))</f>
        <v>--------</v>
      </c>
      <c r="H74" s="12" t="s">
        <v>104</v>
      </c>
      <c r="I74" s="91" t="str">
        <f>IF(ISTEXT(G74),"No text please",IF(G74&lt;0,"No negatives please",IF(ISBLANK(G74),"Please enter a value",IF(AND(G74=0,ISERROR(FIND("zero",K74))),"Please confirm zero",IF(AND(G74&lt;&gt;0,K74="Confirmed zero"),"Value not zero"," ")))))</f>
        <v>No text please</v>
      </c>
      <c r="J74" s="14"/>
      <c r="K74" s="239" t="str">
        <f t="shared" ref="K74:K75" si="7">IF(G74=0,"Confirmed zero","")</f>
        <v/>
      </c>
      <c r="L74" s="237"/>
      <c r="M74" s="14"/>
      <c r="N74" s="238"/>
      <c r="O74" s="201"/>
      <c r="P74" s="233"/>
      <c r="Q74" s="240" t="s">
        <v>258</v>
      </c>
      <c r="R74" s="228"/>
      <c r="S74" s="236"/>
      <c r="T74" s="121"/>
      <c r="U74" s="8"/>
    </row>
    <row r="75" spans="1:21" s="15" customFormat="1" ht="15" customHeight="1">
      <c r="A75" s="121"/>
      <c r="B75" s="123"/>
      <c r="C75" s="115" t="s">
        <v>93</v>
      </c>
      <c r="D75" s="116"/>
      <c r="E75" s="84"/>
      <c r="F75" s="90">
        <v>1051</v>
      </c>
      <c r="G75" s="198" t="str">
        <f>INDEX('FR Y-15 Data'!$A$1:$ED$36,MATCH($G$3,'FR Y-15 Data'!$A$1:$A$36,0),MATCH($Q75,'FR Y-15 Data'!$A$1:$EE$1,0))</f>
        <v>--------</v>
      </c>
      <c r="H75" s="12" t="s">
        <v>105</v>
      </c>
      <c r="I75" s="91" t="str">
        <f>IF(ISTEXT(G75),"No text please",IF(G75&lt;0,"No negatives please",IF(ISBLANK(G75),"Please enter a value",IF(AND(G75=0,ISERROR(FIND("zero",K75))),"Please confirm zero",IF(AND(G75&lt;&gt;0,K75="Confirmed zero"),"Value not zero"," ")))))</f>
        <v>No text please</v>
      </c>
      <c r="J75" s="14"/>
      <c r="K75" s="239" t="str">
        <f t="shared" si="7"/>
        <v/>
      </c>
      <c r="L75" s="237"/>
      <c r="M75" s="14"/>
      <c r="N75" s="238"/>
      <c r="O75" s="201"/>
      <c r="P75" s="233"/>
      <c r="Q75" s="240" t="s">
        <v>259</v>
      </c>
      <c r="R75" s="228"/>
      <c r="S75" s="236"/>
      <c r="T75" s="121"/>
      <c r="U75" s="8"/>
    </row>
    <row r="76" spans="1:21" s="15" customFormat="1" ht="15" customHeight="1">
      <c r="A76" s="121"/>
      <c r="B76" s="123"/>
      <c r="C76" s="212" t="s">
        <v>382</v>
      </c>
      <c r="D76" s="213"/>
      <c r="E76" s="144"/>
      <c r="F76" s="90">
        <v>1052</v>
      </c>
      <c r="G76" s="124" t="str">
        <f>IF(COUNTIF(I69:I72,"&lt;&gt; ")+COUNTIF(I74:I75,"&lt;&gt; ")=0,SUM(G69:G71)+G72+G74+G75,"")</f>
        <v/>
      </c>
      <c r="H76" s="12" t="s">
        <v>383</v>
      </c>
      <c r="I76" s="7"/>
      <c r="J76" s="14"/>
      <c r="K76" s="7"/>
      <c r="L76" s="7"/>
      <c r="M76" s="14"/>
      <c r="N76" s="7"/>
      <c r="O76" s="77"/>
      <c r="P76" s="233"/>
      <c r="Q76" s="202"/>
      <c r="R76" s="228"/>
      <c r="S76" s="236"/>
      <c r="T76" s="121"/>
      <c r="U76" s="8"/>
    </row>
    <row r="77" spans="1:21" s="15" customFormat="1" ht="30" customHeight="1">
      <c r="A77" s="121"/>
      <c r="B77" s="141"/>
      <c r="C77" s="20"/>
      <c r="D77" s="20"/>
      <c r="E77" s="21"/>
      <c r="F77" s="145"/>
      <c r="G77" s="22"/>
      <c r="H77" s="23"/>
      <c r="I77" s="24"/>
      <c r="J77" s="14"/>
      <c r="K77" s="19"/>
      <c r="L77" s="25"/>
      <c r="M77" s="14"/>
      <c r="N77" s="25"/>
      <c r="O77" s="201"/>
      <c r="P77" s="233"/>
      <c r="Q77" s="207"/>
      <c r="R77" s="228"/>
      <c r="S77" s="236"/>
      <c r="T77" s="121"/>
      <c r="U77" s="8"/>
    </row>
    <row r="78" spans="1:21" ht="15" customHeight="1">
      <c r="A78" s="6"/>
      <c r="B78" s="76"/>
      <c r="C78" s="78" t="s">
        <v>384</v>
      </c>
      <c r="D78" s="79"/>
      <c r="E78" s="80"/>
      <c r="F78" s="81" t="s">
        <v>342</v>
      </c>
      <c r="G78" s="211" t="str">
        <f>G$22</f>
        <v>Amount in thousand USD</v>
      </c>
      <c r="H78" s="12"/>
      <c r="I78" s="11" t="str">
        <f>I$22</f>
        <v>Checks</v>
      </c>
      <c r="J78" s="7"/>
      <c r="K78" s="11" t="str">
        <f>K$22</f>
        <v>Remarks</v>
      </c>
      <c r="L78" s="11" t="str">
        <f>L$22</f>
        <v>Comments</v>
      </c>
      <c r="M78" s="7"/>
      <c r="N78" s="11" t="str">
        <f>N$22</f>
        <v>Supervisor Comments</v>
      </c>
      <c r="O78" s="77"/>
      <c r="P78" s="233"/>
      <c r="Q78" s="206"/>
      <c r="R78" s="228"/>
      <c r="S78" s="236"/>
      <c r="T78" s="6"/>
    </row>
    <row r="79" spans="1:21" s="15" customFormat="1" ht="15" customHeight="1">
      <c r="A79" s="121"/>
      <c r="B79" s="123"/>
      <c r="C79" s="110" t="s">
        <v>106</v>
      </c>
      <c r="D79" s="111"/>
      <c r="E79" s="84"/>
      <c r="F79" s="90">
        <v>1053</v>
      </c>
      <c r="G79" s="198" t="str">
        <f>INDEX('FR Y-15 Data'!$A$1:$ED$36,MATCH($G$3,'FR Y-15 Data'!$A$1:$A$36,0),MATCH($Q79,'FR Y-15 Data'!$A$1:$EE$1,0))</f>
        <v>--------</v>
      </c>
      <c r="H79" s="12" t="s">
        <v>107</v>
      </c>
      <c r="I79" s="91" t="str">
        <f>IF(ISTEXT(G79),"No text please",IF(G79&lt;0,"No negatives please",IF(ISBLANK(G79),"Please enter a value",IF(AND(G79=0,ISERROR(FIND("zero",K79))),"Please confirm zero",IF(AND(G79&lt;&gt;0,K79="Confirmed zero"),"Value not zero"," ")))))</f>
        <v>No text please</v>
      </c>
      <c r="J79" s="14"/>
      <c r="K79" s="239" t="str">
        <f t="shared" ref="K79:K85" si="8">IF(G79=0,"Confirmed zero","")</f>
        <v/>
      </c>
      <c r="L79" s="237"/>
      <c r="M79" s="14"/>
      <c r="N79" s="238"/>
      <c r="O79" s="201"/>
      <c r="P79" s="233"/>
      <c r="Q79" s="240" t="s">
        <v>260</v>
      </c>
      <c r="R79" s="228"/>
      <c r="S79" s="236"/>
      <c r="T79" s="121"/>
      <c r="U79" s="8"/>
    </row>
    <row r="80" spans="1:21" s="15" customFormat="1" ht="15" customHeight="1">
      <c r="A80" s="121"/>
      <c r="B80" s="123"/>
      <c r="C80" s="110" t="s">
        <v>108</v>
      </c>
      <c r="D80" s="111"/>
      <c r="E80" s="84"/>
      <c r="F80" s="90">
        <v>1054</v>
      </c>
      <c r="G80" s="198" t="str">
        <f>INDEX('FR Y-15 Data'!$A$1:$ED$36,MATCH($G$3,'FR Y-15 Data'!$A$1:$A$36,0),MATCH($Q80,'FR Y-15 Data'!$A$1:$EE$1,0))</f>
        <v>--------</v>
      </c>
      <c r="H80" s="12" t="s">
        <v>109</v>
      </c>
      <c r="I80" s="91" t="str">
        <f>IF(ISTEXT(G80),"No text please",IF(G80&lt;0,"No negatives please",IF(ISBLANK(G80),"Please enter a value",IF(AND(G80=0,ISERROR(FIND("zero",K80))),"Please confirm zero",IF(AND(G80&lt;&gt;0,K80="Confirmed zero"),"Value not zero"," ")))))</f>
        <v>No text please</v>
      </c>
      <c r="J80" s="14"/>
      <c r="K80" s="239" t="str">
        <f t="shared" si="8"/>
        <v/>
      </c>
      <c r="L80" s="237"/>
      <c r="M80" s="14"/>
      <c r="N80" s="238"/>
      <c r="O80" s="201"/>
      <c r="P80" s="233"/>
      <c r="Q80" s="240" t="s">
        <v>261</v>
      </c>
      <c r="R80" s="228"/>
      <c r="S80" s="236"/>
      <c r="T80" s="121"/>
      <c r="U80" s="8"/>
    </row>
    <row r="81" spans="1:21" s="15" customFormat="1" ht="15" customHeight="1">
      <c r="A81" s="121"/>
      <c r="B81" s="123"/>
      <c r="C81" s="110" t="s">
        <v>110</v>
      </c>
      <c r="D81" s="111"/>
      <c r="E81" s="84"/>
      <c r="F81" s="90">
        <v>1055</v>
      </c>
      <c r="G81" s="198" t="str">
        <f>INDEX('FR Y-15 Data'!$A$1:$ED$36,MATCH($G$3,'FR Y-15 Data'!$A$1:$A$36,0),MATCH($Q81,'FR Y-15 Data'!$A$1:$EE$1,0))</f>
        <v>--------</v>
      </c>
      <c r="H81" s="12" t="s">
        <v>111</v>
      </c>
      <c r="I81" s="91" t="str">
        <f>IF(ISTEXT(G81),"No text please",IF(G81&lt;0,"No negatives please",IF(ISBLANK(G81),"Please enter a value",IF(AND(G81=0,ISERROR(FIND("zero",K81))),"Please confirm zero",IF(AND(G81&lt;&gt;0,K81="Confirmed zero"),"Value not zero"," ")))))</f>
        <v>No text please</v>
      </c>
      <c r="J81" s="14"/>
      <c r="K81" s="239" t="str">
        <f t="shared" si="8"/>
        <v/>
      </c>
      <c r="L81" s="237"/>
      <c r="M81" s="14"/>
      <c r="N81" s="238"/>
      <c r="O81" s="201"/>
      <c r="P81" s="233"/>
      <c r="Q81" s="240" t="s">
        <v>262</v>
      </c>
      <c r="R81" s="228"/>
      <c r="S81" s="236"/>
      <c r="T81" s="121"/>
      <c r="U81" s="8"/>
    </row>
    <row r="82" spans="1:21" s="15" customFormat="1" ht="15" customHeight="1">
      <c r="A82" s="121"/>
      <c r="B82" s="123"/>
      <c r="C82" s="110" t="s">
        <v>112</v>
      </c>
      <c r="D82" s="111"/>
      <c r="E82" s="84"/>
      <c r="F82" s="90">
        <v>1056</v>
      </c>
      <c r="G82" s="198" t="str">
        <f>INDEX('FR Y-15 Data'!$A$1:$ED$36,MATCH($G$3,'FR Y-15 Data'!$A$1:$A$36,0),MATCH($Q82,'FR Y-15 Data'!$A$1:$EE$1,0))</f>
        <v>--------</v>
      </c>
      <c r="H82" s="12" t="s">
        <v>113</v>
      </c>
      <c r="I82" s="91" t="str">
        <f>IF(ISTEXT(G82),"No text please",IF(G82&lt;0,"No negatives please",IF(ISBLANK(G82),"Please enter a value",IF(AND(G82=0,ISERROR(FIND("zero",K82))),"Please confirm zero",IF(AND(G82&lt;&gt;0,K82="Confirmed zero"),"Value not zero"," ")))))</f>
        <v>No text please</v>
      </c>
      <c r="J82" s="14"/>
      <c r="K82" s="239" t="str">
        <f t="shared" si="8"/>
        <v/>
      </c>
      <c r="L82" s="237"/>
      <c r="M82" s="14"/>
      <c r="N82" s="238"/>
      <c r="O82" s="201"/>
      <c r="P82" s="233"/>
      <c r="Q82" s="240" t="s">
        <v>263</v>
      </c>
      <c r="R82" s="228"/>
      <c r="S82" s="236"/>
      <c r="T82" s="121"/>
      <c r="U82" s="8"/>
    </row>
    <row r="83" spans="1:21" s="15" customFormat="1" ht="15" customHeight="1">
      <c r="A83" s="121"/>
      <c r="B83" s="123"/>
      <c r="C83" s="110" t="s">
        <v>114</v>
      </c>
      <c r="D83" s="111"/>
      <c r="E83" s="84"/>
      <c r="F83" s="90">
        <v>1057</v>
      </c>
      <c r="G83" s="198" t="str">
        <f>INDEX('FR Y-15 Data'!$A$1:$ED$36,MATCH($G$3,'FR Y-15 Data'!$A$1:$A$36,0),MATCH($Q83,'FR Y-15 Data'!$A$1:$EE$1,0))</f>
        <v>--------</v>
      </c>
      <c r="H83" s="12" t="s">
        <v>115</v>
      </c>
      <c r="I83" s="91" t="str">
        <f>IF(ISTEXT(G83),"No text please",IF(G83&lt;0,"No negatives please",IF(ISBLANK(G83),"Please enter a value",IF(AND(G83=0,ISERROR(FIND("zero",K83))),"Please confirm zero",IF(AND(G83&lt;&gt;0,K83="Confirmed zero"),"Value not zero",IF($G$83&lt;$G$164,"&lt; 15.d"," "))))))</f>
        <v>No text please</v>
      </c>
      <c r="J83" s="14"/>
      <c r="K83" s="239" t="str">
        <f t="shared" si="8"/>
        <v/>
      </c>
      <c r="L83" s="237"/>
      <c r="M83" s="14"/>
      <c r="N83" s="238"/>
      <c r="O83" s="201"/>
      <c r="P83" s="233"/>
      <c r="Q83" s="240" t="s">
        <v>264</v>
      </c>
      <c r="R83" s="228"/>
      <c r="S83" s="236"/>
      <c r="T83" s="121"/>
      <c r="U83" s="8"/>
    </row>
    <row r="84" spans="1:21" s="15" customFormat="1" ht="15" customHeight="1">
      <c r="A84" s="121"/>
      <c r="B84" s="123"/>
      <c r="C84" s="110" t="s">
        <v>116</v>
      </c>
      <c r="D84" s="111"/>
      <c r="E84" s="84"/>
      <c r="F84" s="90">
        <v>1058</v>
      </c>
      <c r="G84" s="198" t="str">
        <f>INDEX('FR Y-15 Data'!$A$1:$ED$36,MATCH($G$3,'FR Y-15 Data'!$A$1:$A$36,0),MATCH($Q84,'FR Y-15 Data'!$A$1:$EE$1,0))</f>
        <v>--------</v>
      </c>
      <c r="H84" s="12" t="s">
        <v>117</v>
      </c>
      <c r="I84" s="91" t="str">
        <f>IF(ISTEXT(G84),"No text please",IF(G84&lt;0,"No negatives please",IF(ISBLANK(G84),"Please enter a value",IF(AND(G84=0,ISERROR(FIND("zero",K84))),"Please confirm zero",IF(AND(G84&lt;&gt;0,K84="Confirmed zero"),"Value not zero"," ")))))</f>
        <v>No text please</v>
      </c>
      <c r="J84" s="14"/>
      <c r="K84" s="239" t="str">
        <f t="shared" si="8"/>
        <v/>
      </c>
      <c r="L84" s="237"/>
      <c r="M84" s="14"/>
      <c r="N84" s="238"/>
      <c r="O84" s="201"/>
      <c r="P84" s="233"/>
      <c r="Q84" s="240" t="s">
        <v>265</v>
      </c>
      <c r="R84" s="228"/>
      <c r="S84" s="236"/>
      <c r="T84" s="121"/>
      <c r="U84" s="8"/>
    </row>
    <row r="85" spans="1:21" s="15" customFormat="1" ht="15" customHeight="1">
      <c r="A85" s="121"/>
      <c r="B85" s="123"/>
      <c r="C85" s="110" t="s">
        <v>118</v>
      </c>
      <c r="D85" s="111"/>
      <c r="E85" s="84"/>
      <c r="F85" s="90">
        <v>1059</v>
      </c>
      <c r="G85" s="198" t="str">
        <f>INDEX('FR Y-15 Data'!$A$1:$ED$36,MATCH($G$3,'FR Y-15 Data'!$A$1:$A$36,0),MATCH($Q85,'FR Y-15 Data'!$A$1:$EE$1,0))</f>
        <v>--------</v>
      </c>
      <c r="H85" s="12" t="s">
        <v>119</v>
      </c>
      <c r="I85" s="91" t="str">
        <f>IF(ISTEXT(G85),"No text please",IF(G85&lt;0,"No negatives please",IF(ISBLANK(G85),"Please enter a value",IF(AND(G85=0,ISERROR(FIND("zero",K85))),"Please confirm zero",IF(AND(G85&lt;&gt;0,K85="Confirmed zero"),"Value not zero"," ")))))</f>
        <v>No text please</v>
      </c>
      <c r="J85" s="14"/>
      <c r="K85" s="239" t="str">
        <f t="shared" si="8"/>
        <v/>
      </c>
      <c r="L85" s="237"/>
      <c r="M85" s="14"/>
      <c r="N85" s="238"/>
      <c r="O85" s="201"/>
      <c r="P85" s="233"/>
      <c r="Q85" s="240" t="s">
        <v>266</v>
      </c>
      <c r="R85" s="228"/>
      <c r="S85" s="236"/>
      <c r="T85" s="121"/>
      <c r="U85" s="8"/>
    </row>
    <row r="86" spans="1:21" ht="15" customHeight="1">
      <c r="A86" s="6"/>
      <c r="B86" s="123"/>
      <c r="C86" s="212" t="s">
        <v>385</v>
      </c>
      <c r="D86" s="213"/>
      <c r="E86" s="144"/>
      <c r="F86" s="90">
        <v>1060</v>
      </c>
      <c r="G86" s="124" t="str">
        <f>IF(COUNTIF(I79:I85,"&lt;&gt; ")=0,SUM(G79:G85),"")</f>
        <v/>
      </c>
      <c r="H86" s="12" t="s">
        <v>386</v>
      </c>
      <c r="I86" s="7"/>
      <c r="J86" s="7"/>
      <c r="K86" s="7"/>
      <c r="L86" s="7"/>
      <c r="M86" s="7"/>
      <c r="N86" s="7"/>
      <c r="O86" s="77"/>
      <c r="P86" s="233"/>
      <c r="Q86" s="202"/>
      <c r="R86" s="228"/>
      <c r="S86" s="236"/>
      <c r="T86" s="6"/>
    </row>
    <row r="87" spans="1:21" ht="20.149999999999999" customHeight="1">
      <c r="A87" s="6"/>
      <c r="B87" s="97"/>
      <c r="C87" s="98"/>
      <c r="D87" s="98"/>
      <c r="E87" s="99"/>
      <c r="F87" s="100"/>
      <c r="G87" s="99"/>
      <c r="H87" s="101"/>
      <c r="I87" s="99"/>
      <c r="J87" s="99"/>
      <c r="K87" s="99"/>
      <c r="L87" s="99"/>
      <c r="M87" s="99"/>
      <c r="N87" s="99"/>
      <c r="O87" s="102"/>
      <c r="P87" s="233"/>
      <c r="Q87" s="202"/>
      <c r="R87" s="228"/>
      <c r="S87" s="236"/>
      <c r="T87" s="6"/>
    </row>
    <row r="88" spans="1:21" ht="20.149999999999999" customHeight="1">
      <c r="A88" s="6"/>
      <c r="B88" s="72" t="s">
        <v>120</v>
      </c>
      <c r="C88" s="73"/>
      <c r="D88" s="73"/>
      <c r="E88" s="73"/>
      <c r="F88" s="73"/>
      <c r="G88" s="73"/>
      <c r="H88" s="74"/>
      <c r="I88" s="73"/>
      <c r="J88" s="73"/>
      <c r="K88" s="73"/>
      <c r="L88" s="73"/>
      <c r="M88" s="73"/>
      <c r="N88" s="73"/>
      <c r="O88" s="75"/>
      <c r="P88" s="233"/>
      <c r="Q88" s="204"/>
      <c r="R88" s="228"/>
      <c r="S88" s="236"/>
      <c r="T88" s="6"/>
    </row>
    <row r="89" spans="1:21" ht="20.149999999999999" customHeight="1">
      <c r="A89" s="6"/>
      <c r="B89" s="132"/>
      <c r="C89" s="133"/>
      <c r="D89" s="133"/>
      <c r="E89" s="134"/>
      <c r="F89" s="135"/>
      <c r="G89" s="136"/>
      <c r="H89" s="137"/>
      <c r="I89" s="136"/>
      <c r="J89" s="105"/>
      <c r="K89" s="138"/>
      <c r="L89" s="136"/>
      <c r="M89" s="105"/>
      <c r="N89" s="136"/>
      <c r="O89" s="108"/>
      <c r="P89" s="233"/>
      <c r="Q89" s="205"/>
      <c r="R89" s="228"/>
      <c r="S89" s="236"/>
      <c r="T89" s="6"/>
    </row>
    <row r="90" spans="1:21" ht="15" customHeight="1">
      <c r="A90" s="6"/>
      <c r="B90" s="141"/>
      <c r="C90" s="390" t="s">
        <v>387</v>
      </c>
      <c r="D90" s="380" t="s">
        <v>121</v>
      </c>
      <c r="E90" s="380" t="s">
        <v>290</v>
      </c>
      <c r="F90" s="211"/>
      <c r="G90" s="381" t="str">
        <f>G$22</f>
        <v>Amount in thousand USD</v>
      </c>
      <c r="H90" s="23"/>
      <c r="I90" s="18"/>
      <c r="J90" s="7"/>
      <c r="K90" s="19"/>
      <c r="L90" s="18"/>
      <c r="M90" s="7"/>
      <c r="N90" s="18"/>
      <c r="O90" s="77"/>
      <c r="P90" s="233"/>
      <c r="Q90" s="205"/>
      <c r="R90" s="228"/>
      <c r="S90" s="236"/>
      <c r="T90" s="6"/>
    </row>
    <row r="91" spans="1:21" ht="15" customHeight="1">
      <c r="A91" s="6"/>
      <c r="B91" s="109"/>
      <c r="C91" s="391"/>
      <c r="D91" s="380"/>
      <c r="E91" s="380"/>
      <c r="F91" s="81" t="s">
        <v>342</v>
      </c>
      <c r="G91" s="381"/>
      <c r="H91" s="12"/>
      <c r="I91" s="11" t="str">
        <f>I$22</f>
        <v>Checks</v>
      </c>
      <c r="J91" s="7"/>
      <c r="K91" s="11" t="str">
        <f>K$22</f>
        <v>Remarks</v>
      </c>
      <c r="L91" s="11" t="str">
        <f>L$22</f>
        <v>Comments</v>
      </c>
      <c r="M91" s="7"/>
      <c r="N91" s="11" t="str">
        <f>N$22</f>
        <v>Supervisor Comments</v>
      </c>
      <c r="O91" s="77"/>
      <c r="P91" s="233"/>
      <c r="Q91" s="206"/>
      <c r="R91" s="228"/>
      <c r="S91" s="236"/>
      <c r="T91" s="6"/>
    </row>
    <row r="92" spans="1:21" ht="15" customHeight="1">
      <c r="A92" s="6"/>
      <c r="B92" s="109"/>
      <c r="C92" s="110" t="s">
        <v>122</v>
      </c>
      <c r="D92" s="146" t="s">
        <v>123</v>
      </c>
      <c r="E92" s="242" t="str">
        <f>IF($G$3="----","--------",INDEX('FR Y-15 Data'!$A$1:$ED$36,MATCH($G$3,'FR Y-15 Data'!$A$1:$A$36,0),MATCH($Q92,'FR Y-15 Data'!$A$1:$EE$1,0))*$R92)</f>
        <v>--------</v>
      </c>
      <c r="F92" s="90">
        <v>1061</v>
      </c>
      <c r="G92" s="219" t="str">
        <f>IF(AND(ISNUMBER(E92),VLOOKUP(D92,$D$229:$I$243,COLUMNS($D$229:$I$243),FALSE)=" "),E92*VLOOKUP(D92,$D$229:$E$243,2,FALSE)," ")</f>
        <v xml:space="preserve"> </v>
      </c>
      <c r="H92" s="12" t="s">
        <v>124</v>
      </c>
      <c r="I92" s="91" t="str">
        <f t="shared" ref="I92:I103" si="9">IF(ISTEXT(E92),"No text please",IF(E92&lt;0,"No negatives please",IF(ISBLANK(E92),"Please enter a value",IF(AND(E92=0,ISERROR(FIND("zero",K92))),"Please confirm zero",IF(AND(E92&lt;&gt;0,K92="Confirmed zero"),"Value not zero",IF(VLOOKUP(D92,$D$229:$I$243,COLUMNS($D$229:$I$243),FALSE)&lt;&gt;" ","See item "&amp;VLOOKUP(D92,$D$229:$I$243,COLUMNS($D$229:$I$243)-1,FALSE)," "))))))</f>
        <v>No text please</v>
      </c>
      <c r="J92" s="7"/>
      <c r="K92" s="239" t="str">
        <f t="shared" ref="K92:K103" si="10">IF(G92=0,"Confirmed zero","")</f>
        <v/>
      </c>
      <c r="L92" s="237"/>
      <c r="M92" s="7"/>
      <c r="N92" s="238"/>
      <c r="O92" s="77"/>
      <c r="P92" s="233"/>
      <c r="Q92" s="243" t="s">
        <v>302</v>
      </c>
      <c r="R92" s="227">
        <f>POWER(0.902864538,-1)</f>
        <v>1.1075858646693244</v>
      </c>
      <c r="S92" s="234"/>
      <c r="T92" s="6"/>
    </row>
    <row r="93" spans="1:21" ht="15" customHeight="1">
      <c r="A93" s="6"/>
      <c r="B93" s="109"/>
      <c r="C93" s="110" t="s">
        <v>125</v>
      </c>
      <c r="D93" s="146" t="s">
        <v>126</v>
      </c>
      <c r="E93" s="244" t="str">
        <f>IF($G$3="----","--------",INDEX('FR Y-15 Data'!$A$1:$ED$36,MATCH($G$3,'FR Y-15 Data'!$A$1:$A$36,0),MATCH($Q93,'FR Y-15 Data'!$A$1:$EE$1,0))*$R93)</f>
        <v>--------</v>
      </c>
      <c r="F93" s="90">
        <v>1062</v>
      </c>
      <c r="G93" s="219" t="str">
        <f t="shared" ref="G93:G103" si="11">IF(AND(ISNUMBER(E93),VLOOKUP(D93,$D$229:$I$243,COLUMNS($D$229:$I$243),FALSE)=" "),E93*VLOOKUP(D93,$D$229:$E$243,2,FALSE)," ")</f>
        <v xml:space="preserve"> </v>
      </c>
      <c r="H93" s="12" t="s">
        <v>127</v>
      </c>
      <c r="I93" s="91" t="str">
        <f t="shared" si="9"/>
        <v>No text please</v>
      </c>
      <c r="J93" s="7"/>
      <c r="K93" s="239" t="str">
        <f t="shared" si="10"/>
        <v/>
      </c>
      <c r="L93" s="237"/>
      <c r="M93" s="7"/>
      <c r="N93" s="238"/>
      <c r="O93" s="77"/>
      <c r="P93" s="233"/>
      <c r="Q93" s="243" t="s">
        <v>303</v>
      </c>
      <c r="R93" s="227">
        <f>POWER(0.426194918,-1)</f>
        <v>2.3463442611955312</v>
      </c>
      <c r="S93" s="234"/>
      <c r="T93" s="6"/>
    </row>
    <row r="94" spans="1:21" ht="15" customHeight="1">
      <c r="A94" s="6"/>
      <c r="B94" s="109"/>
      <c r="C94" s="110" t="s">
        <v>128</v>
      </c>
      <c r="D94" s="146" t="s">
        <v>129</v>
      </c>
      <c r="E94" s="245" t="str">
        <f>IF($G$3="----","--------",INDEX('FR Y-15 Data'!$A$1:$ED$36,MATCH($G$3,'FR Y-15 Data'!$A$1:$A$36,0),MATCH($Q94,'FR Y-15 Data'!$A$1:$EE$1,0))*$R94)</f>
        <v>--------</v>
      </c>
      <c r="F94" s="90">
        <v>1063</v>
      </c>
      <c r="G94" s="219" t="str">
        <f t="shared" si="11"/>
        <v xml:space="preserve"> </v>
      </c>
      <c r="H94" s="12" t="s">
        <v>130</v>
      </c>
      <c r="I94" s="91" t="str">
        <f t="shared" si="9"/>
        <v>No text please</v>
      </c>
      <c r="J94" s="7"/>
      <c r="K94" s="239" t="str">
        <f t="shared" si="10"/>
        <v/>
      </c>
      <c r="L94" s="237"/>
      <c r="M94" s="7"/>
      <c r="N94" s="238"/>
      <c r="O94" s="77"/>
      <c r="P94" s="233"/>
      <c r="Q94" s="243" t="s">
        <v>304</v>
      </c>
      <c r="R94" s="227">
        <f>POWER(0.905971782,-1)</f>
        <v>1.1037871375998332</v>
      </c>
      <c r="S94" s="234"/>
      <c r="T94" s="6"/>
    </row>
    <row r="95" spans="1:21" ht="15" customHeight="1">
      <c r="A95" s="6"/>
      <c r="B95" s="109"/>
      <c r="C95" s="110" t="s">
        <v>131</v>
      </c>
      <c r="D95" s="146" t="s">
        <v>132</v>
      </c>
      <c r="E95" s="246" t="str">
        <f>IF($G$3="----","--------",INDEX('FR Y-15 Data'!$A$1:$ED$36,MATCH($G$3,'FR Y-15 Data'!$A$1:$A$36,0),MATCH($Q95,'FR Y-15 Data'!$A$1:$EE$1,0))*$R95)</f>
        <v>--------</v>
      </c>
      <c r="F95" s="90">
        <v>1064</v>
      </c>
      <c r="G95" s="219" t="str">
        <f>IF(AND(ISNUMBER(E95),VLOOKUP(D95,$D$229:$I$243,COLUMNS($D$229:$I$243),FALSE)=" "),E95*VLOOKUP(D95,$D$229:$E$243,2,FALSE)," ")</f>
        <v xml:space="preserve"> </v>
      </c>
      <c r="H95" s="12" t="s">
        <v>133</v>
      </c>
      <c r="I95" s="91" t="str">
        <f t="shared" si="9"/>
        <v>No text please</v>
      </c>
      <c r="J95" s="7"/>
      <c r="K95" s="239" t="str">
        <f t="shared" si="10"/>
        <v/>
      </c>
      <c r="L95" s="237"/>
      <c r="M95" s="7"/>
      <c r="N95" s="238"/>
      <c r="O95" s="77"/>
      <c r="P95" s="233"/>
      <c r="Q95" s="243" t="s">
        <v>305</v>
      </c>
      <c r="R95" s="227">
        <f>POWER(1.093565981,-1)</f>
        <v>0.914439565032519</v>
      </c>
      <c r="S95" s="234"/>
      <c r="T95" s="6"/>
    </row>
    <row r="96" spans="1:21" ht="15" customHeight="1">
      <c r="A96" s="6"/>
      <c r="B96" s="109"/>
      <c r="C96" s="110" t="s">
        <v>134</v>
      </c>
      <c r="D96" s="146" t="s">
        <v>135</v>
      </c>
      <c r="E96" s="247" t="str">
        <f>IF($G$3="----","--------",INDEX('FR Y-15 Data'!$A$1:$ED$36,MATCH($G$3,'FR Y-15 Data'!$A$1:$A$36,0),MATCH($Q96,'FR Y-15 Data'!$A$1:$EE$1,0))*$R96)</f>
        <v>--------</v>
      </c>
      <c r="F96" s="90">
        <v>1065</v>
      </c>
      <c r="G96" s="219" t="str">
        <f t="shared" si="11"/>
        <v xml:space="preserve"> </v>
      </c>
      <c r="H96" s="12" t="s">
        <v>136</v>
      </c>
      <c r="I96" s="91" t="str">
        <f t="shared" si="9"/>
        <v>No text please</v>
      </c>
      <c r="J96" s="7"/>
      <c r="K96" s="239" t="str">
        <f t="shared" si="10"/>
        <v/>
      </c>
      <c r="L96" s="237"/>
      <c r="M96" s="7"/>
      <c r="N96" s="238"/>
      <c r="O96" s="77"/>
      <c r="P96" s="233"/>
      <c r="Q96" s="243" t="s">
        <v>306</v>
      </c>
      <c r="R96" s="227">
        <f>POWER(0.162321172,-1)</f>
        <v>6.1606257993257953</v>
      </c>
      <c r="S96" s="234"/>
      <c r="T96" s="6"/>
    </row>
    <row r="97" spans="1:20" ht="15" customHeight="1">
      <c r="A97" s="6"/>
      <c r="B97" s="109"/>
      <c r="C97" s="110" t="s">
        <v>137</v>
      </c>
      <c r="D97" s="146" t="s">
        <v>138</v>
      </c>
      <c r="E97" s="248" t="str">
        <f>IF($G$3="----","--------",INDEX('FR Y-15 Data'!$A$1:$ED$36,MATCH($G$3,'FR Y-15 Data'!$A$1:$A$36,0),MATCH($Q97,'FR Y-15 Data'!$A$1:$EE$1,0))*$R97)</f>
        <v>--------</v>
      </c>
      <c r="F97" s="90">
        <v>1066</v>
      </c>
      <c r="G97" s="219" t="str">
        <f t="shared" si="11"/>
        <v xml:space="preserve"> </v>
      </c>
      <c r="H97" s="12" t="s">
        <v>139</v>
      </c>
      <c r="I97" s="91" t="str">
        <f t="shared" si="9"/>
        <v>No text please</v>
      </c>
      <c r="J97" s="7"/>
      <c r="K97" s="239" t="str">
        <f t="shared" si="10"/>
        <v/>
      </c>
      <c r="L97" s="237"/>
      <c r="M97" s="7"/>
      <c r="N97" s="238"/>
      <c r="O97" s="77"/>
      <c r="P97" s="233"/>
      <c r="Q97" s="243" t="s">
        <v>307</v>
      </c>
      <c r="R97" s="227">
        <f>POWER(1.3285,-1)</f>
        <v>0.75272864132480244</v>
      </c>
      <c r="S97" s="234"/>
      <c r="T97" s="6"/>
    </row>
    <row r="98" spans="1:20" ht="15" customHeight="1">
      <c r="A98" s="6"/>
      <c r="B98" s="109"/>
      <c r="C98" s="110" t="s">
        <v>140</v>
      </c>
      <c r="D98" s="146" t="s">
        <v>141</v>
      </c>
      <c r="E98" s="249" t="str">
        <f>IF($G$3="----","--------",INDEX('FR Y-15 Data'!$A$1:$ED$36,MATCH($G$3,'FR Y-15 Data'!$A$1:$A$36,0),MATCH($Q98,'FR Y-15 Data'!$A$1:$EE$1,0))*$R98)</f>
        <v>--------</v>
      </c>
      <c r="F98" s="90">
        <v>1067</v>
      </c>
      <c r="G98" s="219" t="str">
        <f t="shared" si="11"/>
        <v xml:space="preserve"> </v>
      </c>
      <c r="H98" s="12" t="s">
        <v>142</v>
      </c>
      <c r="I98" s="91" t="str">
        <f t="shared" si="9"/>
        <v>No text please</v>
      </c>
      <c r="J98" s="7"/>
      <c r="K98" s="239" t="str">
        <f t="shared" si="10"/>
        <v/>
      </c>
      <c r="L98" s="237"/>
      <c r="M98" s="7"/>
      <c r="N98" s="238"/>
      <c r="O98" s="77"/>
      <c r="P98" s="233"/>
      <c r="Q98" s="243" t="s">
        <v>308</v>
      </c>
      <c r="R98" s="227">
        <f>POWER(1.647661515,-1)</f>
        <v>0.60692077280205214</v>
      </c>
      <c r="S98" s="234"/>
      <c r="T98" s="6"/>
    </row>
    <row r="99" spans="1:20" ht="15" customHeight="1">
      <c r="A99" s="6"/>
      <c r="B99" s="109"/>
      <c r="C99" s="110" t="s">
        <v>143</v>
      </c>
      <c r="D99" s="146" t="s">
        <v>144</v>
      </c>
      <c r="E99" s="250" t="str">
        <f>IF($G$3="----","--------",INDEX('FR Y-15 Data'!$A$1:$ED$36,MATCH($G$3,'FR Y-15 Data'!$A$1:$A$36,0),MATCH($Q99,'FR Y-15 Data'!$A$1:$EE$1,0))*$R99)</f>
        <v>--------</v>
      </c>
      <c r="F99" s="90">
        <v>1068</v>
      </c>
      <c r="G99" s="219" t="str">
        <f t="shared" si="11"/>
        <v xml:space="preserve"> </v>
      </c>
      <c r="H99" s="12" t="s">
        <v>145</v>
      </c>
      <c r="I99" s="91" t="str">
        <f t="shared" si="9"/>
        <v>No text please</v>
      </c>
      <c r="J99" s="7"/>
      <c r="K99" s="239" t="str">
        <f t="shared" si="10"/>
        <v/>
      </c>
      <c r="L99" s="237"/>
      <c r="M99" s="7"/>
      <c r="N99" s="238"/>
      <c r="O99" s="77"/>
      <c r="P99" s="233"/>
      <c r="Q99" s="243" t="s">
        <v>309</v>
      </c>
      <c r="R99" s="227">
        <f>POWER(0.12895007,-1)</f>
        <v>7.7549395669191963</v>
      </c>
      <c r="S99" s="234"/>
      <c r="T99" s="6"/>
    </row>
    <row r="100" spans="1:20" ht="15" customHeight="1">
      <c r="A100" s="6"/>
      <c r="B100" s="109"/>
      <c r="C100" s="110" t="s">
        <v>146</v>
      </c>
      <c r="D100" s="146" t="s">
        <v>147</v>
      </c>
      <c r="E100" s="251" t="str">
        <f>IF($G$3="----","--------",INDEX('FR Y-15 Data'!$A$1:$ED$36,MATCH($G$3,'FR Y-15 Data'!$A$1:$A$36,0),MATCH($Q100,'FR Y-15 Data'!$A$1:$EE$1,0))*$R100)</f>
        <v>--------</v>
      </c>
      <c r="F100" s="90">
        <v>1069</v>
      </c>
      <c r="G100" s="219" t="str">
        <f t="shared" si="11"/>
        <v xml:space="preserve"> </v>
      </c>
      <c r="H100" s="12" t="s">
        <v>148</v>
      </c>
      <c r="I100" s="91" t="str">
        <f t="shared" si="9"/>
        <v>No text please</v>
      </c>
      <c r="J100" s="7"/>
      <c r="K100" s="239" t="str">
        <f t="shared" si="10"/>
        <v/>
      </c>
      <c r="L100" s="237"/>
      <c r="M100" s="7"/>
      <c r="N100" s="238"/>
      <c r="O100" s="77"/>
      <c r="P100" s="233"/>
      <c r="Q100" s="243" t="s">
        <v>310</v>
      </c>
      <c r="R100" s="227">
        <f>POWER(0.016392589,-1)</f>
        <v>61.003176496403348</v>
      </c>
      <c r="S100" s="234"/>
      <c r="T100" s="6"/>
    </row>
    <row r="101" spans="1:20" ht="15" customHeight="1">
      <c r="A101" s="6"/>
      <c r="B101" s="109"/>
      <c r="C101" s="110" t="s">
        <v>149</v>
      </c>
      <c r="D101" s="146" t="s">
        <v>150</v>
      </c>
      <c r="E101" s="252" t="str">
        <f>IF($G$3="----","--------",INDEX('FR Y-15 Data'!$A$1:$ED$36,MATCH($G$3,'FR Y-15 Data'!$A$1:$A$36,0),MATCH($Q101,'FR Y-15 Data'!$A$1:$EE$1,0))*$R101)</f>
        <v>--------</v>
      </c>
      <c r="F101" s="90">
        <v>1070</v>
      </c>
      <c r="G101" s="219" t="str">
        <f t="shared" si="11"/>
        <v xml:space="preserve"> </v>
      </c>
      <c r="H101" s="12" t="s">
        <v>151</v>
      </c>
      <c r="I101" s="91" t="str">
        <f>IF(ISTEXT(E101),"No text please",IF(E101&lt;0,"No negatives please",IF(ISBLANK(E101),"Please enter a value",IF(AND(E101=0,ISERROR(FIND("zero",K101))),"Please confirm zero",IF(AND(E101&lt;&gt;0,K101="Confirmed zero"),"Value not zero",IF(VLOOKUP(D101,$D$229:$I$243,COLUMNS($D$229:$I$243),FALSE)&lt;&gt;" ","See item "&amp;VLOOKUP(D101,$D$229:$I$243,COLUMNS($D$229:$I$243)-1,FALSE)," "))))))</f>
        <v>No text please</v>
      </c>
      <c r="J101" s="7"/>
      <c r="K101" s="239" t="str">
        <f t="shared" si="10"/>
        <v/>
      </c>
      <c r="L101" s="237"/>
      <c r="M101" s="7"/>
      <c r="N101" s="238"/>
      <c r="O101" s="77"/>
      <c r="P101" s="233"/>
      <c r="Q101" s="243" t="s">
        <v>311</v>
      </c>
      <c r="R101" s="227">
        <f>POWER(0.009476132,-1)</f>
        <v>105.52828939065012</v>
      </c>
      <c r="S101" s="234"/>
      <c r="T101" s="6"/>
    </row>
    <row r="102" spans="1:20" ht="15" customHeight="1">
      <c r="A102" s="6"/>
      <c r="B102" s="109"/>
      <c r="C102" s="110" t="s">
        <v>152</v>
      </c>
      <c r="D102" s="146" t="s">
        <v>153</v>
      </c>
      <c r="E102" s="253" t="str">
        <f>IF($G$3="----","--------",INDEX('FR Y-15 Data'!$A$1:$ED$36,MATCH($G$3,'FR Y-15 Data'!$A$1:$A$36,0),MATCH($Q102,'FR Y-15 Data'!$A$1:$EE$1,0))*$R102)</f>
        <v>--------</v>
      </c>
      <c r="F102" s="90">
        <v>1071</v>
      </c>
      <c r="G102" s="219" t="str">
        <f t="shared" si="11"/>
        <v xml:space="preserve"> </v>
      </c>
      <c r="H102" s="12" t="s">
        <v>154</v>
      </c>
      <c r="I102" s="91" t="str">
        <f t="shared" si="9"/>
        <v>No text please</v>
      </c>
      <c r="J102" s="7"/>
      <c r="K102" s="239" t="str">
        <f t="shared" si="10"/>
        <v/>
      </c>
      <c r="L102" s="237"/>
      <c r="M102" s="7"/>
      <c r="N102" s="238"/>
      <c r="O102" s="77"/>
      <c r="P102" s="233"/>
      <c r="Q102" s="243" t="s">
        <v>312</v>
      </c>
      <c r="R102" s="227">
        <f>POWER(0.146147581,-1)</f>
        <v>6.8423985751772385</v>
      </c>
      <c r="S102" s="234"/>
      <c r="T102" s="6"/>
    </row>
    <row r="103" spans="1:20" ht="15" customHeight="1">
      <c r="A103" s="6"/>
      <c r="B103" s="109"/>
      <c r="C103" s="110" t="s">
        <v>155</v>
      </c>
      <c r="D103" s="146" t="s">
        <v>156</v>
      </c>
      <c r="E103" s="254" t="str">
        <f>IF($G$3="----","--------",INDEX('FR Y-15 Data'!$A$1:$ED$36,MATCH($G$3,'FR Y-15 Data'!$A$1:$A$36,0),MATCH($Q103,'FR Y-15 Data'!$A$1:$EE$1,0)))</f>
        <v>--------</v>
      </c>
      <c r="F103" s="90">
        <v>1072</v>
      </c>
      <c r="G103" s="219" t="str">
        <f t="shared" si="11"/>
        <v xml:space="preserve"> </v>
      </c>
      <c r="H103" s="12" t="s">
        <v>157</v>
      </c>
      <c r="I103" s="91" t="str">
        <f t="shared" si="9"/>
        <v>No text please</v>
      </c>
      <c r="J103" s="7"/>
      <c r="K103" s="239" t="str">
        <f t="shared" si="10"/>
        <v/>
      </c>
      <c r="L103" s="237"/>
      <c r="M103" s="7"/>
      <c r="N103" s="238"/>
      <c r="O103" s="77"/>
      <c r="P103" s="233"/>
      <c r="Q103" s="243" t="s">
        <v>267</v>
      </c>
      <c r="R103" s="33"/>
      <c r="S103" s="234"/>
      <c r="T103" s="6"/>
    </row>
    <row r="104" spans="1:20" ht="15" customHeight="1">
      <c r="A104" s="6"/>
      <c r="B104" s="109"/>
      <c r="C104" s="392" t="s">
        <v>388</v>
      </c>
      <c r="D104" s="393"/>
      <c r="E104" s="394"/>
      <c r="F104" s="90">
        <v>1073</v>
      </c>
      <c r="G104" s="220" t="str">
        <f>IF(COUNTIF(G92:G103,"= ")+COUNTIF(I92:I103,"&lt;&gt; ")=0,SUM(G92:G103)," ")</f>
        <v xml:space="preserve"> </v>
      </c>
      <c r="H104" s="12" t="s">
        <v>389</v>
      </c>
      <c r="I104" s="7"/>
      <c r="J104" s="7"/>
      <c r="K104" s="7"/>
      <c r="L104" s="7"/>
      <c r="M104" s="7"/>
      <c r="N104" s="7"/>
      <c r="O104" s="77"/>
      <c r="P104" s="233"/>
      <c r="Q104" s="202"/>
      <c r="R104" s="33"/>
      <c r="S104" s="234"/>
      <c r="T104" s="6"/>
    </row>
    <row r="105" spans="1:20" ht="20.149999999999999" customHeight="1">
      <c r="A105" s="6"/>
      <c r="B105" s="141"/>
      <c r="C105" s="16"/>
      <c r="D105" s="16"/>
      <c r="E105" s="17"/>
      <c r="F105" s="142"/>
      <c r="G105" s="18"/>
      <c r="H105" s="23"/>
      <c r="I105" s="18"/>
      <c r="J105" s="7"/>
      <c r="K105" s="19"/>
      <c r="L105" s="18"/>
      <c r="M105" s="7"/>
      <c r="N105" s="18"/>
      <c r="O105" s="77"/>
      <c r="P105" s="233"/>
      <c r="Q105" s="205"/>
      <c r="R105" s="33"/>
      <c r="S105" s="234"/>
      <c r="T105" s="6"/>
    </row>
    <row r="106" spans="1:20" ht="20.149999999999999" customHeight="1">
      <c r="A106" s="6"/>
      <c r="B106" s="141"/>
      <c r="C106" s="16"/>
      <c r="D106" s="16"/>
      <c r="E106" s="17"/>
      <c r="F106" s="142"/>
      <c r="G106" s="18"/>
      <c r="H106" s="23"/>
      <c r="I106" s="18"/>
      <c r="J106" s="7"/>
      <c r="K106" s="19"/>
      <c r="L106" s="18"/>
      <c r="M106" s="7"/>
      <c r="N106" s="18"/>
      <c r="O106" s="77"/>
      <c r="P106" s="233"/>
      <c r="Q106" s="205"/>
      <c r="R106" s="33"/>
      <c r="S106" s="234"/>
      <c r="T106" s="6"/>
    </row>
    <row r="107" spans="1:20" ht="15" customHeight="1">
      <c r="A107" s="6"/>
      <c r="B107" s="76"/>
      <c r="C107" s="148" t="s">
        <v>390</v>
      </c>
      <c r="D107" s="149"/>
      <c r="E107" s="150"/>
      <c r="F107" s="143" t="s">
        <v>342</v>
      </c>
      <c r="G107" s="211" t="str">
        <f>G$22</f>
        <v>Amount in thousand USD</v>
      </c>
      <c r="H107" s="12"/>
      <c r="I107" s="11" t="str">
        <f>I$22</f>
        <v>Checks</v>
      </c>
      <c r="J107" s="7"/>
      <c r="K107" s="11" t="str">
        <f>K$22</f>
        <v>Remarks</v>
      </c>
      <c r="L107" s="11" t="str">
        <f>L$22</f>
        <v>Comments</v>
      </c>
      <c r="M107" s="7"/>
      <c r="N107" s="11" t="str">
        <f>N$22</f>
        <v>Supervisor Comments</v>
      </c>
      <c r="O107" s="77"/>
      <c r="P107" s="233"/>
      <c r="Q107" s="206"/>
      <c r="R107" s="33"/>
      <c r="S107" s="234"/>
      <c r="T107" s="6"/>
    </row>
    <row r="108" spans="1:20" ht="15" customHeight="1">
      <c r="A108" s="6"/>
      <c r="B108" s="151"/>
      <c r="C108" s="212" t="s">
        <v>391</v>
      </c>
      <c r="D108" s="213"/>
      <c r="E108" s="144"/>
      <c r="F108" s="90">
        <v>1074</v>
      </c>
      <c r="G108" s="198" t="str">
        <f>INDEX('FR Y-15 Data'!$A$1:$ED$36,MATCH($G$3,'FR Y-15 Data'!$A$1:$A$36,0),MATCH($Q108,'FR Y-15 Data'!$A$1:$EE$1,0))</f>
        <v>--------</v>
      </c>
      <c r="H108" s="12" t="s">
        <v>392</v>
      </c>
      <c r="I108" s="91" t="str">
        <f>IF(ISTEXT(G108),"No text please",IF(G108&lt;0,"No negatives please",IF(ISBLANK(G108),"Please enter a value",IF(AND(G108=0,ISERROR(FIND("zero",K108))),"Please confirm zero",IF(AND(G108&lt;&gt;0,K108="Confirmed zero"),"Value not zero"," ")))))</f>
        <v>No text please</v>
      </c>
      <c r="J108" s="7"/>
      <c r="K108" s="239" t="str">
        <f>IF(G108=0,"Confirmed zero","")</f>
        <v/>
      </c>
      <c r="L108" s="237"/>
      <c r="M108" s="7"/>
      <c r="N108" s="238"/>
      <c r="O108" s="77"/>
      <c r="P108" s="233"/>
      <c r="Q108" s="240" t="s">
        <v>6</v>
      </c>
      <c r="R108" s="33"/>
      <c r="S108" s="234"/>
      <c r="T108" s="6"/>
    </row>
    <row r="109" spans="1:20" ht="30" customHeight="1">
      <c r="A109" s="6"/>
      <c r="B109" s="141"/>
      <c r="C109" s="16"/>
      <c r="D109" s="16"/>
      <c r="E109" s="17"/>
      <c r="F109" s="142"/>
      <c r="G109" s="18"/>
      <c r="H109" s="23"/>
      <c r="I109" s="18"/>
      <c r="J109" s="7"/>
      <c r="K109" s="19"/>
      <c r="L109" s="18"/>
      <c r="M109" s="7"/>
      <c r="N109" s="18"/>
      <c r="O109" s="77"/>
      <c r="P109" s="233"/>
      <c r="Q109" s="205"/>
      <c r="R109" s="33"/>
      <c r="S109" s="234"/>
      <c r="T109" s="6"/>
    </row>
    <row r="110" spans="1:20" ht="15" customHeight="1">
      <c r="A110" s="6"/>
      <c r="B110" s="76"/>
      <c r="C110" s="78" t="s">
        <v>393</v>
      </c>
      <c r="D110" s="79"/>
      <c r="E110" s="80"/>
      <c r="F110" s="143" t="s">
        <v>342</v>
      </c>
      <c r="G110" s="211" t="str">
        <f>G$22</f>
        <v>Amount in thousand USD</v>
      </c>
      <c r="H110" s="12"/>
      <c r="I110" s="11" t="str">
        <f>I$22</f>
        <v>Checks</v>
      </c>
      <c r="J110" s="7"/>
      <c r="K110" s="11" t="str">
        <f>K$22</f>
        <v>Remarks</v>
      </c>
      <c r="L110" s="11" t="str">
        <f>L$22</f>
        <v>Comments</v>
      </c>
      <c r="M110" s="7"/>
      <c r="N110" s="11" t="str">
        <f>N$22</f>
        <v>Supervisor Comments</v>
      </c>
      <c r="O110" s="77"/>
      <c r="P110" s="233"/>
      <c r="Q110" s="206"/>
      <c r="R110" s="33"/>
      <c r="S110" s="234"/>
      <c r="T110" s="6"/>
    </row>
    <row r="111" spans="1:20" ht="15" customHeight="1">
      <c r="A111" s="6"/>
      <c r="B111" s="109"/>
      <c r="C111" s="110" t="s">
        <v>158</v>
      </c>
      <c r="D111" s="111"/>
      <c r="E111" s="84"/>
      <c r="F111" s="90">
        <v>1075</v>
      </c>
      <c r="G111" s="198" t="str">
        <f>INDEX('FR Y-15 Data'!$A$1:$ED$36,MATCH($G$3,'FR Y-15 Data'!$A$1:$A$36,0),MATCH($Q111,'FR Y-15 Data'!$A$1:$EE$1,0))</f>
        <v>--------</v>
      </c>
      <c r="H111" s="12" t="s">
        <v>159</v>
      </c>
      <c r="I111" s="91" t="str">
        <f>IF(ISTEXT(G111),"No text please",IF(G111&lt;0,"No negatives please",IF(ISBLANK(G111),"Please enter a value",IF(AND(G111=0,ISERROR(FIND("zero",K111))),"Please confirm zero",IF(AND(G111&lt;&gt;0,K111="Confirmed zero"),"Value not zero"," ")))))</f>
        <v>No text please</v>
      </c>
      <c r="J111" s="7"/>
      <c r="K111" s="239" t="str">
        <f t="shared" ref="K111:K112" si="12">IF(G111=0,"Confirmed zero","")</f>
        <v/>
      </c>
      <c r="L111" s="237"/>
      <c r="M111" s="7"/>
      <c r="N111" s="238"/>
      <c r="O111" s="77"/>
      <c r="P111" s="233"/>
      <c r="Q111" s="240" t="s">
        <v>268</v>
      </c>
      <c r="R111" s="33"/>
      <c r="S111" s="234"/>
      <c r="T111" s="6"/>
    </row>
    <row r="112" spans="1:20" ht="15" customHeight="1">
      <c r="A112" s="6"/>
      <c r="B112" s="109"/>
      <c r="C112" s="152" t="s">
        <v>160</v>
      </c>
      <c r="D112" s="153"/>
      <c r="E112" s="84"/>
      <c r="F112" s="90">
        <v>1076</v>
      </c>
      <c r="G112" s="198" t="str">
        <f>INDEX('FR Y-15 Data'!$A$1:$ED$36,MATCH($G$3,'FR Y-15 Data'!$A$1:$A$36,0),MATCH($Q112,'FR Y-15 Data'!$A$1:$EE$1,0))</f>
        <v>--------</v>
      </c>
      <c r="H112" s="12" t="s">
        <v>161</v>
      </c>
      <c r="I112" s="91" t="str">
        <f>IF(ISTEXT(G112),"No text please",IF(G112&lt;0,"No negatives please",IF(ISBLANK(G112),"Please enter a value",IF(AND(G112=0,ISERROR(FIND("zero",K112))),"Please confirm zero",IF(AND(G112&lt;&gt;0,K112="Confirmed zero"),"Value not zero"," ")))))</f>
        <v>No text please</v>
      </c>
      <c r="J112" s="7"/>
      <c r="K112" s="239" t="str">
        <f t="shared" si="12"/>
        <v/>
      </c>
      <c r="L112" s="237"/>
      <c r="M112" s="7"/>
      <c r="N112" s="238"/>
      <c r="O112" s="77"/>
      <c r="P112" s="233"/>
      <c r="Q112" s="240" t="s">
        <v>269</v>
      </c>
      <c r="R112" s="33"/>
      <c r="S112" s="234"/>
      <c r="T112" s="6"/>
    </row>
    <row r="113" spans="1:20" ht="15" customHeight="1">
      <c r="A113" s="6"/>
      <c r="B113" s="109"/>
      <c r="C113" s="212" t="s">
        <v>394</v>
      </c>
      <c r="D113" s="213"/>
      <c r="E113" s="144"/>
      <c r="F113" s="90">
        <v>1077</v>
      </c>
      <c r="G113" s="124" t="str">
        <f>IF(COUNTIF(I111:I112,"&lt;&gt; ")=0,SUM(G111:G112),"")</f>
        <v/>
      </c>
      <c r="H113" s="12" t="s">
        <v>395</v>
      </c>
      <c r="I113" s="7"/>
      <c r="J113" s="7"/>
      <c r="K113" s="7"/>
      <c r="L113" s="7"/>
      <c r="M113" s="7"/>
      <c r="N113" s="7"/>
      <c r="O113" s="77"/>
      <c r="P113" s="233"/>
      <c r="Q113" s="202"/>
      <c r="R113" s="33"/>
      <c r="S113" s="234"/>
      <c r="T113" s="6"/>
    </row>
    <row r="114" spans="1:20" ht="20.149999999999999" customHeight="1">
      <c r="A114" s="6"/>
      <c r="B114" s="97"/>
      <c r="C114" s="98"/>
      <c r="D114" s="98"/>
      <c r="E114" s="99"/>
      <c r="F114" s="100"/>
      <c r="G114" s="99"/>
      <c r="H114" s="101"/>
      <c r="I114" s="99"/>
      <c r="J114" s="99"/>
      <c r="K114" s="99"/>
      <c r="L114" s="99"/>
      <c r="M114" s="99"/>
      <c r="N114" s="99"/>
      <c r="O114" s="102"/>
      <c r="P114" s="233"/>
      <c r="Q114" s="202"/>
      <c r="R114" s="33"/>
      <c r="S114" s="234"/>
      <c r="T114" s="6"/>
    </row>
    <row r="115" spans="1:20" ht="20.149999999999999" customHeight="1">
      <c r="A115" s="6"/>
      <c r="B115" s="72" t="s">
        <v>162</v>
      </c>
      <c r="C115" s="73"/>
      <c r="D115" s="73"/>
      <c r="E115" s="73"/>
      <c r="F115" s="73"/>
      <c r="G115" s="73"/>
      <c r="H115" s="74"/>
      <c r="I115" s="73"/>
      <c r="J115" s="73"/>
      <c r="K115" s="73"/>
      <c r="L115" s="73"/>
      <c r="M115" s="73"/>
      <c r="N115" s="73"/>
      <c r="O115" s="75"/>
      <c r="P115" s="233"/>
      <c r="Q115" s="204"/>
      <c r="R115" s="33"/>
      <c r="S115" s="234"/>
      <c r="T115" s="6"/>
    </row>
    <row r="116" spans="1:20" ht="20.149999999999999" customHeight="1">
      <c r="A116" s="6"/>
      <c r="B116" s="132"/>
      <c r="C116" s="133"/>
      <c r="D116" s="133"/>
      <c r="E116" s="134"/>
      <c r="F116" s="135"/>
      <c r="G116" s="136"/>
      <c r="H116" s="137"/>
      <c r="I116" s="136"/>
      <c r="J116" s="105"/>
      <c r="K116" s="138"/>
      <c r="L116" s="136"/>
      <c r="M116" s="105"/>
      <c r="N116" s="136"/>
      <c r="O116" s="108"/>
      <c r="P116" s="233"/>
      <c r="Q116" s="205"/>
      <c r="R116" s="33"/>
      <c r="S116" s="234"/>
      <c r="T116" s="6"/>
    </row>
    <row r="117" spans="1:20" ht="15" customHeight="1">
      <c r="A117" s="6"/>
      <c r="B117" s="76"/>
      <c r="C117" s="78" t="s">
        <v>396</v>
      </c>
      <c r="D117" s="79"/>
      <c r="E117" s="154"/>
      <c r="F117" s="143" t="s">
        <v>342</v>
      </c>
      <c r="G117" s="211" t="str">
        <f>G$22</f>
        <v>Amount in thousand USD</v>
      </c>
      <c r="H117" s="12"/>
      <c r="I117" s="11" t="str">
        <f>I$22</f>
        <v>Checks</v>
      </c>
      <c r="J117" s="7"/>
      <c r="K117" s="11" t="str">
        <f>K$22</f>
        <v>Remarks</v>
      </c>
      <c r="L117" s="11" t="str">
        <f>L$22</f>
        <v>Comments</v>
      </c>
      <c r="M117" s="7"/>
      <c r="N117" s="11" t="str">
        <f>N$22</f>
        <v>Supervisor Comments</v>
      </c>
      <c r="O117" s="77"/>
      <c r="P117" s="233"/>
      <c r="Q117" s="206"/>
      <c r="R117" s="33"/>
      <c r="S117" s="234"/>
      <c r="T117" s="6"/>
    </row>
    <row r="118" spans="1:20" ht="15" customHeight="1">
      <c r="A118" s="6"/>
      <c r="B118" s="155"/>
      <c r="C118" s="110" t="s">
        <v>163</v>
      </c>
      <c r="D118" s="111"/>
      <c r="E118" s="84"/>
      <c r="F118" s="90">
        <v>1078</v>
      </c>
      <c r="G118" s="198" t="str">
        <f>INDEX('FR Y-15 Data'!$A$1:$ED$36,MATCH($G$3,'FR Y-15 Data'!$A$1:$A$36,0),MATCH($Q118,'FR Y-15 Data'!$A$1:$EE$1,0))</f>
        <v>--------</v>
      </c>
      <c r="H118" s="12" t="s">
        <v>164</v>
      </c>
      <c r="I118" s="91" t="str">
        <f>IF(ISTEXT(G118),"No text please",IF(G118&lt;0,"No negatives please",IF(ISBLANK(G118),"Please enter a value",IF(AND(G118=0,ISERROR(FIND("zero",K118))),"Please confirm zero",IF(AND(G118&lt;&gt;0,K118="Confirmed zero"),"Value not zero"," ")))))</f>
        <v>No text please</v>
      </c>
      <c r="J118" s="7"/>
      <c r="K118" s="239" t="str">
        <f t="shared" ref="K118:K119" si="13">IF(G118=0,"Confirmed zero","")</f>
        <v/>
      </c>
      <c r="L118" s="237"/>
      <c r="M118" s="7"/>
      <c r="N118" s="238"/>
      <c r="O118" s="77"/>
      <c r="P118" s="233"/>
      <c r="Q118" s="240" t="s">
        <v>270</v>
      </c>
      <c r="R118" s="33"/>
      <c r="S118" s="234"/>
      <c r="T118" s="6"/>
    </row>
    <row r="119" spans="1:20" ht="15" customHeight="1">
      <c r="A119" s="6"/>
      <c r="B119" s="155"/>
      <c r="C119" s="152" t="s">
        <v>165</v>
      </c>
      <c r="D119" s="153"/>
      <c r="E119" s="84"/>
      <c r="F119" s="90">
        <v>1079</v>
      </c>
      <c r="G119" s="198" t="str">
        <f>INDEX('FR Y-15 Data'!$A$1:$ED$36,MATCH($G$3,'FR Y-15 Data'!$A$1:$A$36,0),MATCH($Q119,'FR Y-15 Data'!$A$1:$EE$1,0))</f>
        <v>--------</v>
      </c>
      <c r="H119" s="12" t="s">
        <v>166</v>
      </c>
      <c r="I119" s="91" t="str">
        <f>IF(ISTEXT(G119),"No text please",IF(G119&lt;0,"No negatives please",IF(ISBLANK(G119),"Please enter a value",IF(AND(G119=0,ISERROR(FIND("zero",K119))),"Please confirm zero",IF(AND(G119&lt;&gt;0,K119="Confirmed zero"),"Value not zero"," ")))))</f>
        <v>No text please</v>
      </c>
      <c r="J119" s="7"/>
      <c r="K119" s="239" t="str">
        <f t="shared" si="13"/>
        <v/>
      </c>
      <c r="L119" s="237"/>
      <c r="M119" s="7"/>
      <c r="N119" s="238"/>
      <c r="O119" s="77"/>
      <c r="P119" s="233"/>
      <c r="Q119" s="240" t="s">
        <v>271</v>
      </c>
      <c r="R119" s="33"/>
      <c r="S119" s="234"/>
      <c r="T119" s="6"/>
    </row>
    <row r="120" spans="1:20" ht="15" customHeight="1">
      <c r="A120" s="6"/>
      <c r="B120" s="155"/>
      <c r="C120" s="212" t="s">
        <v>167</v>
      </c>
      <c r="D120" s="213"/>
      <c r="E120" s="144"/>
      <c r="F120" s="90">
        <v>1080</v>
      </c>
      <c r="G120" s="124" t="str">
        <f>IF(COUNTIF(I118:I119,"&lt;&gt; ")=0,SUM(G118:G119),"")</f>
        <v/>
      </c>
      <c r="H120" s="12" t="s">
        <v>168</v>
      </c>
      <c r="I120" s="7"/>
      <c r="J120" s="7"/>
      <c r="K120" s="7"/>
      <c r="L120" s="7"/>
      <c r="M120" s="7"/>
      <c r="N120" s="7"/>
      <c r="O120" s="77"/>
      <c r="P120" s="233"/>
      <c r="Q120" s="202"/>
      <c r="R120" s="33"/>
      <c r="S120" s="234"/>
      <c r="T120" s="6"/>
    </row>
    <row r="121" spans="1:20" ht="30" customHeight="1">
      <c r="A121" s="6"/>
      <c r="B121" s="141"/>
      <c r="C121" s="16"/>
      <c r="D121" s="16"/>
      <c r="E121" s="17"/>
      <c r="F121" s="142"/>
      <c r="G121" s="18"/>
      <c r="H121" s="23"/>
      <c r="I121" s="18"/>
      <c r="J121" s="7"/>
      <c r="K121" s="19"/>
      <c r="L121" s="18"/>
      <c r="M121" s="7"/>
      <c r="N121" s="18"/>
      <c r="O121" s="77"/>
      <c r="P121" s="233"/>
      <c r="Q121" s="205"/>
      <c r="R121" s="33"/>
      <c r="S121" s="234"/>
      <c r="T121" s="6"/>
    </row>
    <row r="122" spans="1:20" ht="15" customHeight="1">
      <c r="A122" s="6"/>
      <c r="B122" s="76"/>
      <c r="C122" s="78" t="s">
        <v>397</v>
      </c>
      <c r="D122" s="79"/>
      <c r="E122" s="154"/>
      <c r="F122" s="143" t="s">
        <v>342</v>
      </c>
      <c r="G122" s="211" t="str">
        <f>G$22</f>
        <v>Amount in thousand USD</v>
      </c>
      <c r="H122" s="12"/>
      <c r="I122" s="11" t="str">
        <f>I$22</f>
        <v>Checks</v>
      </c>
      <c r="J122" s="7"/>
      <c r="K122" s="11" t="str">
        <f>K$22</f>
        <v>Remarks</v>
      </c>
      <c r="L122" s="11" t="str">
        <f>L$22</f>
        <v>Comments</v>
      </c>
      <c r="M122" s="7"/>
      <c r="N122" s="11" t="str">
        <f>N$22</f>
        <v>Supervisor Comments</v>
      </c>
      <c r="O122" s="77"/>
      <c r="P122" s="233"/>
      <c r="Q122" s="206"/>
      <c r="R122" s="33"/>
      <c r="S122" s="234"/>
      <c r="T122" s="6"/>
    </row>
    <row r="123" spans="1:20" ht="15" customHeight="1">
      <c r="A123" s="6"/>
      <c r="B123" s="109"/>
      <c r="C123" s="110" t="s">
        <v>169</v>
      </c>
      <c r="D123" s="111"/>
      <c r="E123" s="84"/>
      <c r="F123" s="90">
        <v>1081</v>
      </c>
      <c r="G123" s="198" t="str">
        <f>INDEX('FR Y-15 Data'!$A$1:$ED$36,MATCH($G$3,'FR Y-15 Data'!$A$1:$A$36,0),MATCH($Q123,'FR Y-15 Data'!$A$1:$EE$1,0))</f>
        <v>--------</v>
      </c>
      <c r="H123" s="12" t="s">
        <v>170</v>
      </c>
      <c r="I123" s="91" t="str">
        <f>IF(ISTEXT(G123),"No text please",IF(G123&lt;0,"No negatives please",IF(ISBLANK(G123),"Please enter a value",IF(AND(G123=0,ISERROR(FIND("zero",K123))),"Please confirm zero",IF(AND(G123&lt;&gt;0,K123="Confirmed zero"),"Value not zero",IF(SUM($G$123:$G$124)&lt;SUM($G$125:$G$126),"10.a. + 10.b. &lt; 10.c. + 10.d.",IF(SUM($G$123:$G$124)&lt;$G$125+$G$126/0.85,"Value underreported?"," ")))))))</f>
        <v>No text please</v>
      </c>
      <c r="J123" s="7"/>
      <c r="K123" s="239" t="str">
        <f t="shared" ref="K123:K126" si="14">IF(G123=0,"Confirmed zero","")</f>
        <v/>
      </c>
      <c r="L123" s="237"/>
      <c r="M123" s="7"/>
      <c r="N123" s="238"/>
      <c r="O123" s="77"/>
      <c r="P123" s="233"/>
      <c r="Q123" s="240" t="s">
        <v>272</v>
      </c>
      <c r="R123" s="33"/>
      <c r="S123" s="234"/>
      <c r="T123" s="6"/>
    </row>
    <row r="124" spans="1:20" ht="15" customHeight="1">
      <c r="A124" s="6"/>
      <c r="B124" s="109"/>
      <c r="C124" s="110" t="s">
        <v>171</v>
      </c>
      <c r="D124" s="111"/>
      <c r="E124" s="84"/>
      <c r="F124" s="90">
        <v>1082</v>
      </c>
      <c r="G124" s="198" t="str">
        <f>INDEX('FR Y-15 Data'!$A$1:$ED$36,MATCH($G$3,'FR Y-15 Data'!$A$1:$A$36,0),MATCH($Q124,'FR Y-15 Data'!$A$1:$EE$1,0))</f>
        <v>--------</v>
      </c>
      <c r="H124" s="12" t="s">
        <v>172</v>
      </c>
      <c r="I124" s="91" t="str">
        <f>IF(ISTEXT(G124),"No text please",IF(G124&lt;0,"No negatives please",IF(ISBLANK(G124),"Please enter a value",IF(AND(G124=0,ISERROR(FIND("zero",K124))),"Please confirm zero",IF(AND(G124&lt;&gt;0,K124="Confirmed zero"),"Value not zero",IF(SUM($G$123:$G$124)&lt;SUM($G$125:$G$126),"10.a. + 10.b. &lt; 10.c. + 10.d.",IF(SUM($G$123:$G$124)&lt;$G$125+$G$126/0.85,"Value underreported?"," ")))))))</f>
        <v>No text please</v>
      </c>
      <c r="J124" s="7"/>
      <c r="K124" s="239" t="str">
        <f t="shared" si="14"/>
        <v/>
      </c>
      <c r="L124" s="237"/>
      <c r="M124" s="7"/>
      <c r="N124" s="238"/>
      <c r="O124" s="77"/>
      <c r="P124" s="233"/>
      <c r="Q124" s="240" t="s">
        <v>273</v>
      </c>
      <c r="R124" s="33"/>
      <c r="S124" s="234"/>
      <c r="T124" s="6"/>
    </row>
    <row r="125" spans="1:20" ht="15" customHeight="1">
      <c r="A125" s="6"/>
      <c r="B125" s="109"/>
      <c r="C125" s="110" t="s">
        <v>173</v>
      </c>
      <c r="D125" s="111"/>
      <c r="E125" s="84"/>
      <c r="F125" s="90">
        <v>1083</v>
      </c>
      <c r="G125" s="198" t="str">
        <f>INDEX('FR Y-15 Data'!$A$1:$ED$36,MATCH($G$3,'FR Y-15 Data'!$A$1:$A$36,0),MATCH($Q125,'FR Y-15 Data'!$A$1:$EE$1,0))</f>
        <v>--------</v>
      </c>
      <c r="H125" s="12" t="s">
        <v>174</v>
      </c>
      <c r="I125" s="91" t="str">
        <f>IF(ISTEXT(G125),"No text please",IF(G125&lt;0,"No negatives please",IF(ISBLANK(G125),"Please enter a value",IF(AND(G125=0,ISERROR(FIND("zero",K125))),"Please confirm zero",IF(AND(G125&lt;&gt;0,K125="Confirmed zero"),"Value not zero",IF(SUM($G$123:$G$124)&lt;SUM($G$125:$G$126),"10.a. + 10.b. &lt; 10.c. + 10.d."," "))))))</f>
        <v>No text please</v>
      </c>
      <c r="J125" s="7"/>
      <c r="K125" s="239" t="str">
        <f t="shared" si="14"/>
        <v/>
      </c>
      <c r="L125" s="237"/>
      <c r="M125" s="7"/>
      <c r="N125" s="238"/>
      <c r="O125" s="77"/>
      <c r="P125" s="233"/>
      <c r="Q125" s="240" t="s">
        <v>274</v>
      </c>
      <c r="R125" s="33"/>
      <c r="S125" s="234"/>
      <c r="T125" s="6"/>
    </row>
    <row r="126" spans="1:20" ht="15" customHeight="1">
      <c r="A126" s="6"/>
      <c r="B126" s="109"/>
      <c r="C126" s="152" t="s">
        <v>175</v>
      </c>
      <c r="D126" s="153"/>
      <c r="E126" s="84"/>
      <c r="F126" s="90">
        <v>1084</v>
      </c>
      <c r="G126" s="198" t="str">
        <f>INDEX('FR Y-15 Data'!$A$1:$ED$36,MATCH($G$3,'FR Y-15 Data'!$A$1:$A$36,0),MATCH($Q126,'FR Y-15 Data'!$A$1:$EE$1,0))</f>
        <v>--------</v>
      </c>
      <c r="H126" s="12" t="s">
        <v>176</v>
      </c>
      <c r="I126" s="91" t="str">
        <f>IF(ISTEXT(G126),"No text please",IF(G126&lt;0,"No negatives please",IF(ISBLANK(G126),"Please enter a value",IF(AND(G126=0,ISERROR(FIND("zero",K126))),"Please confirm zero",IF(AND(G126&lt;&gt;0,K126="Confirmed zero"),"Value not zero",IF(SUM($G$123:$G$124)&lt;SUM($G$125:$G$126),"10.a. + 10.b. &lt; 10.c. + 10.d.",IF(SUM($G$123:$G$124)&lt;$G$125+$G$126/0.85,"Haircuts not applied?"," ")))))))</f>
        <v>No text please</v>
      </c>
      <c r="J126" s="7"/>
      <c r="K126" s="239" t="str">
        <f t="shared" si="14"/>
        <v/>
      </c>
      <c r="L126" s="237"/>
      <c r="M126" s="7"/>
      <c r="N126" s="238"/>
      <c r="O126" s="77"/>
      <c r="P126" s="233"/>
      <c r="Q126" s="240" t="s">
        <v>275</v>
      </c>
      <c r="R126" s="33"/>
      <c r="S126" s="234"/>
      <c r="T126" s="6"/>
    </row>
    <row r="127" spans="1:20" ht="15" customHeight="1">
      <c r="A127" s="6"/>
      <c r="B127" s="109"/>
      <c r="C127" s="212" t="s">
        <v>398</v>
      </c>
      <c r="D127" s="213"/>
      <c r="E127" s="144"/>
      <c r="F127" s="90">
        <v>1085</v>
      </c>
      <c r="G127" s="124" t="str">
        <f>IF(COUNTIF(I123:I126,"&lt;&gt; ")=0,MAX(SUM(G123:G124)-SUM(G125:G126),0),"")</f>
        <v/>
      </c>
      <c r="H127" s="12" t="s">
        <v>399</v>
      </c>
      <c r="I127" s="7"/>
      <c r="J127" s="7"/>
      <c r="K127" s="7"/>
      <c r="L127" s="7"/>
      <c r="M127" s="7"/>
      <c r="N127" s="7"/>
      <c r="O127" s="77"/>
      <c r="P127" s="233"/>
      <c r="Q127" s="202"/>
      <c r="R127" s="33"/>
      <c r="S127" s="234"/>
      <c r="T127" s="6"/>
    </row>
    <row r="128" spans="1:20" ht="30" customHeight="1">
      <c r="A128" s="6"/>
      <c r="B128" s="141"/>
      <c r="C128" s="16"/>
      <c r="D128" s="16"/>
      <c r="E128" s="17"/>
      <c r="F128" s="142"/>
      <c r="G128" s="18"/>
      <c r="H128" s="23"/>
      <c r="I128" s="18"/>
      <c r="J128" s="7"/>
      <c r="K128" s="19"/>
      <c r="L128" s="18"/>
      <c r="M128" s="7"/>
      <c r="N128" s="18"/>
      <c r="O128" s="77"/>
      <c r="P128" s="233"/>
      <c r="Q128" s="205"/>
      <c r="R128" s="33"/>
      <c r="S128" s="234"/>
      <c r="T128" s="6"/>
    </row>
    <row r="129" spans="1:20" ht="15" customHeight="1">
      <c r="A129" s="6"/>
      <c r="B129" s="76"/>
      <c r="C129" s="78" t="s">
        <v>400</v>
      </c>
      <c r="D129" s="79"/>
      <c r="E129" s="80"/>
      <c r="F129" s="143" t="s">
        <v>342</v>
      </c>
      <c r="G129" s="211" t="str">
        <f>G$22</f>
        <v>Amount in thousand USD</v>
      </c>
      <c r="H129" s="12"/>
      <c r="I129" s="11" t="str">
        <f>I$22</f>
        <v>Checks</v>
      </c>
      <c r="J129" s="7"/>
      <c r="K129" s="11" t="str">
        <f>K$22</f>
        <v>Remarks</v>
      </c>
      <c r="L129" s="11" t="str">
        <f>L$22</f>
        <v>Comments</v>
      </c>
      <c r="M129" s="7"/>
      <c r="N129" s="11" t="str">
        <f>N$22</f>
        <v>Supervisor Comments</v>
      </c>
      <c r="O129" s="77"/>
      <c r="P129" s="233"/>
      <c r="Q129" s="206"/>
      <c r="R129" s="33"/>
      <c r="S129" s="234"/>
      <c r="T129" s="6"/>
    </row>
    <row r="130" spans="1:20" ht="15" customHeight="1">
      <c r="A130" s="6"/>
      <c r="B130" s="109"/>
      <c r="C130" s="212" t="s">
        <v>401</v>
      </c>
      <c r="D130" s="213"/>
      <c r="E130" s="144"/>
      <c r="F130" s="90">
        <v>1086</v>
      </c>
      <c r="G130" s="198" t="str">
        <f>INDEX('FR Y-15 Data'!$A$1:$ED$36,MATCH($G$3,'FR Y-15 Data'!$A$1:$A$36,0),MATCH($Q130,'FR Y-15 Data'!$A$1:$EE$1,0))</f>
        <v>--------</v>
      </c>
      <c r="H130" s="12" t="s">
        <v>177</v>
      </c>
      <c r="I130" s="91" t="str">
        <f>IF(ISTEXT(G130),"No text please",IF(G130&lt;0,"No negatives please",IF(ISBLANK(G130),"Please enter a value",IF(AND(G130=0,ISERROR(FIND("zero",K130))),"Please confirm zero",IF(AND(G130&lt;&gt;0,K130="Confirmed zero"),"Value not zero"," ")))))</f>
        <v>No text please</v>
      </c>
      <c r="J130" s="7"/>
      <c r="K130" s="239" t="str">
        <f>IF(G130=0,"Confirmed zero","")</f>
        <v/>
      </c>
      <c r="L130" s="237"/>
      <c r="M130" s="7"/>
      <c r="N130" s="238"/>
      <c r="O130" s="77"/>
      <c r="P130" s="233"/>
      <c r="Q130" s="240" t="s">
        <v>10</v>
      </c>
      <c r="R130" s="33"/>
      <c r="S130" s="234"/>
      <c r="T130" s="6"/>
    </row>
    <row r="131" spans="1:20" ht="20.149999999999999" customHeight="1">
      <c r="A131" s="6"/>
      <c r="B131" s="97"/>
      <c r="C131" s="98"/>
      <c r="D131" s="98"/>
      <c r="E131" s="99"/>
      <c r="F131" s="100"/>
      <c r="G131" s="99"/>
      <c r="H131" s="101"/>
      <c r="I131" s="99"/>
      <c r="J131" s="99"/>
      <c r="K131" s="99"/>
      <c r="L131" s="99"/>
      <c r="M131" s="99"/>
      <c r="N131" s="99"/>
      <c r="O131" s="102"/>
      <c r="P131" s="233"/>
      <c r="Q131" s="202"/>
      <c r="R131" s="33"/>
      <c r="S131" s="234"/>
      <c r="T131" s="6"/>
    </row>
    <row r="132" spans="1:20" ht="20.149999999999999" customHeight="1">
      <c r="A132" s="6"/>
      <c r="B132" s="72" t="s">
        <v>178</v>
      </c>
      <c r="C132" s="73"/>
      <c r="D132" s="73"/>
      <c r="E132" s="73"/>
      <c r="F132" s="73"/>
      <c r="G132" s="73"/>
      <c r="H132" s="74"/>
      <c r="I132" s="73"/>
      <c r="J132" s="73"/>
      <c r="K132" s="73"/>
      <c r="L132" s="73"/>
      <c r="M132" s="73"/>
      <c r="N132" s="73"/>
      <c r="O132" s="75"/>
      <c r="P132" s="233"/>
      <c r="Q132" s="204"/>
      <c r="R132" s="33"/>
      <c r="S132" s="234"/>
      <c r="T132" s="6"/>
    </row>
    <row r="133" spans="1:20" ht="20.149999999999999" customHeight="1">
      <c r="A133" s="6"/>
      <c r="B133" s="132"/>
      <c r="C133" s="133"/>
      <c r="D133" s="133"/>
      <c r="E133" s="134"/>
      <c r="F133" s="135"/>
      <c r="G133" s="136"/>
      <c r="H133" s="137"/>
      <c r="I133" s="136"/>
      <c r="J133" s="105"/>
      <c r="K133" s="138"/>
      <c r="L133" s="136"/>
      <c r="M133" s="105"/>
      <c r="N133" s="136"/>
      <c r="O133" s="108"/>
      <c r="P133" s="233"/>
      <c r="Q133" s="205"/>
      <c r="R133" s="33"/>
      <c r="S133" s="234"/>
      <c r="T133" s="6"/>
    </row>
    <row r="134" spans="1:20" ht="15" customHeight="1">
      <c r="A134" s="6"/>
      <c r="B134" s="76"/>
      <c r="C134" s="78" t="s">
        <v>402</v>
      </c>
      <c r="D134" s="79"/>
      <c r="E134" s="80"/>
      <c r="F134" s="143" t="s">
        <v>342</v>
      </c>
      <c r="G134" s="211" t="str">
        <f>G$22</f>
        <v>Amount in thousand USD</v>
      </c>
      <c r="H134" s="12"/>
      <c r="I134" s="11" t="str">
        <f>I$22</f>
        <v>Checks</v>
      </c>
      <c r="J134" s="7"/>
      <c r="K134" s="11" t="str">
        <f>K$22</f>
        <v>Remarks</v>
      </c>
      <c r="L134" s="11" t="str">
        <f>L$22</f>
        <v>Comments</v>
      </c>
      <c r="M134" s="7"/>
      <c r="N134" s="11" t="str">
        <f>N$22</f>
        <v>Supervisor Comments</v>
      </c>
      <c r="O134" s="77"/>
      <c r="P134" s="233"/>
      <c r="Q134" s="206"/>
      <c r="R134" s="33"/>
      <c r="S134" s="234"/>
      <c r="T134" s="6"/>
    </row>
    <row r="135" spans="1:20" ht="15" customHeight="1">
      <c r="A135" s="6"/>
      <c r="B135" s="109"/>
      <c r="C135" s="212" t="s">
        <v>403</v>
      </c>
      <c r="D135" s="213"/>
      <c r="E135" s="144"/>
      <c r="F135" s="90">
        <v>1087</v>
      </c>
      <c r="G135" s="198" t="str">
        <f>INDEX('FR Y-15 Data'!$A$1:$ED$36,MATCH($G$3,'FR Y-15 Data'!$A$1:$A$36,0),MATCH($Q135,'FR Y-15 Data'!$A$1:$EE$1,0))</f>
        <v>--------</v>
      </c>
      <c r="H135" s="12" t="s">
        <v>404</v>
      </c>
      <c r="I135" s="91" t="str">
        <f>IF(ISTEXT(G135),"No text please",IF(G135&lt;0,"No negatives please",IF(ISBLANK(G135),"Please enter a value",IF(AND(G135=0,ISERROR(FIND("zero",K135))),"Please confirm zero",IF(AND(G135&lt;&gt;0,K135="Confirmed zero"),"Value not zero"," ")))))</f>
        <v>No text please</v>
      </c>
      <c r="J135" s="7"/>
      <c r="K135" s="239" t="str">
        <f>IF(G135=0,"Confirmed zero","")</f>
        <v/>
      </c>
      <c r="L135" s="237"/>
      <c r="M135" s="7"/>
      <c r="N135" s="238"/>
      <c r="O135" s="77"/>
      <c r="P135" s="233"/>
      <c r="Q135" s="240" t="s">
        <v>11</v>
      </c>
      <c r="R135" s="33"/>
      <c r="S135" s="234"/>
      <c r="T135" s="6"/>
    </row>
    <row r="136" spans="1:20" ht="30" customHeight="1">
      <c r="A136" s="6"/>
      <c r="B136" s="141"/>
      <c r="C136" s="16"/>
      <c r="D136" s="16"/>
      <c r="E136" s="17"/>
      <c r="F136" s="142"/>
      <c r="G136" s="18"/>
      <c r="H136" s="23"/>
      <c r="I136" s="18"/>
      <c r="J136" s="7"/>
      <c r="K136" s="19"/>
      <c r="L136" s="18"/>
      <c r="M136" s="7"/>
      <c r="N136" s="18"/>
      <c r="O136" s="77"/>
      <c r="P136" s="233"/>
      <c r="Q136" s="205"/>
      <c r="R136" s="33"/>
      <c r="S136" s="234"/>
      <c r="T136" s="6"/>
    </row>
    <row r="137" spans="1:20" ht="15" customHeight="1">
      <c r="A137" s="6"/>
      <c r="B137" s="76"/>
      <c r="C137" s="78" t="s">
        <v>405</v>
      </c>
      <c r="D137" s="79"/>
      <c r="E137" s="80"/>
      <c r="F137" s="156" t="s">
        <v>342</v>
      </c>
      <c r="G137" s="211" t="str">
        <f>G$22</f>
        <v>Amount in thousand USD</v>
      </c>
      <c r="H137" s="12"/>
      <c r="I137" s="11" t="str">
        <f>I$22</f>
        <v>Checks</v>
      </c>
      <c r="J137" s="7"/>
      <c r="K137" s="11" t="str">
        <f>K$22</f>
        <v>Remarks</v>
      </c>
      <c r="L137" s="11" t="str">
        <f>L$22</f>
        <v>Comments</v>
      </c>
      <c r="M137" s="7"/>
      <c r="N137" s="11" t="str">
        <f>N$22</f>
        <v>Supervisor Comments</v>
      </c>
      <c r="O137" s="77"/>
      <c r="P137" s="233"/>
      <c r="Q137" s="206"/>
      <c r="R137" s="33"/>
      <c r="S137" s="234"/>
      <c r="T137" s="6"/>
    </row>
    <row r="138" spans="1:20" ht="15" customHeight="1">
      <c r="A138" s="6"/>
      <c r="B138" s="109"/>
      <c r="C138" s="110" t="s">
        <v>179</v>
      </c>
      <c r="D138" s="111"/>
      <c r="E138" s="84"/>
      <c r="F138" s="90">
        <v>1088</v>
      </c>
      <c r="G138" s="198" t="str">
        <f>INDEX('FR Y-15 Data'!$A$1:$ED$36,MATCH($G$3,'FR Y-15 Data'!$A$1:$A$36,0),MATCH($Q138,'FR Y-15 Data'!$A$1:$EE$1,0))</f>
        <v>--------</v>
      </c>
      <c r="H138" s="12" t="s">
        <v>180</v>
      </c>
      <c r="I138" s="91" t="str">
        <f>IF(ISTEXT(G138),"No text please",IF(G138&lt;0,"No negatives please",IF(ISBLANK(G138),"Please enter a value",IF(AND(G138=0,ISERROR(FIND("zero",K138))),"Please confirm zero",IF(AND(G138&lt;&gt;0,K138="Confirmed zero"),"Value not zero",IF($G$138&lt;$G$139,"&lt; 13.a.(1)"," "))))))</f>
        <v>No text please</v>
      </c>
      <c r="J138" s="7"/>
      <c r="K138" s="239" t="str">
        <f t="shared" ref="K138:K140" si="15">IF(G138=0,"Confirmed zero","")</f>
        <v/>
      </c>
      <c r="L138" s="237"/>
      <c r="M138" s="7"/>
      <c r="N138" s="238"/>
      <c r="O138" s="77"/>
      <c r="P138" s="233"/>
      <c r="Q138" s="240" t="s">
        <v>277</v>
      </c>
      <c r="R138" s="33"/>
      <c r="S138" s="234"/>
      <c r="T138" s="6"/>
    </row>
    <row r="139" spans="1:20" ht="15" customHeight="1">
      <c r="A139" s="6"/>
      <c r="B139" s="109"/>
      <c r="C139" s="115" t="s">
        <v>181</v>
      </c>
      <c r="D139" s="116"/>
      <c r="E139" s="84"/>
      <c r="F139" s="90">
        <v>1089</v>
      </c>
      <c r="G139" s="198" t="str">
        <f>INDEX('FR Y-15 Data'!$A$1:$ED$36,MATCH($G$3,'FR Y-15 Data'!$A$1:$A$36,0),MATCH($Q139,'FR Y-15 Data'!$A$1:$EE$1,0))</f>
        <v>--------</v>
      </c>
      <c r="H139" s="12" t="s">
        <v>182</v>
      </c>
      <c r="I139" s="91" t="str">
        <f>IF(ISTEXT(G139),"No text please",IF(G139&lt;0,"No negatives please",IF(ISBLANK(G139),"Please enter a value",IF(AND(G139=0,ISERROR(FIND("zero",K139))),"Please confirm zero",IF(AND(G139&lt;&gt;0,K139="Confirmed zero"),"Value not zero",IF($G$138&lt;$G$139,"&gt; 13.a."," "))))))</f>
        <v>No text please</v>
      </c>
      <c r="J139" s="7"/>
      <c r="K139" s="239" t="str">
        <f t="shared" si="15"/>
        <v/>
      </c>
      <c r="L139" s="237"/>
      <c r="M139" s="7"/>
      <c r="N139" s="238"/>
      <c r="O139" s="77"/>
      <c r="P139" s="233"/>
      <c r="Q139" s="240" t="s">
        <v>278</v>
      </c>
      <c r="R139" s="33"/>
      <c r="S139" s="234"/>
      <c r="T139" s="6"/>
    </row>
    <row r="140" spans="1:20" ht="15" customHeight="1">
      <c r="A140" s="6"/>
      <c r="B140" s="109"/>
      <c r="C140" s="110" t="s">
        <v>183</v>
      </c>
      <c r="D140" s="111"/>
      <c r="E140" s="84"/>
      <c r="F140" s="90">
        <v>1090</v>
      </c>
      <c r="G140" s="198" t="str">
        <f>INDEX('FR Y-15 Data'!$A$1:$ED$36,MATCH($G$3,'FR Y-15 Data'!$A$1:$A$36,0),MATCH($Q140,'FR Y-15 Data'!$A$1:$EE$1,0))</f>
        <v>--------</v>
      </c>
      <c r="H140" s="12" t="s">
        <v>184</v>
      </c>
      <c r="I140" s="91" t="str">
        <f>IF(ISTEXT(G140),"No text please",IF(G140&lt;0,"No negatives please",IF(ISBLANK(G140),"Please enter a value",IF(AND(G140=0,ISERROR(FIND("zero",K140))),"Please confirm zero",IF(AND(G140&lt;&gt;0,K140="Confirmed zero"),"Value not zero"," ")))))</f>
        <v>No text please</v>
      </c>
      <c r="J140" s="7"/>
      <c r="K140" s="239" t="str">
        <f t="shared" si="15"/>
        <v/>
      </c>
      <c r="L140" s="237"/>
      <c r="M140" s="7"/>
      <c r="N140" s="238"/>
      <c r="O140" s="77"/>
      <c r="P140" s="233"/>
      <c r="Q140" s="240" t="s">
        <v>279</v>
      </c>
      <c r="R140" s="33"/>
      <c r="S140" s="234"/>
      <c r="T140" s="6"/>
    </row>
    <row r="141" spans="1:20" ht="15" customHeight="1">
      <c r="A141" s="6"/>
      <c r="B141" s="109"/>
      <c r="C141" s="212" t="s">
        <v>406</v>
      </c>
      <c r="D141" s="213"/>
      <c r="E141" s="144"/>
      <c r="F141" s="90">
        <v>1091</v>
      </c>
      <c r="G141" s="124" t="str">
        <f>IF(COUNTIF(I138:I140,"&lt;&gt; ")=0,MAX(G138-G139,0)+G140,"")</f>
        <v/>
      </c>
      <c r="H141" s="12" t="s">
        <v>407</v>
      </c>
      <c r="I141" s="7"/>
      <c r="J141" s="7"/>
      <c r="K141" s="7"/>
      <c r="L141" s="7"/>
      <c r="M141" s="7"/>
      <c r="N141" s="7"/>
      <c r="O141" s="77"/>
      <c r="P141" s="233"/>
      <c r="Q141" s="202"/>
      <c r="R141" s="33"/>
      <c r="S141" s="234"/>
      <c r="T141" s="6"/>
    </row>
    <row r="142" spans="1:20" ht="20.149999999999999" customHeight="1">
      <c r="A142" s="6"/>
      <c r="B142" s="97"/>
      <c r="C142" s="98"/>
      <c r="D142" s="98"/>
      <c r="E142" s="99"/>
      <c r="F142" s="100"/>
      <c r="G142" s="99"/>
      <c r="H142" s="101"/>
      <c r="I142" s="99"/>
      <c r="J142" s="99"/>
      <c r="K142" s="99"/>
      <c r="L142" s="99"/>
      <c r="M142" s="99"/>
      <c r="N142" s="99"/>
      <c r="O142" s="102"/>
      <c r="P142" s="233"/>
      <c r="Q142" s="202"/>
      <c r="R142" s="33"/>
      <c r="S142" s="234"/>
      <c r="T142" s="6"/>
    </row>
    <row r="143" spans="1:20" ht="20.149999999999999" customHeight="1">
      <c r="A143" s="6"/>
      <c r="B143" s="72" t="s">
        <v>408</v>
      </c>
      <c r="C143" s="73"/>
      <c r="D143" s="73"/>
      <c r="E143" s="73"/>
      <c r="F143" s="73"/>
      <c r="G143" s="73"/>
      <c r="H143" s="74"/>
      <c r="I143" s="73"/>
      <c r="J143" s="73"/>
      <c r="K143" s="73"/>
      <c r="L143" s="73"/>
      <c r="M143" s="73"/>
      <c r="N143" s="73"/>
      <c r="O143" s="75"/>
      <c r="P143" s="233"/>
      <c r="Q143" s="204"/>
      <c r="R143" s="33"/>
      <c r="S143" s="234"/>
      <c r="T143" s="6"/>
    </row>
    <row r="144" spans="1:20" ht="20.149999999999999" customHeight="1">
      <c r="A144" s="6"/>
      <c r="B144" s="132"/>
      <c r="C144" s="133"/>
      <c r="D144" s="133"/>
      <c r="E144" s="134"/>
      <c r="F144" s="135"/>
      <c r="G144" s="136"/>
      <c r="H144" s="137"/>
      <c r="I144" s="136"/>
      <c r="J144" s="105"/>
      <c r="K144" s="138"/>
      <c r="L144" s="136"/>
      <c r="M144" s="105"/>
      <c r="N144" s="136"/>
      <c r="O144" s="108"/>
      <c r="P144" s="233"/>
      <c r="Q144" s="205"/>
      <c r="R144" s="33"/>
      <c r="S144" s="234"/>
      <c r="T144" s="6"/>
    </row>
    <row r="145" spans="1:20" ht="15" customHeight="1">
      <c r="A145" s="6"/>
      <c r="B145" s="76"/>
      <c r="C145" s="78" t="s">
        <v>409</v>
      </c>
      <c r="D145" s="79"/>
      <c r="E145" s="80"/>
      <c r="F145" s="143" t="s">
        <v>342</v>
      </c>
      <c r="G145" s="211" t="str">
        <f>G$22</f>
        <v>Amount in thousand USD</v>
      </c>
      <c r="H145" s="12"/>
      <c r="I145" s="11" t="str">
        <f>I$22</f>
        <v>Checks</v>
      </c>
      <c r="J145" s="7"/>
      <c r="K145" s="11" t="str">
        <f>K$22</f>
        <v>Remarks</v>
      </c>
      <c r="L145" s="11" t="str">
        <f>L$22</f>
        <v>Comments</v>
      </c>
      <c r="M145" s="7"/>
      <c r="N145" s="11" t="str">
        <f>N$22</f>
        <v>Supervisor Comments</v>
      </c>
      <c r="O145" s="77"/>
      <c r="P145" s="233"/>
      <c r="Q145" s="206"/>
      <c r="R145" s="33"/>
      <c r="S145" s="234"/>
      <c r="T145" s="6"/>
    </row>
    <row r="146" spans="1:20" ht="15" customHeight="1">
      <c r="A146" s="6"/>
      <c r="B146" s="109"/>
      <c r="C146" s="110" t="s">
        <v>185</v>
      </c>
      <c r="D146" s="111"/>
      <c r="E146" s="84"/>
      <c r="F146" s="90">
        <v>1092</v>
      </c>
      <c r="G146" s="198" t="str">
        <f>INDEX('FR Y-15 Data'!$A$1:$ED$36,MATCH($G$3,'FR Y-15 Data'!$A$1:$A$36,0),MATCH($Q146,'FR Y-15 Data'!$A$1:$EE$1,0))</f>
        <v>--------</v>
      </c>
      <c r="H146" s="12" t="s">
        <v>186</v>
      </c>
      <c r="I146" s="91" t="str">
        <f>IF(ISTEXT(G146),"No text please",IF(G146&lt;0,"No negatives please",IF(ISBLANK(G146),"Please enter a value",IF(AND(G146=0,ISERROR(FIND("zero",K146))),"Please confirm zero",IF(AND(G146&lt;&gt;0,K146="Confirmed zero"),"Value not zero",IF($G$146&lt;$G$147,"&lt; 14.b.",IF(AND($G$76&lt;&gt;"",$G$146&lt;$G$76),"&lt; 4.f."," ")))))))</f>
        <v>No text please</v>
      </c>
      <c r="J146" s="7"/>
      <c r="K146" s="239" t="str">
        <f t="shared" ref="K146:K147" si="16">IF(G146=0,"Confirmed zero","")</f>
        <v/>
      </c>
      <c r="L146" s="237"/>
      <c r="M146" s="7"/>
      <c r="N146" s="238"/>
      <c r="O146" s="77"/>
      <c r="P146" s="233"/>
      <c r="Q146" s="240" t="s">
        <v>280</v>
      </c>
      <c r="R146" s="33"/>
      <c r="S146" s="234"/>
      <c r="T146" s="6"/>
    </row>
    <row r="147" spans="1:20" ht="15" customHeight="1">
      <c r="A147" s="6"/>
      <c r="B147" s="109"/>
      <c r="C147" s="110" t="s">
        <v>187</v>
      </c>
      <c r="D147" s="111"/>
      <c r="E147" s="84"/>
      <c r="F147" s="90">
        <v>1093</v>
      </c>
      <c r="G147" s="198" t="str">
        <f>INDEX('FR Y-15 Data'!$A$1:$ED$36,MATCH($G$3,'FR Y-15 Data'!$A$1:$A$36,0),MATCH($Q147,'FR Y-15 Data'!$A$1:$EE$1,0))</f>
        <v>--------</v>
      </c>
      <c r="H147" s="12" t="s">
        <v>188</v>
      </c>
      <c r="I147" s="91" t="str">
        <f>IF(ISTEXT(G147),"No text please",IF(G147&lt;0,"No negatives please",IF(ISBLANK(G147),"Please enter a value",IF(AND(G147=0,ISERROR(FIND("zero",K147))),"Please confirm zero",IF(AND(G147&lt;&gt;0,K147="Confirmed zero"),"Value not zero",IF($G$146&lt;$G$147,"&gt; 14.a."," "))))))</f>
        <v>No text please</v>
      </c>
      <c r="J147" s="7"/>
      <c r="K147" s="239" t="str">
        <f t="shared" si="16"/>
        <v/>
      </c>
      <c r="L147" s="237"/>
      <c r="M147" s="7"/>
      <c r="N147" s="238"/>
      <c r="O147" s="77"/>
      <c r="P147" s="233"/>
      <c r="Q147" s="240" t="s">
        <v>281</v>
      </c>
      <c r="R147" s="33"/>
      <c r="S147" s="234"/>
      <c r="T147" s="6"/>
    </row>
    <row r="148" spans="1:20" ht="15" customHeight="1">
      <c r="A148" s="6"/>
      <c r="B148" s="109"/>
      <c r="C148" s="110" t="s">
        <v>189</v>
      </c>
      <c r="D148" s="111"/>
      <c r="E148" s="84"/>
      <c r="F148" s="90">
        <v>1094</v>
      </c>
      <c r="G148" s="221" t="str">
        <f>IF(AND(COUNTIF(I146:I147,"&lt;&gt; ")=0,G146&lt;&gt;0),(G146-G147)/G146,"")</f>
        <v/>
      </c>
      <c r="H148" s="12" t="s">
        <v>190</v>
      </c>
      <c r="I148" s="86"/>
      <c r="J148" s="7"/>
      <c r="K148" s="86"/>
      <c r="L148" s="86"/>
      <c r="M148" s="7"/>
      <c r="N148" s="86"/>
      <c r="O148" s="77"/>
      <c r="P148" s="233"/>
      <c r="Q148" s="203"/>
      <c r="R148" s="33"/>
      <c r="S148" s="234"/>
      <c r="T148" s="6"/>
    </row>
    <row r="149" spans="1:20" ht="15" customHeight="1">
      <c r="A149" s="6"/>
      <c r="B149" s="109"/>
      <c r="C149" s="110" t="s">
        <v>410</v>
      </c>
      <c r="D149" s="111"/>
      <c r="E149" s="84"/>
      <c r="F149" s="90">
        <v>1095</v>
      </c>
      <c r="G149" s="198" t="str">
        <f>INDEX('FR Y-15 Data'!$A$1:$ED$36,MATCH($G$3,'FR Y-15 Data'!$A$1:$A$36,0),MATCH($Q149,'FR Y-15 Data'!$A$1:$EE$1,0))</f>
        <v>--------</v>
      </c>
      <c r="H149" s="12" t="s">
        <v>191</v>
      </c>
      <c r="I149" s="91" t="str">
        <f>IF(ISTEXT(G149),"No text please",IF(ISBLANK(G149),"Please enter a value",IF(AND(G149=0,ISERROR(FIND("zero",K149))),"Please confirm zero",IF(AND(G149&lt;&gt;0,K149="Confirmed zero"),"Value not zero"," "))))</f>
        <v>No text please</v>
      </c>
      <c r="J149" s="7"/>
      <c r="K149" s="239" t="str">
        <f t="shared" ref="K149:K155" si="17">IF(G149=0,"Confirmed zero","")</f>
        <v/>
      </c>
      <c r="L149" s="237"/>
      <c r="M149" s="7"/>
      <c r="N149" s="238"/>
      <c r="O149" s="77"/>
      <c r="P149" s="233"/>
      <c r="Q149" s="240" t="s">
        <v>284</v>
      </c>
      <c r="R149" s="33"/>
      <c r="S149" s="234"/>
      <c r="T149" s="6"/>
    </row>
    <row r="150" spans="1:20" ht="15" customHeight="1">
      <c r="A150" s="6"/>
      <c r="B150" s="109"/>
      <c r="C150" s="110" t="s">
        <v>192</v>
      </c>
      <c r="D150" s="111"/>
      <c r="E150" s="84"/>
      <c r="F150" s="90">
        <v>1096</v>
      </c>
      <c r="G150" s="198" t="str">
        <f>INDEX('FR Y-15 Data'!$A$1:$ED$36,MATCH($G$3,'FR Y-15 Data'!$A$1:$A$36,0),MATCH($Q150,'FR Y-15 Data'!$A$1:$EE$1,0))</f>
        <v>--------</v>
      </c>
      <c r="H150" s="12" t="s">
        <v>193</v>
      </c>
      <c r="I150" s="91" t="str">
        <f>IF(ISTEXT(G150),"No text please",IF(ISBLANK(G150),"Please enter a value",IF(AND(G150=0,ISERROR(FIND("zero",K150))),"Please confirm zero",IF(AND(G150&lt;&gt;0,K150="Confirmed zero"),"Value not zero"," "))))</f>
        <v>No text please</v>
      </c>
      <c r="J150" s="7"/>
      <c r="K150" s="239" t="str">
        <f t="shared" si="17"/>
        <v/>
      </c>
      <c r="L150" s="237"/>
      <c r="M150" s="7"/>
      <c r="N150" s="238"/>
      <c r="O150" s="77"/>
      <c r="P150" s="233"/>
      <c r="Q150" s="240" t="s">
        <v>283</v>
      </c>
      <c r="R150" s="33"/>
      <c r="S150" s="234"/>
      <c r="T150" s="6"/>
    </row>
    <row r="151" spans="1:20" ht="15" customHeight="1">
      <c r="A151" s="6"/>
      <c r="B151" s="109"/>
      <c r="C151" s="110" t="s">
        <v>411</v>
      </c>
      <c r="D151" s="111"/>
      <c r="E151" s="84"/>
      <c r="F151" s="90">
        <v>1097</v>
      </c>
      <c r="G151" s="198" t="str">
        <f>INDEX('FR Y-15 Data'!$A$1:$ED$36,MATCH($G$3,'FR Y-15 Data'!$A$1:$A$36,0),MATCH($Q151,'FR Y-15 Data'!$A$1:$EE$1,0))</f>
        <v>--------</v>
      </c>
      <c r="H151" s="12" t="s">
        <v>194</v>
      </c>
      <c r="I151" s="91" t="str">
        <f>IF(ISTEXT(G151),"No text please",IF(G151&lt;0,"No negatives please",IF(ISBLANK(G151),"Please enter a value",IF(AND(G151=0,ISERROR(FIND("zero",K151))),"Please confirm zero",IF(AND(G151&lt;&gt;0,K151="Confirmed zero"),"Value not zero"," ")))))</f>
        <v>No text please</v>
      </c>
      <c r="J151" s="7"/>
      <c r="K151" s="239" t="str">
        <f t="shared" si="17"/>
        <v/>
      </c>
      <c r="L151" s="237"/>
      <c r="M151" s="7"/>
      <c r="N151" s="238"/>
      <c r="O151" s="77"/>
      <c r="P151" s="233"/>
      <c r="Q151" s="240" t="s">
        <v>282</v>
      </c>
      <c r="R151" s="33"/>
      <c r="S151" s="234"/>
      <c r="T151" s="6"/>
    </row>
    <row r="152" spans="1:20" ht="15" customHeight="1">
      <c r="A152" s="6"/>
      <c r="B152" s="109"/>
      <c r="C152" s="110" t="s">
        <v>195</v>
      </c>
      <c r="D152" s="111"/>
      <c r="E152" s="84"/>
      <c r="F152" s="90">
        <v>1098</v>
      </c>
      <c r="G152" s="198" t="str">
        <f>INDEX('FR Y-15 Data'!$A$1:$ED$36,MATCH($G$3,'FR Y-15 Data'!$A$1:$A$36,0),MATCH($Q152,'FR Y-15 Data'!$A$1:$EE$1,0))</f>
        <v>--------</v>
      </c>
      <c r="H152" s="12" t="s">
        <v>196</v>
      </c>
      <c r="I152" s="91" t="str">
        <f>IF(ISTEXT(G152),"No text please",IF(G152&lt;0,"No negatives please",IF(ISBLANK(G152),"Please enter a value",IF(AND(G152=0,ISERROR(FIND("zero",K152))),"Please confirm zero",IF(AND(G152&lt;&gt;0,K152="Confirmed zero"),"Value not zero"," ")))))</f>
        <v>No text please</v>
      </c>
      <c r="J152" s="7"/>
      <c r="K152" s="239" t="str">
        <f t="shared" si="17"/>
        <v/>
      </c>
      <c r="L152" s="237"/>
      <c r="M152" s="7"/>
      <c r="N152" s="238"/>
      <c r="O152" s="77"/>
      <c r="P152" s="233"/>
      <c r="Q152" s="240" t="s">
        <v>285</v>
      </c>
      <c r="R152" s="33"/>
      <c r="S152" s="234"/>
      <c r="T152" s="6"/>
    </row>
    <row r="153" spans="1:20" ht="15" customHeight="1">
      <c r="A153" s="6"/>
      <c r="B153" s="109"/>
      <c r="C153" s="110" t="s">
        <v>197</v>
      </c>
      <c r="D153" s="111"/>
      <c r="E153" s="84"/>
      <c r="F153" s="90">
        <v>1099</v>
      </c>
      <c r="G153" s="198" t="str">
        <f>INDEX('FR Y-15 Data'!$A$1:$ED$36,MATCH($G$3,'FR Y-15 Data'!$A$1:$A$36,0),MATCH($Q153,'FR Y-15 Data'!$A$1:$EE$1,0))</f>
        <v>--------</v>
      </c>
      <c r="H153" s="12" t="s">
        <v>198</v>
      </c>
      <c r="I153" s="91" t="str">
        <f>IF(ISTEXT(G153),"No text please",IF(G153&lt;0,"No negatives please",IF(ISBLANK(G153),"Please enter a value",IF(AND(G153=0,ISERROR(FIND("zero",K153))),"Please confirm zero",IF(AND(G153&lt;&gt;0,K153="Confirmed zero"),"Value not zero"," ")))))</f>
        <v>No text please</v>
      </c>
      <c r="J153" s="7"/>
      <c r="K153" s="239" t="str">
        <f t="shared" si="17"/>
        <v/>
      </c>
      <c r="L153" s="237"/>
      <c r="M153" s="7"/>
      <c r="N153" s="238"/>
      <c r="O153" s="77"/>
      <c r="P153" s="233"/>
      <c r="Q153" s="240" t="s">
        <v>286</v>
      </c>
      <c r="R153" s="33"/>
      <c r="S153" s="234"/>
      <c r="T153" s="6"/>
    </row>
    <row r="154" spans="1:20" ht="15" customHeight="1">
      <c r="A154" s="6"/>
      <c r="B154" s="109"/>
      <c r="C154" s="110" t="s">
        <v>199</v>
      </c>
      <c r="D154" s="111"/>
      <c r="E154" s="84"/>
      <c r="F154" s="90">
        <v>1100</v>
      </c>
      <c r="G154" s="198" t="str">
        <f>INDEX('FR Y-15 Data'!$A$1:$ED$36,MATCH($G$3,'FR Y-15 Data'!$A$1:$A$36,0),MATCH($Q154,'FR Y-15 Data'!$A$1:$EE$1,0))</f>
        <v>--------</v>
      </c>
      <c r="H154" s="12" t="s">
        <v>412</v>
      </c>
      <c r="I154" s="91" t="str">
        <f>IF(ISTEXT(G154),"No text please",IF(G154&lt;0,"No negatives please",IF(ISBLANK(G154),"Please enter a value",IF(AND(G154=0,ISERROR(FIND("zero",K154))),"Please confirm zero",IF(AND(G154&lt;&gt;0,K154="Confirmed zero"),"Value not zero"," ")))))</f>
        <v>No text please</v>
      </c>
      <c r="J154" s="7"/>
      <c r="K154" s="239" t="str">
        <f t="shared" si="17"/>
        <v/>
      </c>
      <c r="L154" s="237"/>
      <c r="M154" s="7"/>
      <c r="N154" s="238"/>
      <c r="O154" s="77"/>
      <c r="P154" s="233"/>
      <c r="Q154" s="240" t="s">
        <v>287</v>
      </c>
      <c r="R154" s="33"/>
      <c r="S154" s="234"/>
      <c r="T154" s="6"/>
    </row>
    <row r="155" spans="1:20" ht="15" customHeight="1">
      <c r="A155" s="6"/>
      <c r="B155" s="109"/>
      <c r="C155" s="110" t="s">
        <v>413</v>
      </c>
      <c r="D155" s="111"/>
      <c r="E155" s="84"/>
      <c r="F155" s="90">
        <v>1101</v>
      </c>
      <c r="G155" s="198" t="str">
        <f>INDEX('FR Y-15 Data'!$A$1:$ED$36,MATCH($G$3,'FR Y-15 Data'!$A$1:$A$36,0),MATCH($Q155,'FR Y-15 Data'!$A$1:$EE$1,0))</f>
        <v>--------</v>
      </c>
      <c r="H155" s="12" t="s">
        <v>414</v>
      </c>
      <c r="I155" s="91" t="str">
        <f>IF(ISTEXT(G155),"No text please",IF(G155&lt;0,"No negatives please",IF(ISBLANK(G155),"Please enter a value",IF(AND(G155=0,ISERROR(FIND("zero",K155))),"Please confirm zero",IF(AND(G155&lt;&gt;0,K155="Confirmed zero"),"Value not zero"," ")))))</f>
        <v>No text please</v>
      </c>
      <c r="J155" s="7"/>
      <c r="K155" s="239" t="str">
        <f t="shared" si="17"/>
        <v/>
      </c>
      <c r="L155" s="237"/>
      <c r="M155" s="7"/>
      <c r="N155" s="238"/>
      <c r="O155" s="77"/>
      <c r="P155" s="233"/>
      <c r="Q155" s="240" t="s">
        <v>288</v>
      </c>
      <c r="R155" s="33"/>
      <c r="S155" s="234"/>
      <c r="T155" s="6"/>
    </row>
    <row r="156" spans="1:20" ht="15" customHeight="1">
      <c r="A156" s="6"/>
      <c r="B156" s="109"/>
      <c r="C156" s="26"/>
      <c r="D156" s="26"/>
      <c r="E156" s="26"/>
      <c r="F156" s="145"/>
      <c r="G156" s="211"/>
      <c r="H156" s="12"/>
      <c r="I156" s="12"/>
      <c r="J156" s="7"/>
      <c r="K156" s="12"/>
      <c r="L156" s="12"/>
      <c r="M156" s="7"/>
      <c r="N156" s="12"/>
      <c r="O156" s="158"/>
      <c r="P156" s="233"/>
      <c r="Q156" s="203"/>
      <c r="R156" s="33"/>
      <c r="S156" s="234"/>
      <c r="T156" s="6"/>
    </row>
    <row r="157" spans="1:20" ht="15" customHeight="1">
      <c r="A157" s="6"/>
      <c r="B157" s="109"/>
      <c r="C157" s="26"/>
      <c r="D157" s="26"/>
      <c r="E157" s="26"/>
      <c r="F157" s="145"/>
      <c r="G157" s="211" t="s">
        <v>200</v>
      </c>
      <c r="H157" s="12"/>
      <c r="I157" s="11" t="str">
        <f>I$22</f>
        <v>Checks</v>
      </c>
      <c r="J157" s="7"/>
      <c r="K157" s="11" t="str">
        <f>K$22</f>
        <v>Remarks</v>
      </c>
      <c r="L157" s="11" t="str">
        <f>L$22</f>
        <v>Comments</v>
      </c>
      <c r="M157" s="7"/>
      <c r="N157" s="11" t="str">
        <f>N$22</f>
        <v>Supervisor Comments</v>
      </c>
      <c r="O157" s="158"/>
      <c r="P157" s="233"/>
      <c r="Q157" s="206"/>
      <c r="R157" s="33"/>
      <c r="S157" s="234"/>
      <c r="T157" s="6"/>
    </row>
    <row r="158" spans="1:20" ht="15" customHeight="1">
      <c r="A158" s="6"/>
      <c r="B158" s="109"/>
      <c r="C158" s="110" t="s">
        <v>201</v>
      </c>
      <c r="D158" s="111"/>
      <c r="E158" s="157"/>
      <c r="F158" s="90">
        <v>1102</v>
      </c>
      <c r="G158" s="198" t="str">
        <f>INDEX('FR Y-15 Data'!$A$1:$ED$36,MATCH($G$3,'FR Y-15 Data'!$A$1:$A$36,0),MATCH($Q158,'FR Y-15 Data'!$A$1:$EE$1,0))</f>
        <v>--------</v>
      </c>
      <c r="H158" s="12" t="s">
        <v>202</v>
      </c>
      <c r="I158" s="91" t="str">
        <f>IF(ISTEXT(G158),"No text please",IF(G158&lt;0,"No negatives please",IF(ISBLANK(G158),"Please enter a value",IF(G158=0,"Cannot be zero",IF(AND(G158&lt;&gt;0,K158="Confirmed zero"),"Value not zero",IF(INT(G158)=G158," ","Integers only"))))))</f>
        <v>No text please</v>
      </c>
      <c r="J158" s="7"/>
      <c r="K158" s="239" t="str">
        <f>IF(G158=0,"Confirmed zero","")</f>
        <v/>
      </c>
      <c r="L158" s="237"/>
      <c r="M158" s="7"/>
      <c r="N158" s="238"/>
      <c r="O158" s="77"/>
      <c r="P158" s="233"/>
      <c r="Q158" s="240" t="s">
        <v>289</v>
      </c>
      <c r="R158" s="33"/>
      <c r="S158" s="234"/>
      <c r="T158" s="6"/>
    </row>
    <row r="159" spans="1:20" ht="30" customHeight="1">
      <c r="A159" s="6"/>
      <c r="B159" s="141"/>
      <c r="C159" s="16"/>
      <c r="D159" s="16"/>
      <c r="E159" s="17"/>
      <c r="F159" s="142"/>
      <c r="G159" s="18"/>
      <c r="H159" s="23"/>
      <c r="I159" s="18"/>
      <c r="J159" s="7"/>
      <c r="K159" s="19"/>
      <c r="L159" s="18"/>
      <c r="M159" s="7"/>
      <c r="N159" s="18"/>
      <c r="O159" s="77"/>
      <c r="P159" s="233"/>
      <c r="Q159" s="205"/>
      <c r="R159" s="33"/>
      <c r="S159" s="234"/>
      <c r="T159" s="6"/>
    </row>
    <row r="160" spans="1:20" ht="15" customHeight="1">
      <c r="A160" s="6"/>
      <c r="B160" s="76"/>
      <c r="C160" s="78" t="s">
        <v>415</v>
      </c>
      <c r="D160" s="79"/>
      <c r="E160" s="154"/>
      <c r="F160" s="143" t="s">
        <v>342</v>
      </c>
      <c r="G160" s="211" t="str">
        <f>G$22</f>
        <v>Amount in thousand USD</v>
      </c>
      <c r="H160" s="12"/>
      <c r="I160" s="11" t="str">
        <f>I$22</f>
        <v>Checks</v>
      </c>
      <c r="J160" s="7"/>
      <c r="K160" s="11" t="str">
        <f>K$22</f>
        <v>Remarks</v>
      </c>
      <c r="L160" s="11" t="str">
        <f>L$22</f>
        <v>Comments</v>
      </c>
      <c r="M160" s="7"/>
      <c r="N160" s="11" t="str">
        <f>N$22</f>
        <v>Supervisor Comments</v>
      </c>
      <c r="O160" s="77"/>
      <c r="P160" s="233"/>
      <c r="Q160" s="206"/>
      <c r="R160" s="33"/>
      <c r="S160" s="234"/>
      <c r="T160" s="6"/>
    </row>
    <row r="161" spans="1:20" ht="15" customHeight="1">
      <c r="A161" s="6"/>
      <c r="B161" s="109"/>
      <c r="C161" s="110" t="s">
        <v>416</v>
      </c>
      <c r="D161" s="111"/>
      <c r="E161" s="84"/>
      <c r="F161" s="90">
        <v>1103</v>
      </c>
      <c r="G161" s="198"/>
      <c r="H161" s="12" t="s">
        <v>203</v>
      </c>
      <c r="I161" s="91" t="str">
        <f>IF(ISTEXT(G161),"No text please",IF(G161&lt;0,"No negatives please",IF(ISBLANK(G161),"Please enter a value",IF(AND(G161=0,ISERROR(FIND("zero",K161))),"Please confirm zero",IF(AND(G161&lt;&gt;0,K161="Confirmed zero"),"Value not zero",IF($G$161&lt;$G$162,"&lt; 15.b."," "))))))</f>
        <v>Please enter a value</v>
      </c>
      <c r="J161" s="7"/>
      <c r="K161" s="239" t="str">
        <f t="shared" ref="K161:K165" si="18">IF(G161=0,"Confirmed zero","")</f>
        <v>Confirmed zero</v>
      </c>
      <c r="L161" s="237"/>
      <c r="M161" s="7"/>
      <c r="N161" s="238"/>
      <c r="O161" s="77"/>
      <c r="P161" s="233"/>
      <c r="Q161" s="240"/>
      <c r="R161" s="33"/>
      <c r="S161" s="234"/>
      <c r="T161" s="6"/>
    </row>
    <row r="162" spans="1:20" ht="15" customHeight="1">
      <c r="A162" s="6"/>
      <c r="B162" s="109"/>
      <c r="C162" s="110" t="s">
        <v>417</v>
      </c>
      <c r="D162" s="111"/>
      <c r="E162" s="84"/>
      <c r="F162" s="90">
        <v>1104</v>
      </c>
      <c r="G162" s="198"/>
      <c r="H162" s="12" t="s">
        <v>204</v>
      </c>
      <c r="I162" s="91" t="str">
        <f>IF(ISTEXT(G162),"No text please",IF(G162&lt;0,"No negatives please",IF(ISBLANK(G162),"Please enter a value",IF(AND(G162=0,ISERROR(FIND("zero",K162))),"Please confirm zero",IF(AND(G162&lt;&gt;0,K162="Confirmed zero"),"Value not zero",IF($G$161&lt;$G$162,"&gt; 15.a."," "))))))</f>
        <v>Please enter a value</v>
      </c>
      <c r="J162" s="7"/>
      <c r="K162" s="239" t="str">
        <f t="shared" si="18"/>
        <v>Confirmed zero</v>
      </c>
      <c r="L162" s="237"/>
      <c r="M162" s="7"/>
      <c r="N162" s="238"/>
      <c r="O162" s="77"/>
      <c r="P162" s="233"/>
      <c r="Q162" s="240"/>
      <c r="R162" s="33"/>
      <c r="S162" s="234"/>
      <c r="T162" s="6"/>
    </row>
    <row r="163" spans="1:20" ht="15" customHeight="1">
      <c r="A163" s="6"/>
      <c r="B163" s="109"/>
      <c r="C163" s="110" t="s">
        <v>418</v>
      </c>
      <c r="D163" s="111"/>
      <c r="E163" s="84"/>
      <c r="F163" s="90">
        <v>1105</v>
      </c>
      <c r="G163" s="198"/>
      <c r="H163" s="12" t="s">
        <v>205</v>
      </c>
      <c r="I163" s="91" t="str">
        <f>IF(ISTEXT(G163),"No text please",IF(G163&lt;0,"No negatives please",IF(ISBLANK(G163),"Please enter a value",IF(AND(G163=0,ISERROR(FIND("zero",K163))),"Please confirm zero",IF(AND(G163&lt;&gt;0,K163="Confirmed zero"),"Value not zero"," ")))))</f>
        <v>Please enter a value</v>
      </c>
      <c r="J163" s="7"/>
      <c r="K163" s="239" t="str">
        <f t="shared" si="18"/>
        <v>Confirmed zero</v>
      </c>
      <c r="L163" s="237"/>
      <c r="M163" s="7"/>
      <c r="N163" s="238"/>
      <c r="O163" s="77"/>
      <c r="P163" s="233"/>
      <c r="Q163" s="240"/>
      <c r="R163" s="33"/>
      <c r="S163" s="234"/>
      <c r="T163" s="6"/>
    </row>
    <row r="164" spans="1:20" ht="15" customHeight="1">
      <c r="A164" s="6"/>
      <c r="B164" s="109"/>
      <c r="C164" s="110" t="s">
        <v>419</v>
      </c>
      <c r="D164" s="111"/>
      <c r="E164" s="84"/>
      <c r="F164" s="90">
        <v>1106</v>
      </c>
      <c r="G164" s="198"/>
      <c r="H164" s="12" t="s">
        <v>206</v>
      </c>
      <c r="I164" s="91" t="str">
        <f>IF(ISTEXT(G164),"No text please",IF(G164&lt;0,"No negatives please",IF(ISBLANK(G164),"Please enter a value",IF(AND(G164=0,ISERROR(FIND("zero",K164))),"Please confirm zero",IF(AND(G164&lt;&gt;0,K164="Confirmed zero"),"Value not zero",IF($G$83&lt;$G$164,"&gt; 5.e"," "))))))</f>
        <v>Please enter a value</v>
      </c>
      <c r="J164" s="7"/>
      <c r="K164" s="239" t="str">
        <f t="shared" si="18"/>
        <v>Confirmed zero</v>
      </c>
      <c r="L164" s="237"/>
      <c r="M164" s="7"/>
      <c r="N164" s="238"/>
      <c r="O164" s="77"/>
      <c r="P164" s="233"/>
      <c r="Q164" s="240"/>
      <c r="R164" s="33"/>
      <c r="S164" s="234"/>
      <c r="T164" s="6"/>
    </row>
    <row r="165" spans="1:20" ht="15" customHeight="1">
      <c r="A165" s="6"/>
      <c r="B165" s="109"/>
      <c r="C165" s="110" t="s">
        <v>420</v>
      </c>
      <c r="D165" s="111"/>
      <c r="E165" s="84"/>
      <c r="F165" s="90">
        <v>1107</v>
      </c>
      <c r="G165" s="198" t="str">
        <f>INDEX('FR Y-15 Data'!$A$1:$ED$36,MATCH($G$3,'FR Y-15 Data'!$A$1:$A$36,0),MATCH($Q165,'FR Y-15 Data'!$A$1:$EE$1,0))</f>
        <v>--------</v>
      </c>
      <c r="H165" s="12" t="s">
        <v>207</v>
      </c>
      <c r="I165" s="91" t="str">
        <f>IF(ISTEXT(G165),"No text please",IF(G165&lt;0,"No negatives please",IF(ISBLANK(G165),"Please enter a value",IF(AND(G165=0,ISERROR(FIND("zero",K165))),"Please confirm zero",IF(AND(G165&lt;&gt;0,K165="Confirmed zero"),"Value not zero"," ")))))</f>
        <v>No text please</v>
      </c>
      <c r="J165" s="7"/>
      <c r="K165" s="239" t="str">
        <f t="shared" si="18"/>
        <v/>
      </c>
      <c r="L165" s="237"/>
      <c r="M165" s="7"/>
      <c r="N165" s="238"/>
      <c r="O165" s="77"/>
      <c r="P165" s="233"/>
      <c r="Q165" s="240" t="s">
        <v>276</v>
      </c>
      <c r="R165" s="33"/>
      <c r="S165" s="234"/>
      <c r="T165" s="6"/>
    </row>
    <row r="166" spans="1:20" ht="15" customHeight="1">
      <c r="A166" s="6"/>
      <c r="B166" s="109"/>
      <c r="C166" s="26"/>
      <c r="D166" s="26"/>
      <c r="E166" s="26"/>
      <c r="F166" s="145"/>
      <c r="G166" s="211"/>
      <c r="H166" s="12"/>
      <c r="I166" s="12"/>
      <c r="J166" s="7"/>
      <c r="K166" s="12"/>
      <c r="L166" s="12"/>
      <c r="M166" s="7"/>
      <c r="N166" s="12"/>
      <c r="O166" s="158"/>
      <c r="P166" s="233"/>
      <c r="Q166" s="202"/>
      <c r="R166" s="33"/>
      <c r="S166" s="234"/>
      <c r="T166" s="6"/>
    </row>
    <row r="167" spans="1:20" ht="15" customHeight="1">
      <c r="A167" s="6"/>
      <c r="B167" s="141"/>
      <c r="C167" s="16"/>
      <c r="D167" s="380" t="s">
        <v>121</v>
      </c>
      <c r="E167" s="380" t="s">
        <v>290</v>
      </c>
      <c r="F167" s="211"/>
      <c r="G167" s="381" t="str">
        <f>G$22</f>
        <v>Amount in thousand USD</v>
      </c>
      <c r="H167" s="23"/>
      <c r="I167" s="18"/>
      <c r="J167" s="7"/>
      <c r="K167" s="19"/>
      <c r="L167" s="18"/>
      <c r="M167" s="7"/>
      <c r="N167" s="18"/>
      <c r="O167" s="77"/>
      <c r="P167" s="233"/>
      <c r="Q167" s="202"/>
      <c r="R167" s="33"/>
      <c r="S167" s="234"/>
      <c r="T167" s="6"/>
    </row>
    <row r="168" spans="1:20" ht="15" customHeight="1">
      <c r="A168" s="6"/>
      <c r="B168" s="141"/>
      <c r="C168" s="159" t="s">
        <v>421</v>
      </c>
      <c r="D168" s="380"/>
      <c r="E168" s="380"/>
      <c r="F168" s="81" t="s">
        <v>342</v>
      </c>
      <c r="G168" s="381"/>
      <c r="H168" s="12"/>
      <c r="I168" s="11" t="str">
        <f>I$22</f>
        <v>Checks</v>
      </c>
      <c r="J168" s="7"/>
      <c r="K168" s="11" t="str">
        <f>K$22</f>
        <v>Remarks</v>
      </c>
      <c r="L168" s="11" t="str">
        <f>L$22</f>
        <v>Comments</v>
      </c>
      <c r="M168" s="7"/>
      <c r="N168" s="11" t="str">
        <f>N$22</f>
        <v>Supervisor Comments</v>
      </c>
      <c r="O168" s="77"/>
      <c r="P168" s="233"/>
      <c r="Q168" s="202"/>
      <c r="R168" s="33"/>
      <c r="S168" s="234"/>
      <c r="T168" s="6"/>
    </row>
    <row r="169" spans="1:20" ht="15" customHeight="1">
      <c r="A169" s="6"/>
      <c r="B169" s="109"/>
      <c r="C169" s="115" t="s">
        <v>208</v>
      </c>
      <c r="D169" s="146" t="s">
        <v>209</v>
      </c>
      <c r="E169" s="255"/>
      <c r="F169" s="90">
        <v>1108</v>
      </c>
      <c r="G169" s="220" t="str">
        <f>IF(AND(ISNUMBER(E169),VLOOKUP(D169,$D$238:$I$252,COLUMNS($D$238:$I$252),FALSE)=" "),E169*VLOOKUP(D169,$D$238:$E$252,2,FALSE)," ")</f>
        <v xml:space="preserve"> </v>
      </c>
      <c r="H169" s="12" t="s">
        <v>422</v>
      </c>
      <c r="I169" s="91" t="str">
        <f>IF(ISTEXT(E169),"No text please",IF(E169&lt;0,"No negatives please",IF(ISBLANK(E169),"Please enter a value",IF(AND(E169=0,ISERROR(FIND("zero",K169))),"Please confirm zero",IF(AND(E169&lt;&gt;0,K169="Confirmed zero"),"Value not zero",IF(VLOOKUP(D169,$D$229:$I$243,COLUMNS($D$229:$I$243),FALSE)&lt;&gt;" ","See item "&amp;VLOOKUP(D169,$D$229:$I$243,COLUMNS($D$229:$I$243)-1,FALSE)," "))))))</f>
        <v>Please enter a value</v>
      </c>
      <c r="J169" s="7"/>
      <c r="K169" s="239" t="str">
        <f t="shared" ref="K169:K171" si="19">IF(G169=0,"Confirmed zero","")</f>
        <v/>
      </c>
      <c r="L169" s="237"/>
      <c r="M169" s="7"/>
      <c r="N169" s="238"/>
      <c r="O169" s="77"/>
      <c r="P169" s="233"/>
      <c r="Q169" s="202"/>
      <c r="R169" s="33"/>
      <c r="S169" s="234"/>
      <c r="T169" s="6"/>
    </row>
    <row r="170" spans="1:20" ht="15" customHeight="1">
      <c r="A170" s="6"/>
      <c r="B170" s="109"/>
      <c r="C170" s="115" t="s">
        <v>210</v>
      </c>
      <c r="D170" s="146" t="s">
        <v>211</v>
      </c>
      <c r="E170" s="256"/>
      <c r="F170" s="90">
        <v>1109</v>
      </c>
      <c r="G170" s="220" t="str">
        <f>IF(AND(ISNUMBER(E170),VLOOKUP(D170,$D$238:$I$252,COLUMNS($D$238:$I$252),FALSE)=" "),E170*VLOOKUP(D170,$D$238:$E$252,2,FALSE)," ")</f>
        <v xml:space="preserve"> </v>
      </c>
      <c r="H170" s="12" t="s">
        <v>423</v>
      </c>
      <c r="I170" s="91" t="str">
        <f>IF(ISTEXT(E170),"No text please",IF(E170&lt;0,"No negatives please",IF(ISBLANK(E170),"Please enter a value",IF(AND(E170=0,ISERROR(FIND("zero",K170))),"Please confirm zero",IF(AND(E170&lt;&gt;0,K170="Confirmed zero"),"Value not zero",IF(VLOOKUP(D170,$D$229:$I$243,COLUMNS($D$229:$I$243),FALSE)&lt;&gt;" ","See item "&amp;VLOOKUP(D170,$D$229:$I$243,COLUMNS($D$229:$I$243)-1,FALSE)," "))))))</f>
        <v>Please enter a value</v>
      </c>
      <c r="J170" s="7"/>
      <c r="K170" s="239" t="str">
        <f t="shared" si="19"/>
        <v/>
      </c>
      <c r="L170" s="237"/>
      <c r="M170" s="7"/>
      <c r="N170" s="238"/>
      <c r="O170" s="77"/>
      <c r="P170" s="233"/>
      <c r="Q170" s="202"/>
      <c r="R170" s="33"/>
      <c r="S170" s="234"/>
      <c r="T170" s="6"/>
    </row>
    <row r="171" spans="1:20" ht="15" customHeight="1">
      <c r="A171" s="6"/>
      <c r="B171" s="109"/>
      <c r="C171" s="115" t="s">
        <v>212</v>
      </c>
      <c r="D171" s="146" t="s">
        <v>213</v>
      </c>
      <c r="E171" s="257"/>
      <c r="F171" s="90">
        <v>1110</v>
      </c>
      <c r="G171" s="220" t="str">
        <f>IF(AND(ISNUMBER(E171),VLOOKUP(D171,$D$238:$I$252,COLUMNS($D$238:$I$252),FALSE)=" "),E171.*VLOOKUP(D171,$D$238:$E$252,2,FALSE)," ")</f>
        <v xml:space="preserve"> </v>
      </c>
      <c r="H171" s="12" t="s">
        <v>424</v>
      </c>
      <c r="I171" s="91" t="str">
        <f>IF(ISTEXT(E171),"No text please",IF(E171&lt;0,"No negatives please",IF(ISBLANK(E171),"Please enter a value",IF(AND(E171=0,ISERROR(FIND("zero",K171))),"Please confirm zero",IF(AND(E171&lt;&gt;0,K171="Confirmed zero"),"Value not zero",IF(VLOOKUP(D171,$D$229:$I$243,COLUMNS($D$229:$I$243),FALSE)&lt;&gt;" ","See item "&amp;VLOOKUP(D171,$D$229:$I$243,COLUMNS($D$229:$I$243)-1,FALSE)," "))))))</f>
        <v>Please enter a value</v>
      </c>
      <c r="J171" s="7"/>
      <c r="K171" s="239" t="str">
        <f t="shared" si="19"/>
        <v/>
      </c>
      <c r="L171" s="237"/>
      <c r="M171" s="7"/>
      <c r="N171" s="238"/>
      <c r="O171" s="77"/>
      <c r="P171" s="233"/>
      <c r="Q171" s="202"/>
      <c r="R171" s="33"/>
      <c r="S171" s="234"/>
      <c r="T171" s="6"/>
    </row>
    <row r="172" spans="1:20" ht="20.149999999999999" customHeight="1">
      <c r="A172" s="6"/>
      <c r="B172" s="125"/>
      <c r="C172" s="127"/>
      <c r="D172" s="127"/>
      <c r="E172" s="127"/>
      <c r="F172" s="128"/>
      <c r="G172" s="127"/>
      <c r="H172" s="160"/>
      <c r="I172" s="127"/>
      <c r="J172" s="99"/>
      <c r="K172" s="99"/>
      <c r="L172" s="127"/>
      <c r="M172" s="99"/>
      <c r="N172" s="127"/>
      <c r="O172" s="102"/>
      <c r="P172" s="233"/>
      <c r="Q172" s="202"/>
      <c r="R172" s="33"/>
      <c r="S172" s="234"/>
      <c r="T172" s="6"/>
    </row>
    <row r="173" spans="1:20" ht="20.149999999999999" hidden="1" customHeight="1">
      <c r="A173" s="6"/>
      <c r="B173" s="72" t="s">
        <v>425</v>
      </c>
      <c r="C173" s="73"/>
      <c r="D173" s="73"/>
      <c r="E173" s="73"/>
      <c r="F173" s="73"/>
      <c r="G173" s="73"/>
      <c r="H173" s="74"/>
      <c r="I173" s="73"/>
      <c r="J173" s="73"/>
      <c r="K173" s="73"/>
      <c r="L173" s="73"/>
      <c r="M173" s="73"/>
      <c r="N173" s="73"/>
      <c r="O173" s="75"/>
      <c r="P173" s="233"/>
      <c r="Q173" s="202"/>
      <c r="R173" s="33"/>
      <c r="S173" s="234"/>
      <c r="T173" s="6"/>
    </row>
    <row r="174" spans="1:20" ht="20.149999999999999" hidden="1" customHeight="1">
      <c r="A174" s="6"/>
      <c r="B174" s="132"/>
      <c r="C174" s="133"/>
      <c r="D174" s="133"/>
      <c r="E174" s="134"/>
      <c r="F174" s="135"/>
      <c r="G174" s="136"/>
      <c r="H174" s="137"/>
      <c r="I174" s="136"/>
      <c r="J174" s="105"/>
      <c r="K174" s="138"/>
      <c r="L174" s="136"/>
      <c r="M174" s="105"/>
      <c r="N174" s="136"/>
      <c r="O174" s="108"/>
      <c r="P174" s="233"/>
      <c r="Q174" s="202"/>
      <c r="R174" s="33"/>
      <c r="S174" s="234"/>
      <c r="T174" s="6"/>
    </row>
    <row r="175" spans="1:20" ht="15" hidden="1" customHeight="1">
      <c r="A175" s="6"/>
      <c r="B175" s="76"/>
      <c r="C175" s="78" t="s">
        <v>426</v>
      </c>
      <c r="D175" s="79"/>
      <c r="E175" s="80"/>
      <c r="F175" s="143" t="s">
        <v>342</v>
      </c>
      <c r="G175" s="211" t="str">
        <f>G$22</f>
        <v>Amount in thousand USD</v>
      </c>
      <c r="H175" s="12"/>
      <c r="I175" s="11" t="str">
        <f>I$22</f>
        <v>Checks</v>
      </c>
      <c r="J175" s="7"/>
      <c r="K175" s="11" t="str">
        <f>K$22</f>
        <v>Remarks</v>
      </c>
      <c r="L175" s="11" t="s">
        <v>427</v>
      </c>
      <c r="M175" s="7"/>
      <c r="N175" s="11" t="str">
        <f>N$22</f>
        <v>Supervisor Comments</v>
      </c>
      <c r="O175" s="77"/>
      <c r="P175" s="233"/>
      <c r="Q175" s="202"/>
      <c r="R175" s="33"/>
      <c r="S175" s="234"/>
      <c r="T175" s="6"/>
    </row>
    <row r="176" spans="1:20" ht="15" hidden="1" customHeight="1">
      <c r="A176" s="6"/>
      <c r="B176" s="109"/>
      <c r="C176" s="110" t="s">
        <v>428</v>
      </c>
      <c r="D176" s="111"/>
      <c r="E176" s="84"/>
      <c r="F176" s="90">
        <v>1111</v>
      </c>
      <c r="G176" s="199"/>
      <c r="H176" s="12" t="s">
        <v>214</v>
      </c>
      <c r="I176" s="91" t="str">
        <f>IF(ISBLANK(L176),"Comment required",IF(ISTEXT(G176),"No text please",IF(ISBLANK(G176),"Please enter a value",IF(AND(G176=0,ISERROR(FIND("zero",K176))),"Please confirm zero",IF(AND(G176&lt;&gt;0,K176="Confirmed zero"),"Value not zero",IF($G$179&gt;$G$176,"&lt; 16.d."," "))))))</f>
        <v>Comment required</v>
      </c>
      <c r="J176" s="7"/>
      <c r="K176" s="258"/>
      <c r="L176" s="259"/>
      <c r="M176" s="7"/>
      <c r="N176" s="238"/>
      <c r="O176" s="77"/>
      <c r="P176" s="233"/>
      <c r="Q176" s="202"/>
      <c r="R176" s="33"/>
      <c r="S176" s="234"/>
      <c r="T176" s="6"/>
    </row>
    <row r="177" spans="1:20" ht="15" hidden="1" customHeight="1">
      <c r="A177" s="6"/>
      <c r="B177" s="109"/>
      <c r="C177" s="110" t="s">
        <v>429</v>
      </c>
      <c r="D177" s="111"/>
      <c r="E177" s="84"/>
      <c r="F177" s="90">
        <v>1112</v>
      </c>
      <c r="G177" s="199"/>
      <c r="H177" s="12" t="s">
        <v>215</v>
      </c>
      <c r="I177" s="91" t="str">
        <f>IF(OR(ISBLANK(L177),L177="&lt;&lt;Does the total include insurance subsidiaries?&gt;&gt;"),"Comment required",IF(ISTEXT(G177),"No text please",IF(ISBLANK(G177),"Please enter a value",IF(AND(G177=0,ISERROR(FIND("zero",K177))),"Please confirm zero",IF(AND(G177&lt;&gt;0,K177="Confirmed zero"),"Value not zero"," ")))))</f>
        <v>Comment required</v>
      </c>
      <c r="J177" s="7"/>
      <c r="K177" s="258"/>
      <c r="L177" s="260" t="s">
        <v>430</v>
      </c>
      <c r="M177" s="7"/>
      <c r="N177" s="238"/>
      <c r="O177" s="77"/>
      <c r="P177" s="233"/>
      <c r="Q177" s="202"/>
      <c r="R177" s="33"/>
      <c r="S177" s="234"/>
      <c r="T177" s="6"/>
    </row>
    <row r="178" spans="1:20" ht="15" hidden="1" customHeight="1">
      <c r="A178" s="6"/>
      <c r="B178" s="109"/>
      <c r="C178" s="110" t="s">
        <v>431</v>
      </c>
      <c r="D178" s="111"/>
      <c r="E178" s="84"/>
      <c r="F178" s="90">
        <v>1113</v>
      </c>
      <c r="G178" s="200"/>
      <c r="H178" s="12" t="s">
        <v>216</v>
      </c>
      <c r="I178" s="91" t="str">
        <f>IF(ISBLANK(L178),"Comment required",IF(ISTEXT(G178),"No text please",IF(ISBLANK(G178),"Please enter a value",IF(AND(G178=0,ISERROR(FIND("zero",K178))),"Please confirm zero",IF(AND(G178&lt;&gt;0,K178="Confirmed zero"),"Value not zero"," ")))))</f>
        <v>Comment required</v>
      </c>
      <c r="J178" s="7"/>
      <c r="K178" s="258"/>
      <c r="L178" s="259"/>
      <c r="M178" s="7"/>
      <c r="N178" s="238"/>
      <c r="O178" s="77"/>
      <c r="P178" s="233"/>
      <c r="Q178" s="202"/>
      <c r="R178" s="33"/>
      <c r="S178" s="234"/>
      <c r="T178" s="6"/>
    </row>
    <row r="179" spans="1:20" ht="15" hidden="1" customHeight="1">
      <c r="A179" s="6"/>
      <c r="B179" s="109"/>
      <c r="C179" s="110" t="s">
        <v>432</v>
      </c>
      <c r="D179" s="111"/>
      <c r="E179" s="84"/>
      <c r="F179" s="90">
        <v>1114</v>
      </c>
      <c r="G179" s="199"/>
      <c r="H179" s="12" t="s">
        <v>217</v>
      </c>
      <c r="I179" s="91" t="str">
        <f>IF(OR(ISBLANK(L179),L179="&lt;&lt;What types of transactions were netted out?&gt;&gt;"),"Comment required",IF(ISTEXT(G179),"No text please",IF(ISBLANK(G179),"Please enter a value",IF(AND(G179=0,ISERROR(FIND("zero",K179))),"Please confirm zero",IF(AND(G179&lt;&gt;0,K179="Confirmed zero"),"Value not zero",IF($G$179&gt;$G$178,"&gt; 16.c."," "))))))</f>
        <v>Comment required</v>
      </c>
      <c r="J179" s="7"/>
      <c r="K179" s="258"/>
      <c r="L179" s="260" t="s">
        <v>433</v>
      </c>
      <c r="M179" s="7"/>
      <c r="N179" s="238"/>
      <c r="O179" s="77"/>
      <c r="P179" s="233"/>
      <c r="Q179" s="202"/>
      <c r="R179" s="33"/>
      <c r="S179" s="234"/>
      <c r="T179" s="6"/>
    </row>
    <row r="180" spans="1:20" ht="15" hidden="1" customHeight="1">
      <c r="A180" s="6"/>
      <c r="B180" s="109"/>
      <c r="C180" s="110" t="s">
        <v>434</v>
      </c>
      <c r="D180" s="111"/>
      <c r="E180" s="84"/>
      <c r="F180" s="90">
        <v>1115</v>
      </c>
      <c r="G180" s="199"/>
      <c r="H180" s="12" t="s">
        <v>218</v>
      </c>
      <c r="I180" s="91" t="str">
        <f>IF(ISBLANK(L180),"Comment required",IF(ISTEXT(G180),"No text please",IF(ISBLANK(G180),"Please enter a value",IF(AND(G180=0,ISERROR(FIND("zero",K180))),"Please confirm zero",IF(AND(G180&lt;&gt;0,K180="Confirmed zero"),"Value not zero"," ")))))</f>
        <v>Comment required</v>
      </c>
      <c r="J180" s="7"/>
      <c r="K180" s="258"/>
      <c r="L180" s="259"/>
      <c r="M180" s="7"/>
      <c r="N180" s="238"/>
      <c r="O180" s="77"/>
      <c r="P180" s="233"/>
      <c r="Q180" s="202"/>
      <c r="R180" s="33"/>
      <c r="S180" s="234"/>
      <c r="T180" s="6"/>
    </row>
    <row r="181" spans="1:20" ht="15" hidden="1" customHeight="1">
      <c r="A181" s="6"/>
      <c r="B181" s="109"/>
      <c r="C181" s="110" t="s">
        <v>435</v>
      </c>
      <c r="D181" s="111"/>
      <c r="E181" s="84"/>
      <c r="F181" s="90">
        <v>1116</v>
      </c>
      <c r="G181" s="199"/>
      <c r="H181" s="12" t="s">
        <v>219</v>
      </c>
      <c r="I181" s="91" t="str">
        <f>IF(OR(ISBLANK(L181),L181="&lt;&lt;What types of transactions were netted out?&gt;&gt;"),"Comment required",IF(ISTEXT(G181),"No text please",IF(ISBLANK(G181),"Please enter a value",IF(AND(G181=0,ISERROR(FIND("zero",K181))),"Please confirm zero",IF(AND(G181&lt;&gt;0,K181="Confirmed zero"),"Value not zero",IF($G$181&gt;$G$180,"&gt; 16.e."," "))))))</f>
        <v>Comment required</v>
      </c>
      <c r="J181" s="7"/>
      <c r="K181" s="258"/>
      <c r="L181" s="260" t="s">
        <v>433</v>
      </c>
      <c r="M181" s="7"/>
      <c r="N181" s="238"/>
      <c r="O181" s="77"/>
      <c r="P181" s="233"/>
      <c r="Q181" s="202"/>
      <c r="R181" s="33"/>
      <c r="S181" s="234"/>
      <c r="T181" s="6"/>
    </row>
    <row r="182" spans="1:20" ht="15" hidden="1" customHeight="1">
      <c r="A182" s="6"/>
      <c r="B182" s="109"/>
      <c r="C182" s="110" t="s">
        <v>436</v>
      </c>
      <c r="D182" s="111"/>
      <c r="E182" s="84"/>
      <c r="F182" s="90">
        <v>1117</v>
      </c>
      <c r="G182" s="199"/>
      <c r="H182" s="12" t="s">
        <v>220</v>
      </c>
      <c r="I182" s="91" t="str">
        <f>IF(ISBLANK(L182),"Comment required",IF(ISTEXT(G182),"No text please",IF(ISBLANK(G182),"Please enter a value",IF(AND(G182=0,ISERROR(FIND("zero",K182))),"Please confirm zero",IF(AND(G182&lt;&gt;0,K182="Confirmed zero"),"Value not zero"," ")))))</f>
        <v>Comment required</v>
      </c>
      <c r="J182" s="7"/>
      <c r="K182" s="258"/>
      <c r="L182" s="259"/>
      <c r="M182" s="7"/>
      <c r="N182" s="238"/>
      <c r="O182" s="77"/>
      <c r="P182" s="233"/>
      <c r="Q182" s="202"/>
      <c r="R182" s="33"/>
      <c r="S182" s="234"/>
      <c r="T182" s="6"/>
    </row>
    <row r="183" spans="1:20" ht="15" hidden="1" customHeight="1">
      <c r="A183" s="6"/>
      <c r="B183" s="109"/>
      <c r="C183" s="26"/>
      <c r="D183" s="26"/>
      <c r="E183" s="26"/>
      <c r="F183" s="145"/>
      <c r="G183" s="211"/>
      <c r="H183" s="12"/>
      <c r="I183" s="12"/>
      <c r="J183" s="7"/>
      <c r="K183" s="12"/>
      <c r="L183" s="12"/>
      <c r="M183" s="7"/>
      <c r="N183" s="12"/>
      <c r="O183" s="158"/>
      <c r="P183" s="233"/>
      <c r="Q183" s="202"/>
      <c r="R183" s="33"/>
      <c r="S183" s="234"/>
      <c r="T183" s="6"/>
    </row>
    <row r="184" spans="1:20" ht="15" hidden="1" customHeight="1">
      <c r="A184" s="6"/>
      <c r="B184" s="109"/>
      <c r="C184" s="78" t="s">
        <v>437</v>
      </c>
      <c r="D184" s="79"/>
      <c r="E184" s="80"/>
      <c r="F184" s="143" t="s">
        <v>342</v>
      </c>
      <c r="G184" s="211" t="str">
        <f>G$22</f>
        <v>Amount in thousand USD</v>
      </c>
      <c r="H184" s="12"/>
      <c r="I184" s="11" t="str">
        <f>I$22</f>
        <v>Checks</v>
      </c>
      <c r="J184" s="7"/>
      <c r="K184" s="11" t="str">
        <f>K$22</f>
        <v>Remarks</v>
      </c>
      <c r="L184" s="11" t="str">
        <f>$L$175</f>
        <v>Comments Regarding Data Quality/Availability</v>
      </c>
      <c r="M184" s="7"/>
      <c r="N184" s="11" t="str">
        <f>N$22</f>
        <v>Supervisor Comments</v>
      </c>
      <c r="O184" s="77"/>
      <c r="P184" s="233"/>
      <c r="Q184" s="202"/>
      <c r="R184" s="33"/>
      <c r="S184" s="234"/>
      <c r="T184" s="6"/>
    </row>
    <row r="185" spans="1:20" ht="15" hidden="1" customHeight="1">
      <c r="A185" s="6"/>
      <c r="B185" s="109"/>
      <c r="C185" s="110" t="s">
        <v>438</v>
      </c>
      <c r="D185" s="111"/>
      <c r="E185" s="84"/>
      <c r="F185" s="90">
        <v>1118</v>
      </c>
      <c r="G185" s="199"/>
      <c r="H185" s="12" t="s">
        <v>439</v>
      </c>
      <c r="I185" s="91" t="str">
        <f>IF(ISBLANK(L185),"Comment required",IF(ISTEXT(G185),"No text please",IF(ISBLANK(G185),"Please enter a value",IF(AND(G185=0,ISERROR(FIND("zero",K185))),"Please confirm zero",IF(AND(G185&lt;&gt;0,K185="Confirmed zero"),"Value not zero"," ")))))</f>
        <v>Comment required</v>
      </c>
      <c r="J185" s="7"/>
      <c r="K185" s="258"/>
      <c r="L185" s="259"/>
      <c r="M185" s="7"/>
      <c r="N185" s="238"/>
      <c r="O185" s="77"/>
      <c r="P185" s="233"/>
      <c r="Q185" s="202"/>
      <c r="R185" s="33"/>
      <c r="S185" s="234"/>
      <c r="T185" s="6"/>
    </row>
    <row r="186" spans="1:20" ht="15" hidden="1" customHeight="1">
      <c r="A186" s="6"/>
      <c r="B186" s="109"/>
      <c r="C186" s="110" t="s">
        <v>440</v>
      </c>
      <c r="D186" s="111"/>
      <c r="E186" s="84"/>
      <c r="F186" s="90">
        <v>1119</v>
      </c>
      <c r="G186" s="199"/>
      <c r="H186" s="12" t="s">
        <v>441</v>
      </c>
      <c r="I186" s="91" t="str">
        <f>IF(ISBLANK(L186),"Comment required",IF(ISTEXT(G186),"No text please",IF(ISBLANK(G186),"Please enter a value",IF(AND(G186=0,ISERROR(FIND("zero",K186))),"Please confirm zero",IF(AND(G186&lt;&gt;0,K186="Confirmed zero"),"Value not zero"," ")))))</f>
        <v>Comment required</v>
      </c>
      <c r="J186" s="7"/>
      <c r="K186" s="258"/>
      <c r="L186" s="259"/>
      <c r="M186" s="7"/>
      <c r="N186" s="238"/>
      <c r="O186" s="77"/>
      <c r="P186" s="233"/>
      <c r="Q186" s="202"/>
      <c r="R186" s="33"/>
      <c r="S186" s="234"/>
      <c r="T186" s="6"/>
    </row>
    <row r="187" spans="1:20" ht="15" hidden="1" customHeight="1">
      <c r="A187" s="6"/>
      <c r="B187" s="109"/>
      <c r="C187" s="110" t="s">
        <v>442</v>
      </c>
      <c r="D187" s="111"/>
      <c r="E187" s="84"/>
      <c r="F187" s="90">
        <v>1120</v>
      </c>
      <c r="G187" s="200"/>
      <c r="H187" s="12" t="s">
        <v>443</v>
      </c>
      <c r="I187" s="91" t="str">
        <f>IF(ISBLANK(L187),"Comment required",IF(ISTEXT(G187),"No text please",IF(ISBLANK(G187),"Please enter a value",IF(AND(G187=0,ISERROR(FIND("zero",K187))),"Please confirm zero",IF(AND(G187&lt;&gt;0,K187="Confirmed zero"),"Value not zero"," ")))))</f>
        <v>Comment required</v>
      </c>
      <c r="J187" s="7"/>
      <c r="K187" s="258"/>
      <c r="L187" s="259"/>
      <c r="M187" s="7"/>
      <c r="N187" s="238"/>
      <c r="O187" s="77"/>
      <c r="P187" s="233"/>
      <c r="Q187" s="202"/>
      <c r="R187" s="33"/>
      <c r="S187" s="234"/>
      <c r="T187" s="6"/>
    </row>
    <row r="188" spans="1:20" ht="15" hidden="1" customHeight="1">
      <c r="A188" s="6"/>
      <c r="B188" s="109"/>
      <c r="C188" s="26"/>
      <c r="D188" s="26"/>
      <c r="E188" s="26"/>
      <c r="F188" s="145"/>
      <c r="G188" s="211"/>
      <c r="H188" s="12"/>
      <c r="I188" s="12"/>
      <c r="J188" s="7"/>
      <c r="K188" s="12"/>
      <c r="L188" s="12"/>
      <c r="M188" s="7"/>
      <c r="N188" s="12"/>
      <c r="O188" s="158"/>
      <c r="P188" s="233"/>
      <c r="Q188" s="202"/>
      <c r="R188" s="33"/>
      <c r="S188" s="234"/>
      <c r="T188" s="6"/>
    </row>
    <row r="189" spans="1:20" ht="15" hidden="1" customHeight="1">
      <c r="A189" s="6"/>
      <c r="B189" s="141"/>
      <c r="C189" s="161" t="s">
        <v>444</v>
      </c>
      <c r="D189" s="380" t="s">
        <v>121</v>
      </c>
      <c r="E189" s="380" t="s">
        <v>290</v>
      </c>
      <c r="F189" s="211"/>
      <c r="G189" s="381" t="str">
        <f>G$22</f>
        <v>Amount in thousand USD</v>
      </c>
      <c r="H189" s="23"/>
      <c r="I189" s="18"/>
      <c r="J189" s="7"/>
      <c r="K189" s="19"/>
      <c r="L189" s="18"/>
      <c r="M189" s="7"/>
      <c r="N189" s="18"/>
      <c r="O189" s="77"/>
      <c r="P189" s="233"/>
      <c r="Q189" s="202"/>
      <c r="R189" s="33"/>
      <c r="S189" s="234"/>
      <c r="T189" s="6"/>
    </row>
    <row r="190" spans="1:20" ht="15" hidden="1" customHeight="1">
      <c r="A190" s="6"/>
      <c r="B190" s="141"/>
      <c r="C190" s="159" t="s">
        <v>445</v>
      </c>
      <c r="D190" s="380"/>
      <c r="E190" s="380"/>
      <c r="F190" s="81" t="s">
        <v>342</v>
      </c>
      <c r="G190" s="381"/>
      <c r="H190" s="12"/>
      <c r="I190" s="11" t="str">
        <f>I$22</f>
        <v>Checks</v>
      </c>
      <c r="J190" s="7"/>
      <c r="K190" s="11" t="str">
        <f>K$22</f>
        <v>Remarks</v>
      </c>
      <c r="L190" s="11" t="str">
        <f>$L$175</f>
        <v>Comments Regarding Data Quality/Availability</v>
      </c>
      <c r="M190" s="7"/>
      <c r="N190" s="11" t="str">
        <f>N$22</f>
        <v>Supervisor Comments</v>
      </c>
      <c r="O190" s="77"/>
      <c r="P190" s="233"/>
      <c r="Q190" s="202"/>
      <c r="R190" s="33"/>
      <c r="S190" s="234"/>
      <c r="T190" s="6"/>
    </row>
    <row r="191" spans="1:20" ht="15" hidden="1" customHeight="1">
      <c r="A191" s="6"/>
      <c r="B191" s="109"/>
      <c r="C191" s="115" t="s">
        <v>446</v>
      </c>
      <c r="D191" s="146" t="s">
        <v>123</v>
      </c>
      <c r="E191" s="261"/>
      <c r="F191" s="90">
        <v>1121</v>
      </c>
      <c r="G191" s="147" t="str">
        <f t="shared" ref="G191:G205" si="20">IF(AND(ISNUMBER(E191),VLOOKUP(D191,$D$229:$I$243,COLUMNS($D$229:$I$243),FALSE)=" "),E191*VLOOKUP(D191,$D$229:$E$243,2,FALSE)," ")</f>
        <v xml:space="preserve"> </v>
      </c>
      <c r="H191" s="12" t="s">
        <v>447</v>
      </c>
      <c r="I191" s="91" t="str">
        <f t="shared" ref="I191:I205" si="21">IF(ISBLANK(L191),"Comment required",IF(ISTEXT(E191),"No text please",IF(E191&lt;0,"No negatives please",IF(ISBLANK(E191),"Please enter a value",IF(AND(E191=0,ISERROR(FIND("zero",K191))),"Please confirm zero",IF(AND(E191&lt;&gt;0,K191="Confirmed zero"),"Value not zero",IF(VLOOKUP(D191,$D$229:$I$243,6,FALSE)&lt;&gt;" ","See item "&amp;VLOOKUP(D191,$D$229:$I$243,6-1,FALSE)," ")))))))</f>
        <v>Comment required</v>
      </c>
      <c r="J191" s="7"/>
      <c r="K191" s="258"/>
      <c r="L191" s="259"/>
      <c r="M191" s="7"/>
      <c r="N191" s="238"/>
      <c r="O191" s="77"/>
      <c r="P191" s="233"/>
      <c r="Q191" s="202"/>
      <c r="R191" s="33"/>
      <c r="S191" s="234"/>
      <c r="T191" s="6"/>
    </row>
    <row r="192" spans="1:20" ht="15" hidden="1" customHeight="1">
      <c r="A192" s="6"/>
      <c r="B192" s="109"/>
      <c r="C192" s="115" t="s">
        <v>448</v>
      </c>
      <c r="D192" s="146" t="s">
        <v>126</v>
      </c>
      <c r="E192" s="262"/>
      <c r="F192" s="90">
        <v>1122</v>
      </c>
      <c r="G192" s="147" t="str">
        <f t="shared" si="20"/>
        <v xml:space="preserve"> </v>
      </c>
      <c r="H192" s="12" t="s">
        <v>449</v>
      </c>
      <c r="I192" s="91" t="str">
        <f t="shared" si="21"/>
        <v>Comment required</v>
      </c>
      <c r="J192" s="7"/>
      <c r="K192" s="258"/>
      <c r="L192" s="259"/>
      <c r="M192" s="7"/>
      <c r="N192" s="238"/>
      <c r="O192" s="77"/>
      <c r="P192" s="233"/>
      <c r="Q192" s="202"/>
      <c r="R192" s="33"/>
      <c r="S192" s="234"/>
      <c r="T192" s="6"/>
    </row>
    <row r="193" spans="1:20" ht="15" hidden="1" customHeight="1">
      <c r="A193" s="6"/>
      <c r="B193" s="109"/>
      <c r="C193" s="115" t="s">
        <v>450</v>
      </c>
      <c r="D193" s="146" t="s">
        <v>129</v>
      </c>
      <c r="E193" s="263"/>
      <c r="F193" s="90">
        <v>1123</v>
      </c>
      <c r="G193" s="147" t="str">
        <f t="shared" si="20"/>
        <v xml:space="preserve"> </v>
      </c>
      <c r="H193" s="12" t="s">
        <v>451</v>
      </c>
      <c r="I193" s="91" t="str">
        <f t="shared" si="21"/>
        <v>Comment required</v>
      </c>
      <c r="J193" s="7"/>
      <c r="K193" s="258"/>
      <c r="L193" s="259"/>
      <c r="M193" s="7"/>
      <c r="N193" s="238"/>
      <c r="O193" s="77"/>
      <c r="P193" s="233"/>
      <c r="Q193" s="202"/>
      <c r="R193" s="33"/>
      <c r="S193" s="234"/>
      <c r="T193" s="6"/>
    </row>
    <row r="194" spans="1:20" ht="15" hidden="1" customHeight="1">
      <c r="A194" s="6"/>
      <c r="B194" s="109"/>
      <c r="C194" s="115" t="s">
        <v>452</v>
      </c>
      <c r="D194" s="146" t="s">
        <v>132</v>
      </c>
      <c r="E194" s="264"/>
      <c r="F194" s="90">
        <v>1124</v>
      </c>
      <c r="G194" s="147" t="str">
        <f t="shared" si="20"/>
        <v xml:space="preserve"> </v>
      </c>
      <c r="H194" s="12" t="s">
        <v>453</v>
      </c>
      <c r="I194" s="91" t="str">
        <f t="shared" si="21"/>
        <v>Comment required</v>
      </c>
      <c r="J194" s="7"/>
      <c r="K194" s="258"/>
      <c r="L194" s="259"/>
      <c r="M194" s="7"/>
      <c r="N194" s="238"/>
      <c r="O194" s="77"/>
      <c r="P194" s="233"/>
      <c r="Q194" s="202"/>
      <c r="R194" s="33"/>
      <c r="S194" s="234"/>
      <c r="T194" s="6"/>
    </row>
    <row r="195" spans="1:20" ht="15" hidden="1" customHeight="1">
      <c r="A195" s="6"/>
      <c r="B195" s="109"/>
      <c r="C195" s="115" t="s">
        <v>454</v>
      </c>
      <c r="D195" s="146" t="s">
        <v>135</v>
      </c>
      <c r="E195" s="265"/>
      <c r="F195" s="90">
        <v>1125</v>
      </c>
      <c r="G195" s="147" t="str">
        <f t="shared" si="20"/>
        <v xml:space="preserve"> </v>
      </c>
      <c r="H195" s="12" t="s">
        <v>455</v>
      </c>
      <c r="I195" s="91" t="str">
        <f t="shared" si="21"/>
        <v>Comment required</v>
      </c>
      <c r="J195" s="7"/>
      <c r="K195" s="258"/>
      <c r="L195" s="259"/>
      <c r="M195" s="7"/>
      <c r="N195" s="238"/>
      <c r="O195" s="77"/>
      <c r="P195" s="233"/>
      <c r="Q195" s="202"/>
      <c r="R195" s="33"/>
      <c r="S195" s="234"/>
      <c r="T195" s="6"/>
    </row>
    <row r="196" spans="1:20" ht="15" hidden="1" customHeight="1">
      <c r="A196" s="6"/>
      <c r="B196" s="109"/>
      <c r="C196" s="115" t="s">
        <v>456</v>
      </c>
      <c r="D196" s="146" t="s">
        <v>138</v>
      </c>
      <c r="E196" s="266"/>
      <c r="F196" s="90">
        <v>1126</v>
      </c>
      <c r="G196" s="147" t="str">
        <f t="shared" si="20"/>
        <v xml:space="preserve"> </v>
      </c>
      <c r="H196" s="12" t="s">
        <v>457</v>
      </c>
      <c r="I196" s="91" t="str">
        <f t="shared" si="21"/>
        <v>Comment required</v>
      </c>
      <c r="J196" s="7"/>
      <c r="K196" s="258"/>
      <c r="L196" s="259"/>
      <c r="M196" s="7"/>
      <c r="N196" s="238"/>
      <c r="O196" s="77"/>
      <c r="P196" s="233"/>
      <c r="Q196" s="202"/>
      <c r="R196" s="33"/>
      <c r="S196" s="234"/>
      <c r="T196" s="6"/>
    </row>
    <row r="197" spans="1:20" ht="15" hidden="1" customHeight="1">
      <c r="A197" s="6"/>
      <c r="B197" s="109"/>
      <c r="C197" s="115" t="s">
        <v>458</v>
      </c>
      <c r="D197" s="146" t="s">
        <v>141</v>
      </c>
      <c r="E197" s="267"/>
      <c r="F197" s="90">
        <v>1127</v>
      </c>
      <c r="G197" s="147" t="str">
        <f t="shared" si="20"/>
        <v xml:space="preserve"> </v>
      </c>
      <c r="H197" s="12" t="s">
        <v>459</v>
      </c>
      <c r="I197" s="91" t="str">
        <f t="shared" si="21"/>
        <v>Comment required</v>
      </c>
      <c r="J197" s="7"/>
      <c r="K197" s="258"/>
      <c r="L197" s="259"/>
      <c r="M197" s="7"/>
      <c r="N197" s="238"/>
      <c r="O197" s="77"/>
      <c r="P197" s="233"/>
      <c r="Q197" s="202"/>
      <c r="R197" s="33"/>
      <c r="S197" s="234"/>
      <c r="T197" s="6"/>
    </row>
    <row r="198" spans="1:20" ht="15" hidden="1" customHeight="1">
      <c r="A198" s="6"/>
      <c r="B198" s="109"/>
      <c r="C198" s="115" t="s">
        <v>460</v>
      </c>
      <c r="D198" s="146" t="s">
        <v>144</v>
      </c>
      <c r="E198" s="268"/>
      <c r="F198" s="90">
        <v>1128</v>
      </c>
      <c r="G198" s="147" t="str">
        <f t="shared" si="20"/>
        <v xml:space="preserve"> </v>
      </c>
      <c r="H198" s="12" t="s">
        <v>461</v>
      </c>
      <c r="I198" s="91" t="str">
        <f t="shared" si="21"/>
        <v>Comment required</v>
      </c>
      <c r="J198" s="7"/>
      <c r="K198" s="258"/>
      <c r="L198" s="259"/>
      <c r="M198" s="7"/>
      <c r="N198" s="238"/>
      <c r="O198" s="77"/>
      <c r="P198" s="233"/>
      <c r="Q198" s="202"/>
      <c r="R198" s="33"/>
      <c r="S198" s="234"/>
      <c r="T198" s="6"/>
    </row>
    <row r="199" spans="1:20" ht="15" hidden="1" customHeight="1">
      <c r="A199" s="6"/>
      <c r="B199" s="109"/>
      <c r="C199" s="115" t="s">
        <v>462</v>
      </c>
      <c r="D199" s="146" t="s">
        <v>147</v>
      </c>
      <c r="E199" s="269"/>
      <c r="F199" s="90">
        <v>1129</v>
      </c>
      <c r="G199" s="147" t="str">
        <f t="shared" si="20"/>
        <v xml:space="preserve"> </v>
      </c>
      <c r="H199" s="12" t="s">
        <v>463</v>
      </c>
      <c r="I199" s="91" t="str">
        <f t="shared" si="21"/>
        <v>Comment required</v>
      </c>
      <c r="J199" s="7"/>
      <c r="K199" s="258"/>
      <c r="L199" s="259"/>
      <c r="M199" s="7"/>
      <c r="N199" s="238"/>
      <c r="O199" s="77"/>
      <c r="P199" s="233"/>
      <c r="Q199" s="202"/>
      <c r="R199" s="33"/>
      <c r="S199" s="234"/>
      <c r="T199" s="6"/>
    </row>
    <row r="200" spans="1:20" ht="15" hidden="1" customHeight="1">
      <c r="A200" s="6"/>
      <c r="B200" s="109"/>
      <c r="C200" s="115" t="s">
        <v>464</v>
      </c>
      <c r="D200" s="146" t="s">
        <v>150</v>
      </c>
      <c r="E200" s="270"/>
      <c r="F200" s="90">
        <v>1130</v>
      </c>
      <c r="G200" s="147" t="str">
        <f t="shared" si="20"/>
        <v xml:space="preserve"> </v>
      </c>
      <c r="H200" s="12" t="s">
        <v>465</v>
      </c>
      <c r="I200" s="91" t="str">
        <f t="shared" si="21"/>
        <v>Comment required</v>
      </c>
      <c r="J200" s="7"/>
      <c r="K200" s="258"/>
      <c r="L200" s="259"/>
      <c r="M200" s="7"/>
      <c r="N200" s="238"/>
      <c r="O200" s="77"/>
      <c r="P200" s="233"/>
      <c r="Q200" s="202"/>
      <c r="R200" s="33"/>
      <c r="S200" s="234"/>
      <c r="T200" s="6"/>
    </row>
    <row r="201" spans="1:20" ht="15" hidden="1" customHeight="1">
      <c r="A201" s="6"/>
      <c r="B201" s="109"/>
      <c r="C201" s="115" t="s">
        <v>466</v>
      </c>
      <c r="D201" s="146" t="s">
        <v>153</v>
      </c>
      <c r="E201" s="271"/>
      <c r="F201" s="90">
        <v>1131</v>
      </c>
      <c r="G201" s="147" t="str">
        <f t="shared" si="20"/>
        <v xml:space="preserve"> </v>
      </c>
      <c r="H201" s="12" t="s">
        <v>467</v>
      </c>
      <c r="I201" s="91" t="str">
        <f t="shared" si="21"/>
        <v>Comment required</v>
      </c>
      <c r="J201" s="7"/>
      <c r="K201" s="258"/>
      <c r="L201" s="259"/>
      <c r="M201" s="7"/>
      <c r="N201" s="238"/>
      <c r="O201" s="77"/>
      <c r="P201" s="233"/>
      <c r="Q201" s="202"/>
      <c r="R201" s="33"/>
      <c r="S201" s="234"/>
      <c r="T201" s="6"/>
    </row>
    <row r="202" spans="1:20" ht="15" hidden="1" customHeight="1">
      <c r="A202" s="6"/>
      <c r="B202" s="109"/>
      <c r="C202" s="115" t="s">
        <v>468</v>
      </c>
      <c r="D202" s="146" t="s">
        <v>156</v>
      </c>
      <c r="E202" s="272"/>
      <c r="F202" s="90">
        <v>1132</v>
      </c>
      <c r="G202" s="147" t="str">
        <f t="shared" si="20"/>
        <v xml:space="preserve"> </v>
      </c>
      <c r="H202" s="12" t="s">
        <v>469</v>
      </c>
      <c r="I202" s="91" t="str">
        <f t="shared" si="21"/>
        <v>Comment required</v>
      </c>
      <c r="J202" s="7"/>
      <c r="K202" s="258"/>
      <c r="L202" s="259"/>
      <c r="M202" s="7"/>
      <c r="N202" s="238"/>
      <c r="O202" s="77"/>
      <c r="P202" s="233"/>
      <c r="Q202" s="202"/>
      <c r="R202" s="33"/>
      <c r="S202" s="234"/>
      <c r="T202" s="6"/>
    </row>
    <row r="203" spans="1:20" ht="15" hidden="1" customHeight="1">
      <c r="A203" s="6"/>
      <c r="B203" s="109"/>
      <c r="C203" s="115" t="s">
        <v>470</v>
      </c>
      <c r="D203" s="146" t="s">
        <v>209</v>
      </c>
      <c r="E203" s="273"/>
      <c r="F203" s="90">
        <v>1133</v>
      </c>
      <c r="G203" s="147" t="str">
        <f t="shared" si="20"/>
        <v xml:space="preserve"> </v>
      </c>
      <c r="H203" s="12" t="s">
        <v>471</v>
      </c>
      <c r="I203" s="91" t="str">
        <f t="shared" si="21"/>
        <v>Comment required</v>
      </c>
      <c r="J203" s="7"/>
      <c r="K203" s="258"/>
      <c r="L203" s="259"/>
      <c r="M203" s="7"/>
      <c r="N203" s="238"/>
      <c r="O203" s="77"/>
      <c r="P203" s="233"/>
      <c r="Q203" s="202"/>
      <c r="R203" s="33"/>
      <c r="S203" s="234"/>
      <c r="T203" s="6"/>
    </row>
    <row r="204" spans="1:20" ht="15" hidden="1" customHeight="1">
      <c r="A204" s="6"/>
      <c r="B204" s="109"/>
      <c r="C204" s="115" t="s">
        <v>472</v>
      </c>
      <c r="D204" s="146" t="s">
        <v>211</v>
      </c>
      <c r="E204" s="274"/>
      <c r="F204" s="90">
        <v>1134</v>
      </c>
      <c r="G204" s="147" t="str">
        <f t="shared" si="20"/>
        <v xml:space="preserve"> </v>
      </c>
      <c r="H204" s="12" t="s">
        <v>473</v>
      </c>
      <c r="I204" s="91" t="str">
        <f t="shared" si="21"/>
        <v>Comment required</v>
      </c>
      <c r="J204" s="7"/>
      <c r="K204" s="258"/>
      <c r="L204" s="259"/>
      <c r="M204" s="7"/>
      <c r="N204" s="238"/>
      <c r="O204" s="77"/>
      <c r="P204" s="233"/>
      <c r="Q204" s="202"/>
      <c r="R204" s="33"/>
      <c r="S204" s="234"/>
      <c r="T204" s="6"/>
    </row>
    <row r="205" spans="1:20" ht="15" hidden="1" customHeight="1">
      <c r="A205" s="6"/>
      <c r="B205" s="109"/>
      <c r="C205" s="115" t="s">
        <v>474</v>
      </c>
      <c r="D205" s="146" t="s">
        <v>213</v>
      </c>
      <c r="E205" s="275"/>
      <c r="F205" s="90">
        <v>1135</v>
      </c>
      <c r="G205" s="147" t="str">
        <f t="shared" si="20"/>
        <v xml:space="preserve"> </v>
      </c>
      <c r="H205" s="12" t="s">
        <v>475</v>
      </c>
      <c r="I205" s="91" t="str">
        <f t="shared" si="21"/>
        <v>Comment required</v>
      </c>
      <c r="J205" s="7"/>
      <c r="K205" s="258"/>
      <c r="L205" s="259"/>
      <c r="M205" s="7"/>
      <c r="N205" s="238"/>
      <c r="O205" s="77"/>
      <c r="P205" s="233"/>
      <c r="Q205" s="202"/>
      <c r="R205" s="33"/>
      <c r="S205" s="234"/>
      <c r="T205" s="6"/>
    </row>
    <row r="206" spans="1:20" ht="15" hidden="1" customHeight="1">
      <c r="A206" s="6"/>
      <c r="B206" s="109"/>
      <c r="C206" s="152" t="s">
        <v>476</v>
      </c>
      <c r="D206" s="111"/>
      <c r="E206" s="84"/>
      <c r="F206" s="90">
        <v>1136</v>
      </c>
      <c r="G206" s="199"/>
      <c r="H206" s="12" t="s">
        <v>477</v>
      </c>
      <c r="I206" s="91" t="str">
        <f t="shared" ref="I206:I215" si="22">IF(ISBLANK(L206),"Comment required",IF(ISTEXT(G206),"No text please",IF(ISBLANK(G206),"Please enter a value",IF(AND(G206=0,ISERROR(FIND("zero",K206))),"Please confirm zero",IF(AND(G206&lt;&gt;0,K206="Confirmed zero"),"Value not zero"," ")))))</f>
        <v>Comment required</v>
      </c>
      <c r="J206" s="7"/>
      <c r="K206" s="258"/>
      <c r="L206" s="259"/>
      <c r="M206" s="7"/>
      <c r="N206" s="238"/>
      <c r="O206" s="77"/>
      <c r="P206" s="233"/>
      <c r="Q206" s="202"/>
      <c r="R206" s="33"/>
      <c r="S206" s="234"/>
      <c r="T206" s="6"/>
    </row>
    <row r="207" spans="1:20" ht="15" hidden="1" customHeight="1">
      <c r="A207" s="6"/>
      <c r="B207" s="109"/>
      <c r="C207" s="152" t="s">
        <v>478</v>
      </c>
      <c r="D207" s="111"/>
      <c r="E207" s="84"/>
      <c r="F207" s="90">
        <v>1137</v>
      </c>
      <c r="G207" s="199"/>
      <c r="H207" s="12" t="s">
        <v>479</v>
      </c>
      <c r="I207" s="91" t="str">
        <f t="shared" si="22"/>
        <v>Comment required</v>
      </c>
      <c r="J207" s="7"/>
      <c r="K207" s="258"/>
      <c r="L207" s="259"/>
      <c r="M207" s="7"/>
      <c r="N207" s="238"/>
      <c r="O207" s="77"/>
      <c r="P207" s="233"/>
      <c r="Q207" s="202"/>
      <c r="R207" s="33"/>
      <c r="S207" s="234"/>
      <c r="T207" s="6"/>
    </row>
    <row r="208" spans="1:20" ht="15" hidden="1" customHeight="1">
      <c r="A208" s="6"/>
      <c r="B208" s="109"/>
      <c r="C208" s="152" t="s">
        <v>480</v>
      </c>
      <c r="D208" s="111"/>
      <c r="E208" s="84"/>
      <c r="F208" s="90">
        <v>1138</v>
      </c>
      <c r="G208" s="199"/>
      <c r="H208" s="12" t="s">
        <v>481</v>
      </c>
      <c r="I208" s="91" t="str">
        <f t="shared" si="22"/>
        <v>Comment required</v>
      </c>
      <c r="J208" s="7"/>
      <c r="K208" s="258"/>
      <c r="L208" s="259"/>
      <c r="M208" s="7"/>
      <c r="N208" s="238"/>
      <c r="O208" s="77"/>
      <c r="P208" s="233"/>
      <c r="Q208" s="202"/>
      <c r="R208" s="33"/>
      <c r="S208" s="234"/>
      <c r="T208" s="6"/>
    </row>
    <row r="209" spans="1:20" ht="15" hidden="1" customHeight="1">
      <c r="A209" s="6"/>
      <c r="B209" s="109"/>
      <c r="C209" s="152" t="s">
        <v>482</v>
      </c>
      <c r="D209" s="111"/>
      <c r="E209" s="84"/>
      <c r="F209" s="90">
        <v>1139</v>
      </c>
      <c r="G209" s="199"/>
      <c r="H209" s="12" t="s">
        <v>483</v>
      </c>
      <c r="I209" s="91" t="str">
        <f t="shared" si="22"/>
        <v>Comment required</v>
      </c>
      <c r="J209" s="7"/>
      <c r="K209" s="258"/>
      <c r="L209" s="259"/>
      <c r="M209" s="7"/>
      <c r="N209" s="238"/>
      <c r="O209" s="77"/>
      <c r="P209" s="233"/>
      <c r="Q209" s="202"/>
      <c r="R209" s="33"/>
      <c r="S209" s="234"/>
      <c r="T209" s="6"/>
    </row>
    <row r="210" spans="1:20" ht="15" hidden="1" customHeight="1">
      <c r="A210" s="6"/>
      <c r="B210" s="109"/>
      <c r="C210" s="152" t="s">
        <v>484</v>
      </c>
      <c r="D210" s="111"/>
      <c r="E210" s="84"/>
      <c r="F210" s="90">
        <v>1140</v>
      </c>
      <c r="G210" s="199"/>
      <c r="H210" s="12" t="s">
        <v>485</v>
      </c>
      <c r="I210" s="91" t="str">
        <f t="shared" si="22"/>
        <v>Comment required</v>
      </c>
      <c r="J210" s="7"/>
      <c r="K210" s="258"/>
      <c r="L210" s="259"/>
      <c r="M210" s="7"/>
      <c r="N210" s="238"/>
      <c r="O210" s="77"/>
      <c r="P210" s="233"/>
      <c r="Q210" s="202"/>
      <c r="R210" s="33"/>
      <c r="S210" s="234"/>
      <c r="T210" s="6"/>
    </row>
    <row r="211" spans="1:20" ht="15" hidden="1" customHeight="1">
      <c r="A211" s="6"/>
      <c r="B211" s="109"/>
      <c r="C211" s="152" t="s">
        <v>486</v>
      </c>
      <c r="D211" s="111"/>
      <c r="E211" s="84"/>
      <c r="F211" s="90">
        <v>1141</v>
      </c>
      <c r="G211" s="199"/>
      <c r="H211" s="12" t="s">
        <v>487</v>
      </c>
      <c r="I211" s="91" t="str">
        <f t="shared" si="22"/>
        <v>Comment required</v>
      </c>
      <c r="J211" s="7"/>
      <c r="K211" s="258"/>
      <c r="L211" s="259"/>
      <c r="M211" s="7"/>
      <c r="N211" s="238"/>
      <c r="O211" s="77"/>
      <c r="P211" s="233"/>
      <c r="Q211" s="202"/>
      <c r="R211" s="33"/>
      <c r="S211" s="234"/>
      <c r="T211" s="6"/>
    </row>
    <row r="212" spans="1:20" ht="15" hidden="1" customHeight="1">
      <c r="A212" s="6"/>
      <c r="B212" s="109"/>
      <c r="C212" s="152" t="s">
        <v>488</v>
      </c>
      <c r="D212" s="111"/>
      <c r="E212" s="84"/>
      <c r="F212" s="90">
        <v>1142</v>
      </c>
      <c r="G212" s="199"/>
      <c r="H212" s="12" t="s">
        <v>489</v>
      </c>
      <c r="I212" s="91" t="str">
        <f t="shared" si="22"/>
        <v>Comment required</v>
      </c>
      <c r="J212" s="7"/>
      <c r="K212" s="258"/>
      <c r="L212" s="259"/>
      <c r="M212" s="7"/>
      <c r="N212" s="238"/>
      <c r="O212" s="77"/>
      <c r="P212" s="233"/>
      <c r="Q212" s="202"/>
      <c r="R212" s="33"/>
      <c r="S212" s="234"/>
      <c r="T212" s="6"/>
    </row>
    <row r="213" spans="1:20" ht="15" hidden="1" customHeight="1">
      <c r="A213" s="6"/>
      <c r="B213" s="109"/>
      <c r="C213" s="152" t="s">
        <v>490</v>
      </c>
      <c r="D213" s="111"/>
      <c r="E213" s="84"/>
      <c r="F213" s="90">
        <v>1143</v>
      </c>
      <c r="G213" s="199"/>
      <c r="H213" s="12" t="s">
        <v>491</v>
      </c>
      <c r="I213" s="91" t="str">
        <f t="shared" si="22"/>
        <v>Comment required</v>
      </c>
      <c r="J213" s="7"/>
      <c r="K213" s="258"/>
      <c r="L213" s="259"/>
      <c r="M213" s="7"/>
      <c r="N213" s="238"/>
      <c r="O213" s="77"/>
      <c r="P213" s="233"/>
      <c r="Q213" s="202"/>
      <c r="R213" s="33"/>
      <c r="S213" s="234"/>
      <c r="T213" s="6"/>
    </row>
    <row r="214" spans="1:20" ht="15" hidden="1" customHeight="1">
      <c r="A214" s="6"/>
      <c r="B214" s="109"/>
      <c r="C214" s="152" t="s">
        <v>492</v>
      </c>
      <c r="D214" s="111"/>
      <c r="E214" s="84"/>
      <c r="F214" s="90">
        <v>1144</v>
      </c>
      <c r="G214" s="199"/>
      <c r="H214" s="12" t="s">
        <v>493</v>
      </c>
      <c r="I214" s="91" t="str">
        <f t="shared" si="22"/>
        <v>Comment required</v>
      </c>
      <c r="J214" s="7"/>
      <c r="K214" s="258"/>
      <c r="L214" s="259"/>
      <c r="M214" s="7"/>
      <c r="N214" s="238"/>
      <c r="O214" s="77"/>
      <c r="P214" s="233"/>
      <c r="Q214" s="202"/>
      <c r="R214" s="33"/>
      <c r="S214" s="234"/>
      <c r="T214" s="6"/>
    </row>
    <row r="215" spans="1:20" ht="15" hidden="1" customHeight="1">
      <c r="A215" s="6"/>
      <c r="B215" s="109"/>
      <c r="C215" s="152" t="s">
        <v>494</v>
      </c>
      <c r="D215" s="111"/>
      <c r="E215" s="84"/>
      <c r="F215" s="90">
        <v>1145</v>
      </c>
      <c r="G215" s="199"/>
      <c r="H215" s="12" t="s">
        <v>495</v>
      </c>
      <c r="I215" s="91" t="str">
        <f t="shared" si="22"/>
        <v>Comment required</v>
      </c>
      <c r="J215" s="7"/>
      <c r="K215" s="258"/>
      <c r="L215" s="259"/>
      <c r="M215" s="7"/>
      <c r="N215" s="238"/>
      <c r="O215" s="77"/>
      <c r="P215" s="233"/>
      <c r="Q215" s="202"/>
      <c r="R215" s="33"/>
      <c r="S215" s="234"/>
      <c r="T215" s="6"/>
    </row>
    <row r="216" spans="1:20" ht="15" hidden="1" customHeight="1">
      <c r="A216" s="6"/>
      <c r="B216" s="109"/>
      <c r="C216" s="26"/>
      <c r="D216" s="26"/>
      <c r="E216" s="26"/>
      <c r="F216" s="145"/>
      <c r="G216" s="211"/>
      <c r="H216" s="12"/>
      <c r="I216" s="12"/>
      <c r="J216" s="7"/>
      <c r="K216" s="12"/>
      <c r="L216" s="12"/>
      <c r="M216" s="7"/>
      <c r="N216" s="12"/>
      <c r="O216" s="158"/>
      <c r="P216" s="233"/>
      <c r="Q216" s="202"/>
      <c r="R216" s="33"/>
      <c r="S216" s="234"/>
      <c r="T216" s="6"/>
    </row>
    <row r="217" spans="1:20" ht="15" hidden="1" customHeight="1">
      <c r="A217" s="6"/>
      <c r="B217" s="109"/>
      <c r="C217" s="78" t="s">
        <v>496</v>
      </c>
      <c r="D217" s="79"/>
      <c r="E217" s="80"/>
      <c r="F217" s="143" t="s">
        <v>342</v>
      </c>
      <c r="G217" s="211" t="str">
        <f>G$22</f>
        <v>Amount in thousand USD</v>
      </c>
      <c r="H217" s="12"/>
      <c r="I217" s="11" t="str">
        <f>I$22</f>
        <v>Checks</v>
      </c>
      <c r="J217" s="7"/>
      <c r="K217" s="11" t="str">
        <f>K$22</f>
        <v>Remarks</v>
      </c>
      <c r="L217" s="11" t="str">
        <f>$L$175</f>
        <v>Comments Regarding Data Quality/Availability</v>
      </c>
      <c r="M217" s="7"/>
      <c r="N217" s="11" t="str">
        <f>N$22</f>
        <v>Supervisor Comments</v>
      </c>
      <c r="O217" s="77"/>
      <c r="P217" s="233"/>
      <c r="Q217" s="202"/>
      <c r="R217" s="33"/>
      <c r="S217" s="234"/>
      <c r="T217" s="6"/>
    </row>
    <row r="218" spans="1:20" ht="15" hidden="1" customHeight="1">
      <c r="A218" s="6"/>
      <c r="B218" s="109"/>
      <c r="C218" s="110" t="s">
        <v>497</v>
      </c>
      <c r="D218" s="111"/>
      <c r="E218" s="84"/>
      <c r="F218" s="90">
        <v>1146</v>
      </c>
      <c r="G218" s="199"/>
      <c r="H218" s="12" t="s">
        <v>498</v>
      </c>
      <c r="I218" s="91" t="str">
        <f>IF(ISBLANK(L218),"Comment required",IF(ISTEXT(G218),"No text please",IF(ISBLANK(G218),"Please enter a value",IF(AND(G218=0,ISERROR(FIND("zero",K218))),"Please confirm zero",IF(AND(G218&lt;&gt;0,K218="Confirmed zero"),"Value not zero"," ")))))</f>
        <v>Comment required</v>
      </c>
      <c r="J218" s="7"/>
      <c r="K218" s="258"/>
      <c r="L218" s="259"/>
      <c r="M218" s="7"/>
      <c r="N218" s="238"/>
      <c r="O218" s="77"/>
      <c r="P218" s="233"/>
      <c r="Q218" s="202"/>
      <c r="R218" s="33"/>
      <c r="S218" s="234"/>
      <c r="T218" s="6"/>
    </row>
    <row r="219" spans="1:20" ht="15" hidden="1" customHeight="1">
      <c r="A219" s="6"/>
      <c r="B219" s="109"/>
      <c r="C219" s="110" t="s">
        <v>499</v>
      </c>
      <c r="D219" s="111"/>
      <c r="E219" s="84"/>
      <c r="F219" s="90">
        <v>1147</v>
      </c>
      <c r="G219" s="199"/>
      <c r="H219" s="12" t="s">
        <v>500</v>
      </c>
      <c r="I219" s="91" t="str">
        <f>IF(ISBLANK(L219),"Comment required",IF(ISTEXT(G219),"No text please",IF(ISBLANK(G219),"Please enter a value",IF(AND(G219=0,ISERROR(FIND("zero",K219))),"Please confirm zero",IF(AND(G219&lt;&gt;0,K219="Confirmed zero"),"Value not zero"," ")))))</f>
        <v>Comment required</v>
      </c>
      <c r="J219" s="7"/>
      <c r="K219" s="258"/>
      <c r="L219" s="259"/>
      <c r="M219" s="7"/>
      <c r="N219" s="238"/>
      <c r="O219" s="77"/>
      <c r="P219" s="233"/>
      <c r="Q219" s="202"/>
      <c r="R219" s="33"/>
      <c r="S219" s="234"/>
      <c r="T219" s="6"/>
    </row>
    <row r="220" spans="1:20" ht="15" hidden="1" customHeight="1">
      <c r="A220" s="6"/>
      <c r="B220" s="109"/>
      <c r="C220" s="110" t="s">
        <v>501</v>
      </c>
      <c r="D220" s="111"/>
      <c r="E220" s="84"/>
      <c r="F220" s="90">
        <v>1148</v>
      </c>
      <c r="G220" s="199"/>
      <c r="H220" s="12" t="s">
        <v>502</v>
      </c>
      <c r="I220" s="91" t="str">
        <f>IF(ISBLANK(L220),"Comment required",IF(ISTEXT(G220),"No text please",IF(ISBLANK(G220),"Please enter a value",IF(AND(G220=0,ISERROR(FIND("zero",K220))),"Please confirm zero",IF(AND(G220&lt;&gt;0,K220="Confirmed zero"),"Value not zero",IF($G$220&lt;SUM($G$221:$G$222),"&lt; 19.d. + 19.e."," "))))))</f>
        <v>Comment required</v>
      </c>
      <c r="J220" s="7"/>
      <c r="K220" s="258"/>
      <c r="L220" s="259"/>
      <c r="M220" s="7"/>
      <c r="N220" s="238"/>
      <c r="O220" s="77"/>
      <c r="P220" s="233"/>
      <c r="Q220" s="202"/>
      <c r="R220" s="33"/>
      <c r="S220" s="234"/>
      <c r="T220" s="6"/>
    </row>
    <row r="221" spans="1:20" ht="15" hidden="1" customHeight="1">
      <c r="A221" s="6"/>
      <c r="B221" s="109"/>
      <c r="C221" s="110" t="s">
        <v>503</v>
      </c>
      <c r="D221" s="111"/>
      <c r="E221" s="84"/>
      <c r="F221" s="90">
        <v>1149</v>
      </c>
      <c r="G221" s="199"/>
      <c r="H221" s="12" t="s">
        <v>504</v>
      </c>
      <c r="I221" s="91" t="str">
        <f>IF(ISBLANK(L221),"Comment required",IF(ISTEXT(G221),"No text please",IF(ISBLANK(G221),"Please enter a value",IF(AND(G221=0,ISERROR(FIND("zero",K221))),"Please confirm zero",IF(AND(G221&lt;&gt;0,K221="Confirmed zero"),"Value not zero",IF($G$220&lt;$G$221,"&gt; 19.c."," "))))))</f>
        <v>Comment required</v>
      </c>
      <c r="J221" s="7"/>
      <c r="K221" s="258"/>
      <c r="L221" s="259"/>
      <c r="M221" s="7"/>
      <c r="N221" s="238"/>
      <c r="O221" s="77"/>
      <c r="P221" s="233"/>
      <c r="Q221" s="202"/>
      <c r="R221" s="33"/>
      <c r="S221" s="234"/>
      <c r="T221" s="6"/>
    </row>
    <row r="222" spans="1:20" ht="15" hidden="1" customHeight="1">
      <c r="A222" s="6"/>
      <c r="B222" s="109"/>
      <c r="C222" s="110" t="s">
        <v>505</v>
      </c>
      <c r="D222" s="111"/>
      <c r="E222" s="84"/>
      <c r="F222" s="90">
        <v>1150</v>
      </c>
      <c r="G222" s="199"/>
      <c r="H222" s="12" t="s">
        <v>506</v>
      </c>
      <c r="I222" s="91" t="str">
        <f>IF(ISBLANK(L222),"Comment required",IF(ISTEXT(G222),"No text please",IF(ISBLANK(G222),"Please enter a value",IF(AND(G222=0,ISERROR(FIND("zero",K222))),"Please confirm zero",IF(AND(G222&lt;&gt;0,K222="Confirmed zero"),"Value not zero",IF($G$220&lt;$G$222,"&gt; 19.c."," "))))))</f>
        <v>Comment required</v>
      </c>
      <c r="J222" s="7"/>
      <c r="K222" s="258"/>
      <c r="L222" s="259"/>
      <c r="M222" s="7"/>
      <c r="N222" s="238"/>
      <c r="O222" s="77"/>
      <c r="P222" s="233"/>
      <c r="Q222" s="202"/>
      <c r="R222" s="33"/>
      <c r="S222" s="234"/>
      <c r="T222" s="6"/>
    </row>
    <row r="223" spans="1:20" ht="15" hidden="1" customHeight="1">
      <c r="A223" s="6"/>
      <c r="B223" s="109"/>
      <c r="C223" s="26"/>
      <c r="D223" s="26"/>
      <c r="E223" s="26"/>
      <c r="F223" s="145"/>
      <c r="G223" s="211"/>
      <c r="H223" s="12"/>
      <c r="I223" s="12"/>
      <c r="J223" s="7"/>
      <c r="K223" s="12"/>
      <c r="L223" s="12"/>
      <c r="M223" s="7"/>
      <c r="N223" s="12"/>
      <c r="O223" s="158"/>
      <c r="P223" s="233"/>
      <c r="Q223" s="202"/>
      <c r="R223" s="33"/>
      <c r="S223" s="234"/>
      <c r="T223" s="6"/>
    </row>
    <row r="224" spans="1:20" ht="20.149999999999999" hidden="1" customHeight="1">
      <c r="A224" s="6"/>
      <c r="B224" s="125"/>
      <c r="C224" s="127"/>
      <c r="D224" s="127"/>
      <c r="E224" s="127"/>
      <c r="F224" s="128"/>
      <c r="G224" s="127"/>
      <c r="H224" s="160"/>
      <c r="I224" s="127"/>
      <c r="J224" s="99"/>
      <c r="K224" s="99"/>
      <c r="L224" s="127"/>
      <c r="M224" s="99"/>
      <c r="N224" s="127"/>
      <c r="O224" s="102"/>
      <c r="P224" s="233"/>
      <c r="Q224" s="202"/>
      <c r="R224" s="33"/>
      <c r="S224" s="234"/>
      <c r="T224" s="6"/>
    </row>
    <row r="225" spans="1:21" s="27" customFormat="1" ht="20.149999999999999" customHeight="1">
      <c r="A225" s="162"/>
      <c r="B225" s="72" t="s">
        <v>507</v>
      </c>
      <c r="C225" s="73"/>
      <c r="D225" s="73"/>
      <c r="E225" s="73"/>
      <c r="F225" s="73"/>
      <c r="G225" s="73"/>
      <c r="H225" s="74"/>
      <c r="I225" s="73"/>
      <c r="J225" s="73"/>
      <c r="K225" s="73"/>
      <c r="L225" s="73"/>
      <c r="M225" s="73"/>
      <c r="N225" s="73"/>
      <c r="O225" s="75"/>
      <c r="P225" s="233"/>
      <c r="Q225" s="208"/>
      <c r="R225" s="276"/>
      <c r="S225" s="277"/>
      <c r="T225" s="162"/>
      <c r="U225" s="8"/>
    </row>
    <row r="226" spans="1:21" s="27" customFormat="1" ht="20.149999999999999" customHeight="1">
      <c r="A226" s="162"/>
      <c r="B226" s="163"/>
      <c r="C226" s="164"/>
      <c r="D226" s="164"/>
      <c r="E226" s="165"/>
      <c r="F226" s="165"/>
      <c r="G226" s="166"/>
      <c r="H226" s="167"/>
      <c r="I226" s="166"/>
      <c r="J226" s="166"/>
      <c r="K226" s="166"/>
      <c r="L226" s="166"/>
      <c r="M226" s="166"/>
      <c r="N226" s="166"/>
      <c r="O226" s="168"/>
      <c r="P226" s="233"/>
      <c r="Q226" s="208"/>
      <c r="R226" s="276"/>
      <c r="S226" s="277"/>
      <c r="T226" s="162"/>
      <c r="U226" s="8"/>
    </row>
    <row r="227" spans="1:21" s="27" customFormat="1" ht="15" customHeight="1">
      <c r="A227" s="162"/>
      <c r="B227" s="169"/>
      <c r="C227" s="68"/>
      <c r="D227" s="68"/>
      <c r="E227" s="211" t="str">
        <f>IF($G$10="&lt;select&gt;"," ","Conversion to "&amp;$G$10)</f>
        <v>Conversion to USD</v>
      </c>
      <c r="F227" s="211"/>
      <c r="G227" s="28"/>
      <c r="H227" s="170"/>
      <c r="I227" s="11"/>
      <c r="J227" s="28"/>
      <c r="K227" s="28"/>
      <c r="L227" s="28"/>
      <c r="M227" s="28"/>
      <c r="N227" s="11"/>
      <c r="O227" s="171"/>
      <c r="P227" s="233"/>
      <c r="Q227" s="208"/>
      <c r="R227" s="276"/>
      <c r="S227" s="277"/>
      <c r="T227" s="162"/>
      <c r="U227" s="8"/>
    </row>
    <row r="228" spans="1:21" s="27" customFormat="1" ht="15" customHeight="1">
      <c r="A228" s="162"/>
      <c r="B228" s="169"/>
      <c r="C228" s="172" t="s">
        <v>508</v>
      </c>
      <c r="D228" s="173"/>
      <c r="E228" s="211" t="str">
        <f>IF($G$10="&lt;select&gt;","Conversion rate","(number of "&amp;$G$10&amp;" per unit)")</f>
        <v>(number of USD per unit)</v>
      </c>
      <c r="F228" s="81" t="s">
        <v>342</v>
      </c>
      <c r="G228" s="28"/>
      <c r="H228" s="170"/>
      <c r="I228" s="11" t="str">
        <f>I$22</f>
        <v>Checks</v>
      </c>
      <c r="J228" s="28"/>
      <c r="K228" s="28"/>
      <c r="L228" s="28"/>
      <c r="M228" s="28"/>
      <c r="N228" s="11" t="str">
        <f>N$22</f>
        <v>Supervisor Comments</v>
      </c>
      <c r="O228" s="171"/>
      <c r="P228" s="233"/>
      <c r="Q228" s="208"/>
      <c r="R228" s="276"/>
      <c r="S228" s="277"/>
      <c r="T228" s="162"/>
      <c r="U228" s="8"/>
    </row>
    <row r="229" spans="1:21" ht="15" customHeight="1">
      <c r="A229" s="6"/>
      <c r="B229" s="174"/>
      <c r="C229" s="82" t="s">
        <v>122</v>
      </c>
      <c r="D229" s="175" t="s">
        <v>123</v>
      </c>
      <c r="E229" s="278">
        <v>0.90286453799999999</v>
      </c>
      <c r="F229" s="90">
        <v>1151</v>
      </c>
      <c r="G229" s="28"/>
      <c r="H229" s="12" t="s">
        <v>509</v>
      </c>
      <c r="I229" s="91" t="str">
        <f t="shared" ref="I229:I243" si="23">IF(ISTEXT(E229),"No text please",IF(NOT(ISNUMBER(E229)),"Please enter a rate",IF(E229&lt;0,"No negatives please",IF(E229=0,"No zeros please"," "))))</f>
        <v xml:space="preserve"> </v>
      </c>
      <c r="J229" s="7"/>
      <c r="K229" s="7"/>
      <c r="L229" s="7"/>
      <c r="M229" s="7"/>
      <c r="N229" s="238"/>
      <c r="O229" s="77"/>
      <c r="P229" s="233"/>
      <c r="Q229" s="202"/>
      <c r="R229" s="33"/>
      <c r="S229" s="234"/>
      <c r="T229" s="6"/>
    </row>
    <row r="230" spans="1:21" ht="15" customHeight="1">
      <c r="A230" s="6"/>
      <c r="B230" s="174"/>
      <c r="C230" s="82" t="s">
        <v>125</v>
      </c>
      <c r="D230" s="176" t="s">
        <v>126</v>
      </c>
      <c r="E230" s="278">
        <v>0.42619491799999998</v>
      </c>
      <c r="F230" s="90">
        <v>1152</v>
      </c>
      <c r="G230" s="28"/>
      <c r="H230" s="12" t="s">
        <v>510</v>
      </c>
      <c r="I230" s="91" t="str">
        <f t="shared" si="23"/>
        <v xml:space="preserve"> </v>
      </c>
      <c r="J230" s="7"/>
      <c r="K230" s="7"/>
      <c r="L230" s="7"/>
      <c r="M230" s="7"/>
      <c r="N230" s="238"/>
      <c r="O230" s="77"/>
      <c r="P230" s="233"/>
      <c r="Q230" s="202"/>
      <c r="R230" s="33"/>
      <c r="S230" s="234"/>
      <c r="T230" s="6"/>
    </row>
    <row r="231" spans="1:21" ht="15" customHeight="1">
      <c r="A231" s="6"/>
      <c r="B231" s="174"/>
      <c r="C231" s="82" t="s">
        <v>128</v>
      </c>
      <c r="D231" s="176" t="s">
        <v>129</v>
      </c>
      <c r="E231" s="278">
        <v>0.90597178199999995</v>
      </c>
      <c r="F231" s="90">
        <v>1153</v>
      </c>
      <c r="G231" s="28"/>
      <c r="H231" s="12" t="s">
        <v>511</v>
      </c>
      <c r="I231" s="91" t="str">
        <f t="shared" si="23"/>
        <v xml:space="preserve"> </v>
      </c>
      <c r="J231" s="7"/>
      <c r="K231" s="7"/>
      <c r="L231" s="7"/>
      <c r="M231" s="7"/>
      <c r="N231" s="238"/>
      <c r="O231" s="77"/>
      <c r="P231" s="233"/>
      <c r="Q231" s="202"/>
      <c r="R231" s="33"/>
      <c r="S231" s="234"/>
      <c r="T231" s="6"/>
    </row>
    <row r="232" spans="1:21" ht="15" customHeight="1">
      <c r="A232" s="6"/>
      <c r="B232" s="174"/>
      <c r="C232" s="82" t="s">
        <v>131</v>
      </c>
      <c r="D232" s="176" t="s">
        <v>132</v>
      </c>
      <c r="E232" s="278">
        <v>1.093565981</v>
      </c>
      <c r="F232" s="90">
        <v>1154</v>
      </c>
      <c r="G232" s="28"/>
      <c r="H232" s="12" t="s">
        <v>512</v>
      </c>
      <c r="I232" s="91" t="str">
        <f t="shared" si="23"/>
        <v xml:space="preserve"> </v>
      </c>
      <c r="J232" s="7"/>
      <c r="K232" s="7"/>
      <c r="L232" s="7"/>
      <c r="M232" s="7"/>
      <c r="N232" s="238"/>
      <c r="O232" s="77"/>
      <c r="P232" s="233"/>
      <c r="Q232" s="202"/>
      <c r="R232" s="33"/>
      <c r="S232" s="234"/>
      <c r="T232" s="6"/>
    </row>
    <row r="233" spans="1:21" ht="15" customHeight="1">
      <c r="A233" s="6"/>
      <c r="B233" s="174"/>
      <c r="C233" s="82" t="s">
        <v>134</v>
      </c>
      <c r="D233" s="176" t="s">
        <v>135</v>
      </c>
      <c r="E233" s="278">
        <v>0.16232117200000001</v>
      </c>
      <c r="F233" s="90">
        <v>1155</v>
      </c>
      <c r="G233" s="28"/>
      <c r="H233" s="12" t="s">
        <v>513</v>
      </c>
      <c r="I233" s="91" t="str">
        <f t="shared" si="23"/>
        <v xml:space="preserve"> </v>
      </c>
      <c r="J233" s="7"/>
      <c r="K233" s="7"/>
      <c r="L233" s="7"/>
      <c r="M233" s="7"/>
      <c r="N233" s="238"/>
      <c r="O233" s="77"/>
      <c r="P233" s="233"/>
      <c r="Q233" s="202"/>
      <c r="R233" s="33"/>
      <c r="S233" s="234"/>
      <c r="T233" s="6"/>
    </row>
    <row r="234" spans="1:21" ht="15" customHeight="1">
      <c r="A234" s="6"/>
      <c r="B234" s="174"/>
      <c r="C234" s="82" t="s">
        <v>137</v>
      </c>
      <c r="D234" s="176" t="s">
        <v>138</v>
      </c>
      <c r="E234" s="278">
        <v>1.3285</v>
      </c>
      <c r="F234" s="90">
        <v>1156</v>
      </c>
      <c r="G234" s="28"/>
      <c r="H234" s="12" t="s">
        <v>514</v>
      </c>
      <c r="I234" s="91" t="str">
        <f t="shared" si="23"/>
        <v xml:space="preserve"> </v>
      </c>
      <c r="J234" s="7"/>
      <c r="K234" s="7"/>
      <c r="L234" s="7"/>
      <c r="M234" s="7"/>
      <c r="N234" s="238"/>
      <c r="O234" s="77"/>
      <c r="P234" s="233"/>
      <c r="Q234" s="202"/>
      <c r="R234" s="33"/>
      <c r="S234" s="234"/>
      <c r="T234" s="6"/>
    </row>
    <row r="235" spans="1:21" ht="15" customHeight="1">
      <c r="A235" s="6"/>
      <c r="B235" s="174"/>
      <c r="C235" s="82" t="s">
        <v>140</v>
      </c>
      <c r="D235" s="176" t="s">
        <v>141</v>
      </c>
      <c r="E235" s="278">
        <v>1.647661515</v>
      </c>
      <c r="F235" s="90">
        <v>1157</v>
      </c>
      <c r="G235" s="28"/>
      <c r="H235" s="12" t="s">
        <v>515</v>
      </c>
      <c r="I235" s="91" t="str">
        <f t="shared" si="23"/>
        <v xml:space="preserve"> </v>
      </c>
      <c r="J235" s="7"/>
      <c r="K235" s="7"/>
      <c r="L235" s="7"/>
      <c r="M235" s="7"/>
      <c r="N235" s="238"/>
      <c r="O235" s="77"/>
      <c r="P235" s="233"/>
      <c r="Q235" s="202"/>
      <c r="R235" s="33"/>
      <c r="S235" s="234"/>
      <c r="T235" s="6"/>
    </row>
    <row r="236" spans="1:21" ht="15" customHeight="1">
      <c r="A236" s="6"/>
      <c r="B236" s="174"/>
      <c r="C236" s="82" t="s">
        <v>143</v>
      </c>
      <c r="D236" s="176" t="s">
        <v>144</v>
      </c>
      <c r="E236" s="278">
        <v>0.12895007</v>
      </c>
      <c r="F236" s="90">
        <v>1158</v>
      </c>
      <c r="G236" s="28"/>
      <c r="H236" s="12" t="s">
        <v>516</v>
      </c>
      <c r="I236" s="91" t="str">
        <f t="shared" si="23"/>
        <v xml:space="preserve"> </v>
      </c>
      <c r="J236" s="7"/>
      <c r="K236" s="7"/>
      <c r="L236" s="7"/>
      <c r="M236" s="7"/>
      <c r="N236" s="238"/>
      <c r="O236" s="77"/>
      <c r="P236" s="233"/>
      <c r="Q236" s="202"/>
      <c r="R236" s="33"/>
      <c r="S236" s="234"/>
      <c r="T236" s="6"/>
    </row>
    <row r="237" spans="1:21" ht="15" customHeight="1">
      <c r="A237" s="6"/>
      <c r="B237" s="174"/>
      <c r="C237" s="82" t="s">
        <v>146</v>
      </c>
      <c r="D237" s="176" t="s">
        <v>147</v>
      </c>
      <c r="E237" s="278">
        <v>1.6392588999999999E-2</v>
      </c>
      <c r="F237" s="90">
        <v>1159</v>
      </c>
      <c r="G237" s="28"/>
      <c r="H237" s="12" t="s">
        <v>517</v>
      </c>
      <c r="I237" s="91" t="str">
        <f t="shared" si="23"/>
        <v xml:space="preserve"> </v>
      </c>
      <c r="J237" s="7"/>
      <c r="K237" s="7"/>
      <c r="L237" s="7"/>
      <c r="M237" s="7"/>
      <c r="N237" s="238"/>
      <c r="O237" s="77"/>
      <c r="P237" s="233"/>
      <c r="Q237" s="202"/>
      <c r="R237" s="33"/>
      <c r="S237" s="234"/>
      <c r="T237" s="6"/>
    </row>
    <row r="238" spans="1:21" ht="15" customHeight="1">
      <c r="A238" s="6"/>
      <c r="B238" s="174"/>
      <c r="C238" s="82" t="s">
        <v>149</v>
      </c>
      <c r="D238" s="176" t="s">
        <v>150</v>
      </c>
      <c r="E238" s="278">
        <v>9.476132E-3</v>
      </c>
      <c r="F238" s="90">
        <v>1160</v>
      </c>
      <c r="G238" s="28"/>
      <c r="H238" s="12" t="s">
        <v>518</v>
      </c>
      <c r="I238" s="91" t="str">
        <f t="shared" si="23"/>
        <v xml:space="preserve"> </v>
      </c>
      <c r="J238" s="7"/>
      <c r="K238" s="7"/>
      <c r="L238" s="7"/>
      <c r="M238" s="7"/>
      <c r="N238" s="238"/>
      <c r="O238" s="77"/>
      <c r="P238" s="233"/>
      <c r="Q238" s="202"/>
      <c r="R238" s="33"/>
      <c r="S238" s="234"/>
      <c r="T238" s="6"/>
    </row>
    <row r="239" spans="1:21" ht="15" customHeight="1">
      <c r="A239" s="6"/>
      <c r="B239" s="174"/>
      <c r="C239" s="82" t="s">
        <v>221</v>
      </c>
      <c r="D239" s="176" t="s">
        <v>209</v>
      </c>
      <c r="E239" s="279">
        <v>7.5246319000000006E-2</v>
      </c>
      <c r="F239" s="90">
        <v>1161</v>
      </c>
      <c r="G239" s="28"/>
      <c r="H239" s="12" t="s">
        <v>519</v>
      </c>
      <c r="I239" s="91" t="str">
        <f t="shared" si="23"/>
        <v xml:space="preserve"> </v>
      </c>
      <c r="J239" s="7"/>
      <c r="K239" s="7"/>
      <c r="L239" s="7"/>
      <c r="M239" s="7"/>
      <c r="N239" s="238"/>
      <c r="O239" s="77"/>
      <c r="P239" s="233"/>
      <c r="Q239" s="202"/>
      <c r="R239" s="33"/>
      <c r="S239" s="234"/>
      <c r="T239" s="6"/>
    </row>
    <row r="240" spans="1:21" ht="15" customHeight="1">
      <c r="A240" s="6"/>
      <c r="B240" s="174"/>
      <c r="C240" s="82" t="s">
        <v>222</v>
      </c>
      <c r="D240" s="176" t="s">
        <v>211</v>
      </c>
      <c r="E240" s="278">
        <v>0.83069852799999999</v>
      </c>
      <c r="F240" s="90">
        <v>1162</v>
      </c>
      <c r="G240" s="28"/>
      <c r="H240" s="12" t="s">
        <v>520</v>
      </c>
      <c r="I240" s="91" t="str">
        <f t="shared" si="23"/>
        <v xml:space="preserve"> </v>
      </c>
      <c r="J240" s="7"/>
      <c r="K240" s="7"/>
      <c r="L240" s="7"/>
      <c r="M240" s="7"/>
      <c r="N240" s="238"/>
      <c r="O240" s="77"/>
      <c r="P240" s="233"/>
      <c r="Q240" s="202"/>
      <c r="R240" s="33"/>
      <c r="S240" s="234"/>
      <c r="T240" s="6"/>
    </row>
    <row r="241" spans="1:21" ht="15" customHeight="1">
      <c r="A241" s="6"/>
      <c r="B241" s="174"/>
      <c r="C241" s="82" t="s">
        <v>223</v>
      </c>
      <c r="D241" s="176" t="s">
        <v>213</v>
      </c>
      <c r="E241" s="278">
        <v>2.6511366000000001E-2</v>
      </c>
      <c r="F241" s="90">
        <v>1163</v>
      </c>
      <c r="G241" s="28"/>
      <c r="H241" s="12" t="s">
        <v>521</v>
      </c>
      <c r="I241" s="91" t="str">
        <f t="shared" si="23"/>
        <v xml:space="preserve"> </v>
      </c>
      <c r="J241" s="7"/>
      <c r="K241" s="7"/>
      <c r="L241" s="7"/>
      <c r="M241" s="7"/>
      <c r="N241" s="238"/>
      <c r="O241" s="77"/>
      <c r="P241" s="233"/>
      <c r="Q241" s="202"/>
      <c r="R241" s="33"/>
      <c r="S241" s="234"/>
      <c r="T241" s="6"/>
    </row>
    <row r="242" spans="1:21" ht="15" customHeight="1">
      <c r="A242" s="6"/>
      <c r="B242" s="174"/>
      <c r="C242" s="82" t="s">
        <v>224</v>
      </c>
      <c r="D242" s="176" t="s">
        <v>153</v>
      </c>
      <c r="E242" s="278">
        <v>0.146147581</v>
      </c>
      <c r="F242" s="90">
        <v>1164</v>
      </c>
      <c r="G242" s="28"/>
      <c r="H242" s="12" t="s">
        <v>522</v>
      </c>
      <c r="I242" s="91" t="str">
        <f t="shared" si="23"/>
        <v xml:space="preserve"> </v>
      </c>
      <c r="J242" s="7"/>
      <c r="K242" s="7"/>
      <c r="L242" s="7"/>
      <c r="M242" s="7"/>
      <c r="N242" s="238"/>
      <c r="O242" s="77"/>
      <c r="P242" s="233"/>
      <c r="Q242" s="202"/>
      <c r="R242" s="33"/>
      <c r="S242" s="234"/>
      <c r="T242" s="6"/>
    </row>
    <row r="243" spans="1:21" ht="15" customHeight="1">
      <c r="A243" s="6"/>
      <c r="B243" s="174"/>
      <c r="C243" s="82" t="s">
        <v>225</v>
      </c>
      <c r="D243" s="176" t="s">
        <v>156</v>
      </c>
      <c r="E243" s="278">
        <v>1</v>
      </c>
      <c r="F243" s="90">
        <v>1165</v>
      </c>
      <c r="G243" s="28"/>
      <c r="H243" s="12" t="s">
        <v>523</v>
      </c>
      <c r="I243" s="91" t="str">
        <f t="shared" si="23"/>
        <v xml:space="preserve"> </v>
      </c>
      <c r="J243" s="7"/>
      <c r="K243" s="7"/>
      <c r="L243" s="7"/>
      <c r="M243" s="7"/>
      <c r="N243" s="238"/>
      <c r="O243" s="77"/>
      <c r="P243" s="233"/>
      <c r="Q243" s="202"/>
      <c r="R243" s="33"/>
      <c r="S243" s="234"/>
      <c r="T243" s="6"/>
    </row>
    <row r="244" spans="1:21" s="27" customFormat="1" ht="20.149999999999999" customHeight="1">
      <c r="A244" s="162"/>
      <c r="B244" s="177"/>
      <c r="C244" s="178"/>
      <c r="D244" s="178"/>
      <c r="E244" s="178"/>
      <c r="F244" s="179"/>
      <c r="G244" s="178"/>
      <c r="H244" s="180"/>
      <c r="I244" s="178"/>
      <c r="J244" s="178"/>
      <c r="K244" s="178"/>
      <c r="L244" s="178"/>
      <c r="M244" s="178"/>
      <c r="N244" s="178"/>
      <c r="O244" s="181"/>
      <c r="P244" s="233"/>
      <c r="Q244" s="208"/>
      <c r="R244" s="276"/>
      <c r="S244" s="277"/>
      <c r="T244" s="162"/>
      <c r="U244" s="8"/>
    </row>
    <row r="245" spans="1:21" s="27" customFormat="1" ht="20.149999999999999" customHeight="1">
      <c r="A245" s="162"/>
      <c r="B245" s="72" t="s">
        <v>226</v>
      </c>
      <c r="C245" s="73"/>
      <c r="D245" s="73"/>
      <c r="E245" s="73"/>
      <c r="F245" s="73"/>
      <c r="G245" s="73"/>
      <c r="H245" s="74"/>
      <c r="I245" s="73"/>
      <c r="J245" s="73"/>
      <c r="K245" s="73"/>
      <c r="L245" s="73"/>
      <c r="M245" s="73"/>
      <c r="N245" s="73"/>
      <c r="O245" s="75"/>
      <c r="P245" s="233"/>
      <c r="Q245" s="208"/>
      <c r="R245" s="276"/>
      <c r="S245" s="277"/>
      <c r="T245" s="162"/>
      <c r="U245" s="8"/>
    </row>
    <row r="246" spans="1:21" s="27" customFormat="1" ht="20.149999999999999" customHeight="1">
      <c r="A246" s="162"/>
      <c r="B246" s="163"/>
      <c r="C246" s="164"/>
      <c r="D246" s="164"/>
      <c r="E246" s="166"/>
      <c r="F246" s="165"/>
      <c r="G246" s="166"/>
      <c r="H246" s="167"/>
      <c r="I246" s="166"/>
      <c r="J246" s="166"/>
      <c r="K246" s="166"/>
      <c r="L246" s="166"/>
      <c r="M246" s="166"/>
      <c r="N246" s="166"/>
      <c r="O246" s="168"/>
      <c r="P246" s="233"/>
      <c r="Q246" s="208"/>
      <c r="R246" s="276"/>
      <c r="S246" s="277"/>
      <c r="T246" s="162"/>
      <c r="U246" s="8"/>
    </row>
    <row r="247" spans="1:21" s="27" customFormat="1" ht="15" customHeight="1">
      <c r="A247" s="162"/>
      <c r="B247" s="169"/>
      <c r="C247" s="68"/>
      <c r="D247" s="68"/>
      <c r="E247" s="211" t="s">
        <v>227</v>
      </c>
      <c r="F247" s="211"/>
      <c r="G247" s="29" t="s">
        <v>227</v>
      </c>
      <c r="H247" s="170"/>
      <c r="I247" s="11"/>
      <c r="J247" s="28"/>
      <c r="K247" s="28"/>
      <c r="L247" s="68"/>
      <c r="M247" s="28"/>
      <c r="N247" s="28"/>
      <c r="O247" s="171"/>
      <c r="P247" s="233"/>
      <c r="Q247" s="208"/>
      <c r="R247" s="276"/>
      <c r="S247" s="277"/>
      <c r="T247" s="162"/>
      <c r="U247" s="8"/>
    </row>
    <row r="248" spans="1:21" s="27" customFormat="1" ht="15" customHeight="1">
      <c r="A248" s="162"/>
      <c r="B248" s="169"/>
      <c r="C248" s="148" t="s">
        <v>524</v>
      </c>
      <c r="D248" s="182"/>
      <c r="E248" s="211" t="s">
        <v>291</v>
      </c>
      <c r="F248" s="81" t="s">
        <v>342</v>
      </c>
      <c r="G248" s="29" t="s">
        <v>228</v>
      </c>
      <c r="H248" s="170"/>
      <c r="I248" s="11" t="str">
        <f>I$22</f>
        <v>Checks</v>
      </c>
      <c r="J248" s="28"/>
      <c r="K248" s="28"/>
      <c r="L248" s="211" t="s">
        <v>525</v>
      </c>
      <c r="M248" s="28"/>
      <c r="N248" s="11" t="str">
        <f>N$22</f>
        <v>Supervisor Comments</v>
      </c>
      <c r="O248" s="171"/>
      <c r="P248" s="233"/>
      <c r="Q248" s="208"/>
      <c r="R248" s="276"/>
      <c r="S248" s="277"/>
      <c r="T248" s="162"/>
      <c r="U248" s="8"/>
    </row>
    <row r="249" spans="1:21" s="27" customFormat="1" ht="15" customHeight="1">
      <c r="A249" s="162"/>
      <c r="B249" s="169"/>
      <c r="C249" s="152" t="s">
        <v>526</v>
      </c>
      <c r="D249" s="183"/>
      <c r="E249" s="184" t="str">
        <f>IF(AND(ISNUMBER('BCBS Template'!$G$46),ISNUMBER('BCBS Template'!$G$11),ISNUMBER('BCBS Template'!$G$14)),'BCBS Template'!$G$46," ")</f>
        <v xml:space="preserve"> </v>
      </c>
      <c r="F249" s="90">
        <v>1166</v>
      </c>
      <c r="G249" s="185" t="str">
        <f>IF(ISNUMBER(E249),(E249*'BCBS Template'!$G$14*'BCBS Template'!$G$11/1000000),"")</f>
        <v/>
      </c>
      <c r="H249" s="12" t="s">
        <v>527</v>
      </c>
      <c r="I249" s="91" t="str">
        <f>IF(COUNTIF(I23:I27,"&lt;&gt; ")+COUNTIF(I29:I35,"&lt;&gt; ")+COUNTIF(I39:I44,"&lt;&gt; ")=0," ","Errors detected: "&amp;COUNTIF(I23:I27,"&lt;&gt; ")+COUNTIF(I29:I35,"&lt;&gt; ")+COUNTIF(I39:I44,"&lt;&gt; "))</f>
        <v>Errors detected: 18</v>
      </c>
      <c r="J249" s="28"/>
      <c r="K249" s="28"/>
      <c r="L249" s="237"/>
      <c r="M249" s="28"/>
      <c r="N249" s="238"/>
      <c r="O249" s="171"/>
      <c r="P249" s="233"/>
      <c r="Q249" s="208"/>
      <c r="R249" s="276"/>
      <c r="S249" s="277"/>
      <c r="T249" s="162"/>
      <c r="U249" s="8"/>
    </row>
    <row r="250" spans="1:21" s="27" customFormat="1" ht="15" customHeight="1">
      <c r="A250" s="162"/>
      <c r="B250" s="169"/>
      <c r="C250" s="152" t="s">
        <v>528</v>
      </c>
      <c r="D250" s="183"/>
      <c r="E250" s="184" t="str">
        <f>IF(AND(ISNUMBER('BCBS Template'!$G$66),ISNUMBER('BCBS Template'!$G$11),ISNUMBER('BCBS Template'!$G$14)),'BCBS Template'!$G$66," ")</f>
        <v xml:space="preserve"> </v>
      </c>
      <c r="F250" s="90">
        <v>1167</v>
      </c>
      <c r="G250" s="185" t="str">
        <f>IF(ISNUMBER(E250),(E250*'BCBS Template'!$G$14*'BCBS Template'!$G$11/1000000),"")</f>
        <v/>
      </c>
      <c r="H250" s="12" t="s">
        <v>529</v>
      </c>
      <c r="I250" s="91" t="str">
        <f>IF(COUNTIF(I51:I53,"&lt;&gt; ")+COUNTIF(I55:I61,"&lt;&gt; ")+COUNTIF(I63:I64,"&lt;&gt; ")=0," ","Errors detected: "&amp;COUNTIF(I51:I53,"&lt;&gt; ")+COUNTIF(I55:I61,"&lt;&gt; ")+COUNTIF(I63:I64,"&lt;&gt; "))</f>
        <v>Errors detected: 12</v>
      </c>
      <c r="J250" s="28"/>
      <c r="K250" s="28"/>
      <c r="L250" s="237"/>
      <c r="M250" s="28"/>
      <c r="N250" s="238"/>
      <c r="O250" s="171"/>
      <c r="P250" s="233"/>
      <c r="Q250" s="208"/>
      <c r="R250" s="276"/>
      <c r="S250" s="277"/>
      <c r="T250" s="162"/>
      <c r="U250" s="8"/>
    </row>
    <row r="251" spans="1:21" s="27" customFormat="1" ht="15" customHeight="1">
      <c r="A251" s="162"/>
      <c r="B251" s="169"/>
      <c r="C251" s="152" t="s">
        <v>530</v>
      </c>
      <c r="D251" s="183"/>
      <c r="E251" s="184" t="str">
        <f>IF(AND(ISNUMBER('BCBS Template'!$G$76),ISNUMBER('BCBS Template'!$G$11),ISNUMBER('BCBS Template'!$G$14)),'BCBS Template'!$G$76," ")</f>
        <v xml:space="preserve"> </v>
      </c>
      <c r="F251" s="90">
        <v>1168</v>
      </c>
      <c r="G251" s="185" t="str">
        <f>IF(ISNUMBER(E251),(E251*'BCBS Template'!$G$14*'BCBS Template'!$G$11/1000000),"")</f>
        <v/>
      </c>
      <c r="H251" s="12" t="s">
        <v>531</v>
      </c>
      <c r="I251" s="91" t="str">
        <f>IF(COUNTIF(I69:I72,"&lt;&gt; ")+COUNTIF(I74:I75,"&lt;&gt; ")=0," ","Errors detected: "&amp;COUNTIF(I69:I72,"&lt;&gt; ")+COUNTIF(I74:I75,"&lt;&gt; "))</f>
        <v>Errors detected: 6</v>
      </c>
      <c r="J251" s="28"/>
      <c r="K251" s="28"/>
      <c r="L251" s="237"/>
      <c r="M251" s="28"/>
      <c r="N251" s="238"/>
      <c r="O251" s="171"/>
      <c r="P251" s="233"/>
      <c r="Q251" s="208"/>
      <c r="R251" s="276"/>
      <c r="S251" s="277"/>
      <c r="T251" s="162"/>
      <c r="U251" s="8"/>
    </row>
    <row r="252" spans="1:21" s="27" customFormat="1" ht="15" customHeight="1">
      <c r="A252" s="162"/>
      <c r="B252" s="169"/>
      <c r="C252" s="152" t="s">
        <v>532</v>
      </c>
      <c r="D252" s="183"/>
      <c r="E252" s="184" t="str">
        <f>IF(AND(ISNUMBER('BCBS Template'!$G$86),ISNUMBER('BCBS Template'!$G$11),ISNUMBER('BCBS Template'!$G$14)),'BCBS Template'!$G$86," ")</f>
        <v xml:space="preserve"> </v>
      </c>
      <c r="F252" s="90">
        <v>1169</v>
      </c>
      <c r="G252" s="185" t="str">
        <f>IF(ISNUMBER(E252),(E252*'BCBS Template'!$G$14*'BCBS Template'!$G$11/1000000),"")</f>
        <v/>
      </c>
      <c r="H252" s="12" t="s">
        <v>533</v>
      </c>
      <c r="I252" s="91" t="str">
        <f>IF(COUNTIF(I79:I85,"&lt;&gt; ")=0," ","Errors detected: "&amp;COUNTIF(I79:I85,"&lt;&gt; "))</f>
        <v>Errors detected: 7</v>
      </c>
      <c r="J252" s="28"/>
      <c r="K252" s="28"/>
      <c r="L252" s="237"/>
      <c r="M252" s="28"/>
      <c r="N252" s="238"/>
      <c r="O252" s="171"/>
      <c r="P252" s="233"/>
      <c r="Q252" s="208"/>
      <c r="R252" s="276"/>
      <c r="S252" s="277"/>
      <c r="T252" s="162"/>
      <c r="U252" s="8"/>
    </row>
    <row r="253" spans="1:21" s="27" customFormat="1" ht="15" customHeight="1">
      <c r="A253" s="162"/>
      <c r="B253" s="169"/>
      <c r="C253" s="152" t="s">
        <v>534</v>
      </c>
      <c r="D253" s="183"/>
      <c r="E253" s="184" t="str">
        <f>IF(AND(ISNUMBER('BCBS Template'!$G$104),ISNUMBER('BCBS Template'!$G$11),ISNUMBER('BCBS Template'!$G$14)),'BCBS Template'!$G$104," ")</f>
        <v xml:space="preserve"> </v>
      </c>
      <c r="F253" s="90">
        <v>1170</v>
      </c>
      <c r="G253" s="185" t="str">
        <f>IF(ISNUMBER(E253),(E253*'BCBS Template'!$G$14*'BCBS Template'!$G$11/1000000),"")</f>
        <v/>
      </c>
      <c r="H253" s="12" t="s">
        <v>535</v>
      </c>
      <c r="I253" s="91" t="str">
        <f>IF(COUNTIF(I92:I103,"&lt;&gt; ")=0," ","Errors detected: "&amp;COUNTIF(I92:I103,"&lt;&gt; "))</f>
        <v>Errors detected: 12</v>
      </c>
      <c r="J253" s="28"/>
      <c r="K253" s="28"/>
      <c r="L253" s="237"/>
      <c r="M253" s="28"/>
      <c r="N253" s="238"/>
      <c r="O253" s="171"/>
      <c r="P253" s="233"/>
      <c r="Q253" s="208"/>
      <c r="R253" s="276"/>
      <c r="S253" s="277"/>
      <c r="T253" s="162"/>
      <c r="U253" s="8"/>
    </row>
    <row r="254" spans="1:21" s="27" customFormat="1" ht="15" customHeight="1">
      <c r="A254" s="162"/>
      <c r="B254" s="169"/>
      <c r="C254" s="152" t="s">
        <v>536</v>
      </c>
      <c r="D254" s="183"/>
      <c r="E254" s="184" t="str">
        <f>IF(AND('BCBS Template'!$I$108=" ",ISNUMBER('BCBS Template'!$G$11),ISNUMBER('BCBS Template'!$G$14)),'BCBS Template'!$G$108," ")</f>
        <v xml:space="preserve"> </v>
      </c>
      <c r="F254" s="90">
        <v>1171</v>
      </c>
      <c r="G254" s="185" t="str">
        <f>IF(ISNUMBER(E254),(E254*'BCBS Template'!$G$14*'BCBS Template'!$G$11/1000000),"")</f>
        <v/>
      </c>
      <c r="H254" s="12" t="s">
        <v>537</v>
      </c>
      <c r="I254" s="91" t="str">
        <f>IF(COUNTIF(I108,"&lt;&gt; ")=0," ","Errors detected: "&amp;COUNTIF(I108,"&lt;&gt; "))</f>
        <v>Errors detected: 1</v>
      </c>
      <c r="J254" s="28"/>
      <c r="K254" s="28"/>
      <c r="L254" s="237"/>
      <c r="M254" s="28"/>
      <c r="N254" s="238"/>
      <c r="O254" s="171"/>
      <c r="P254" s="233"/>
      <c r="Q254" s="208"/>
      <c r="R254" s="276"/>
      <c r="S254" s="277"/>
      <c r="T254" s="162"/>
      <c r="U254" s="8"/>
    </row>
    <row r="255" spans="1:21" s="27" customFormat="1" ht="15" customHeight="1">
      <c r="A255" s="162"/>
      <c r="B255" s="169"/>
      <c r="C255" s="152" t="s">
        <v>538</v>
      </c>
      <c r="D255" s="183"/>
      <c r="E255" s="184" t="str">
        <f>IF(AND(ISNUMBER('BCBS Template'!$G$113),ISNUMBER('BCBS Template'!$G$11),ISNUMBER('BCBS Template'!$G$14)),'BCBS Template'!$G$113," ")</f>
        <v xml:space="preserve"> </v>
      </c>
      <c r="F255" s="90">
        <v>1172</v>
      </c>
      <c r="G255" s="185" t="str">
        <f>IF(ISNUMBER(E255),(E255*'BCBS Template'!$G$14*'BCBS Template'!$G$11/1000000),"")</f>
        <v/>
      </c>
      <c r="H255" s="12" t="s">
        <v>539</v>
      </c>
      <c r="I255" s="91" t="str">
        <f>IF(COUNTIF(I111:I112,"&lt;&gt; ")=0," ","Errors detected: "&amp;COUNTIF(I111:I112,"&lt;&gt; "))</f>
        <v>Errors detected: 2</v>
      </c>
      <c r="J255" s="28"/>
      <c r="K255" s="28"/>
      <c r="L255" s="237"/>
      <c r="M255" s="28"/>
      <c r="N255" s="238"/>
      <c r="O255" s="171"/>
      <c r="P255" s="233"/>
      <c r="Q255" s="208"/>
      <c r="R255" s="276"/>
      <c r="S255" s="277"/>
      <c r="T255" s="162"/>
      <c r="U255" s="8"/>
    </row>
    <row r="256" spans="1:21" s="27" customFormat="1" ht="15" customHeight="1">
      <c r="A256" s="162"/>
      <c r="B256" s="169"/>
      <c r="C256" s="152" t="s">
        <v>540</v>
      </c>
      <c r="D256" s="183"/>
      <c r="E256" s="184" t="str">
        <f>IF(AND(ISNUMBER('BCBS Template'!$G$120),ISNUMBER('BCBS Template'!$G$11),ISNUMBER('BCBS Template'!$G$14)),'BCBS Template'!$G$120," ")</f>
        <v xml:space="preserve"> </v>
      </c>
      <c r="F256" s="90">
        <v>1173</v>
      </c>
      <c r="G256" s="185" t="str">
        <f>IF(ISNUMBER(E256),(E256*'BCBS Template'!$G$14*'BCBS Template'!$G$11/1000000),"")</f>
        <v/>
      </c>
      <c r="H256" s="12" t="s">
        <v>541</v>
      </c>
      <c r="I256" s="91" t="str">
        <f>IF(COUNTIF(I118:I119,"&lt;&gt; ")=0," ","Errors detected: "&amp;COUNTIF(I118:I119,"&lt;&gt; "))</f>
        <v>Errors detected: 2</v>
      </c>
      <c r="J256" s="28"/>
      <c r="K256" s="28"/>
      <c r="L256" s="237"/>
      <c r="M256" s="28"/>
      <c r="N256" s="238"/>
      <c r="O256" s="171"/>
      <c r="P256" s="233"/>
      <c r="Q256" s="208"/>
      <c r="R256" s="276"/>
      <c r="S256" s="277"/>
      <c r="T256" s="162"/>
      <c r="U256" s="8"/>
    </row>
    <row r="257" spans="1:21" s="27" customFormat="1" ht="15" customHeight="1">
      <c r="A257" s="162"/>
      <c r="B257" s="169"/>
      <c r="C257" s="152" t="s">
        <v>542</v>
      </c>
      <c r="D257" s="183"/>
      <c r="E257" s="184" t="str">
        <f>IF(AND(ISNUMBER('BCBS Template'!$G$127),ISNUMBER('BCBS Template'!$G$11),ISNUMBER('BCBS Template'!$G$14)),'BCBS Template'!$G$127," ")</f>
        <v xml:space="preserve"> </v>
      </c>
      <c r="F257" s="90">
        <v>1174</v>
      </c>
      <c r="G257" s="185" t="str">
        <f>IF(ISNUMBER(E257),(E257*'BCBS Template'!$G$14*'BCBS Template'!$G$11/1000000),"")</f>
        <v/>
      </c>
      <c r="H257" s="12" t="s">
        <v>543</v>
      </c>
      <c r="I257" s="91" t="str">
        <f>IF(COUNTIF(I123:I126,"&lt;&gt; ")=0," ","Errors detected: "&amp;COUNTIF(I123:I126,"&lt;&gt; "))</f>
        <v>Errors detected: 4</v>
      </c>
      <c r="J257" s="28"/>
      <c r="K257" s="28"/>
      <c r="L257" s="237"/>
      <c r="M257" s="28"/>
      <c r="N257" s="238"/>
      <c r="O257" s="171"/>
      <c r="P257" s="233"/>
      <c r="Q257" s="208"/>
      <c r="R257" s="276"/>
      <c r="S257" s="277"/>
      <c r="T257" s="162"/>
      <c r="U257" s="8"/>
    </row>
    <row r="258" spans="1:21" s="27" customFormat="1" ht="15" customHeight="1">
      <c r="A258" s="162"/>
      <c r="B258" s="169"/>
      <c r="C258" s="152" t="s">
        <v>544</v>
      </c>
      <c r="D258" s="183"/>
      <c r="E258" s="184" t="str">
        <f>IF(AND('BCBS Template'!$I$130=" ",ISNUMBER('BCBS Template'!$G$11),ISNUMBER('BCBS Template'!$G$14)),'BCBS Template'!$G$130," ")</f>
        <v xml:space="preserve"> </v>
      </c>
      <c r="F258" s="90">
        <v>1175</v>
      </c>
      <c r="G258" s="185" t="str">
        <f>IF(ISNUMBER(E258),(E258*'BCBS Template'!$G$14*'BCBS Template'!$G$11/1000000),"")</f>
        <v/>
      </c>
      <c r="H258" s="12" t="s">
        <v>545</v>
      </c>
      <c r="I258" s="91" t="str">
        <f>IF(COUNTIF(I130,"&lt;&gt; ")=0," ","Errors detected: "&amp;COUNTIF(I130,"&lt;&gt; "))</f>
        <v>Errors detected: 1</v>
      </c>
      <c r="J258" s="28"/>
      <c r="K258" s="28"/>
      <c r="L258" s="237"/>
      <c r="M258" s="28"/>
      <c r="N258" s="238"/>
      <c r="O258" s="171"/>
      <c r="P258" s="233"/>
      <c r="Q258" s="208"/>
      <c r="R258" s="276"/>
      <c r="S258" s="277"/>
      <c r="T258" s="162"/>
      <c r="U258" s="8"/>
    </row>
    <row r="259" spans="1:21" s="27" customFormat="1" ht="15" customHeight="1">
      <c r="A259" s="162"/>
      <c r="B259" s="169"/>
      <c r="C259" s="152" t="s">
        <v>546</v>
      </c>
      <c r="D259" s="183"/>
      <c r="E259" s="184" t="str">
        <f>IF(AND('BCBS Template'!$I$135=" ",ISNUMBER('BCBS Template'!$G$11),ISNUMBER('BCBS Template'!$G$14)),$G$135," ")</f>
        <v xml:space="preserve"> </v>
      </c>
      <c r="F259" s="90">
        <v>1176</v>
      </c>
      <c r="G259" s="185" t="str">
        <f>IF(ISNUMBER(E259),(E259*'BCBS Template'!$G$14*'BCBS Template'!$G$11/1000000),"")</f>
        <v/>
      </c>
      <c r="H259" s="12" t="s">
        <v>547</v>
      </c>
      <c r="I259" s="91" t="str">
        <f>IF(COUNTIF(I135,"&lt;&gt; ")=0," ","Errors detected: "&amp;COUNTIF(I135,"&lt;&gt; "))</f>
        <v>Errors detected: 1</v>
      </c>
      <c r="J259" s="28"/>
      <c r="K259" s="28"/>
      <c r="L259" s="237"/>
      <c r="M259" s="28"/>
      <c r="N259" s="238"/>
      <c r="O259" s="171"/>
      <c r="P259" s="233"/>
      <c r="Q259" s="208"/>
      <c r="R259" s="276"/>
      <c r="S259" s="277"/>
      <c r="T259" s="162"/>
      <c r="U259" s="8"/>
    </row>
    <row r="260" spans="1:21" s="27" customFormat="1" ht="15" customHeight="1">
      <c r="A260" s="162"/>
      <c r="B260" s="169"/>
      <c r="C260" s="152" t="s">
        <v>548</v>
      </c>
      <c r="D260" s="183"/>
      <c r="E260" s="184" t="str">
        <f>IF(AND(ISNUMBER('BCBS Template'!$G$141),ISNUMBER('BCBS Template'!$G$11),ISNUMBER('BCBS Template'!$G$14)),'BCBS Template'!$G$141," ")</f>
        <v xml:space="preserve"> </v>
      </c>
      <c r="F260" s="90">
        <v>1177</v>
      </c>
      <c r="G260" s="185" t="str">
        <f>IF(ISNUMBER(E260),(E260*'BCBS Template'!$G$14*'BCBS Template'!$G$11/1000000),"")</f>
        <v/>
      </c>
      <c r="H260" s="12" t="s">
        <v>549</v>
      </c>
      <c r="I260" s="91" t="str">
        <f>IF(COUNTIF(I138:I140,"&lt;&gt; ")=0," ","Errors detected: "&amp;COUNTIF(I138:I140,"&lt;&gt; "))</f>
        <v>Errors detected: 3</v>
      </c>
      <c r="J260" s="28"/>
      <c r="K260" s="28"/>
      <c r="L260" s="237"/>
      <c r="M260" s="28"/>
      <c r="N260" s="238"/>
      <c r="O260" s="171"/>
      <c r="P260" s="233"/>
      <c r="Q260" s="208"/>
      <c r="R260" s="276"/>
      <c r="S260" s="277"/>
      <c r="T260" s="162"/>
      <c r="U260" s="8"/>
    </row>
    <row r="261" spans="1:21" s="27" customFormat="1" ht="15" customHeight="1">
      <c r="A261" s="162"/>
      <c r="B261" s="169"/>
      <c r="C261" s="110" t="s">
        <v>550</v>
      </c>
      <c r="D261" s="186"/>
      <c r="E261" s="86"/>
      <c r="F261" s="86"/>
      <c r="G261" s="86"/>
      <c r="H261" s="12"/>
      <c r="I261" s="86"/>
      <c r="J261" s="28"/>
      <c r="K261" s="28"/>
      <c r="L261" s="28"/>
      <c r="M261" s="28"/>
      <c r="N261" s="28"/>
      <c r="O261" s="171"/>
      <c r="P261" s="233"/>
      <c r="Q261" s="208"/>
      <c r="R261" s="276"/>
      <c r="S261" s="277"/>
      <c r="T261" s="162"/>
      <c r="U261" s="8"/>
    </row>
    <row r="262" spans="1:21" s="27" customFormat="1" ht="15" customHeight="1">
      <c r="A262" s="162"/>
      <c r="B262" s="169"/>
      <c r="C262" s="115" t="s">
        <v>551</v>
      </c>
      <c r="D262" s="186"/>
      <c r="E262" s="86"/>
      <c r="F262" s="86"/>
      <c r="G262" s="86"/>
      <c r="H262" s="12" t="s">
        <v>552</v>
      </c>
      <c r="I262" s="91" t="str">
        <f>IF(COUNTIF(I7:I10,"&lt;&gt; ")+COUNTIF(I12,"&lt;&gt; ")=0," ","Errors detected: "&amp;COUNTIF(I7:I10,"&lt;&gt; ")+COUNTIF(I12,"&lt;&gt; "))</f>
        <v xml:space="preserve"> </v>
      </c>
      <c r="J262" s="28"/>
      <c r="K262" s="28"/>
      <c r="L262" s="28"/>
      <c r="M262" s="28"/>
      <c r="N262" s="28"/>
      <c r="O262" s="171"/>
      <c r="P262" s="233"/>
      <c r="Q262" s="208"/>
      <c r="R262" s="276"/>
      <c r="S262" s="277"/>
      <c r="T262" s="162"/>
    </row>
    <row r="263" spans="1:21" s="27" customFormat="1" ht="15" customHeight="1">
      <c r="A263" s="162"/>
      <c r="B263" s="169"/>
      <c r="C263" s="115" t="s">
        <v>553</v>
      </c>
      <c r="D263" s="186"/>
      <c r="E263" s="86"/>
      <c r="F263" s="86"/>
      <c r="G263" s="86"/>
      <c r="H263" s="12" t="s">
        <v>554</v>
      </c>
      <c r="I263" s="91" t="str">
        <f>IF(COUNTIF(I14:I18,"&lt;&gt; ")=0," ","Errors detected: "&amp;COUNTIF(I14:I18,"&lt;&gt; "))</f>
        <v xml:space="preserve"> </v>
      </c>
      <c r="J263" s="28"/>
      <c r="K263" s="28"/>
      <c r="L263" s="28"/>
      <c r="M263" s="28"/>
      <c r="N263" s="28"/>
      <c r="O263" s="171"/>
      <c r="P263" s="233"/>
      <c r="Q263" s="208"/>
      <c r="R263" s="276"/>
      <c r="S263" s="277"/>
      <c r="T263" s="162"/>
    </row>
    <row r="264" spans="1:21" s="27" customFormat="1" ht="15" customHeight="1">
      <c r="A264" s="162"/>
      <c r="B264" s="169"/>
      <c r="C264" s="115" t="s">
        <v>555</v>
      </c>
      <c r="D264" s="186"/>
      <c r="E264" s="86"/>
      <c r="F264" s="86"/>
      <c r="G264" s="86"/>
      <c r="H264" s="12" t="s">
        <v>556</v>
      </c>
      <c r="I264" s="91" t="str">
        <f>IF(COUNTIF(I146:I147,"&lt;&gt; ")+COUNTIF(I149:I155,"&lt;&gt; ")+COUNTIF(I158,"&lt;&gt; ")=0," ","Errors detected: "&amp;COUNTIF(I146:I147,"&lt;&gt; ")+COUNTIF(I149:I155,"&lt;&gt; ")+COUNTIF(I158,"&lt;&gt; "))</f>
        <v>Errors detected: 10</v>
      </c>
      <c r="J264" s="28"/>
      <c r="K264" s="28"/>
      <c r="L264" s="28"/>
      <c r="M264" s="28"/>
      <c r="N264" s="28"/>
      <c r="O264" s="171"/>
      <c r="P264" s="233"/>
      <c r="Q264" s="208"/>
      <c r="R264" s="276"/>
      <c r="S264" s="277"/>
      <c r="T264" s="162"/>
    </row>
    <row r="265" spans="1:21" s="27" customFormat="1" ht="15" customHeight="1">
      <c r="A265" s="162"/>
      <c r="B265" s="169"/>
      <c r="C265" s="115" t="s">
        <v>557</v>
      </c>
      <c r="D265" s="186"/>
      <c r="E265" s="86"/>
      <c r="F265" s="86"/>
      <c r="G265" s="86"/>
      <c r="H265" s="12" t="s">
        <v>558</v>
      </c>
      <c r="I265" s="91" t="str">
        <f>IF(COUNTIF(I161:I165,"&lt;&gt; ")+COUNTIF(I169:I171,"&lt;&gt; ")=0," ","Errors detected: "&amp;COUNTIF(I161:I165,"&lt;&gt; ")+COUNTIF(I169:I171,"&lt;&gt; "))</f>
        <v>Errors detected: 8</v>
      </c>
      <c r="J265" s="28"/>
      <c r="K265" s="28"/>
      <c r="L265" s="28"/>
      <c r="M265" s="28"/>
      <c r="N265" s="28"/>
      <c r="O265" s="171"/>
      <c r="P265" s="233"/>
      <c r="Q265" s="208"/>
      <c r="R265" s="276"/>
      <c r="S265" s="277"/>
      <c r="T265" s="162"/>
    </row>
    <row r="266" spans="1:21" s="27" customFormat="1" ht="15" customHeight="1">
      <c r="A266" s="162"/>
      <c r="B266" s="169"/>
      <c r="C266" s="115" t="s">
        <v>559</v>
      </c>
      <c r="D266" s="186"/>
      <c r="E266" s="86"/>
      <c r="F266" s="86"/>
      <c r="G266" s="86"/>
      <c r="H266" s="12" t="s">
        <v>560</v>
      </c>
      <c r="I266" s="91" t="str">
        <f>IF(COUNTIF(I176:I182,"Comment required")&lt;&gt;0,"Errors detected: "&amp;COUNTIF(I176:I182,"Comment required"),IF(COUNTIF(I176:I182,"&lt;&gt; ")=0," ","Warnings detected: "&amp;COUNTIF(I176:I182,"&lt;&gt; ")))</f>
        <v>Errors detected: 7</v>
      </c>
      <c r="J266" s="28"/>
      <c r="K266" s="28"/>
      <c r="L266" s="28"/>
      <c r="M266" s="28"/>
      <c r="N266" s="28"/>
      <c r="O266" s="171"/>
      <c r="P266" s="233"/>
      <c r="Q266" s="208"/>
      <c r="R266" s="276"/>
      <c r="S266" s="277"/>
      <c r="T266" s="162"/>
    </row>
    <row r="267" spans="1:21" s="27" customFormat="1" ht="15" customHeight="1">
      <c r="A267" s="162"/>
      <c r="B267" s="169"/>
      <c r="C267" s="115" t="s">
        <v>561</v>
      </c>
      <c r="D267" s="186"/>
      <c r="E267" s="86"/>
      <c r="F267" s="86"/>
      <c r="G267" s="86"/>
      <c r="H267" s="12" t="s">
        <v>562</v>
      </c>
      <c r="I267" s="91" t="str">
        <f>IF(COUNTIF(I185:I187,"Comment required")&lt;&gt;0,"Errors detected: "&amp;COUNTIF(I185:I187,"Comment required"),IF(COUNTIF(I185:I187,"&lt;&gt; ")=0," ","Warnings detected: "&amp;COUNTIF(I185:I187,"&lt;&gt; ")))</f>
        <v>Errors detected: 3</v>
      </c>
      <c r="J267" s="28"/>
      <c r="K267" s="28"/>
      <c r="L267" s="28"/>
      <c r="M267" s="28"/>
      <c r="N267" s="28"/>
      <c r="O267" s="171"/>
      <c r="P267" s="233"/>
      <c r="Q267" s="208"/>
      <c r="R267" s="276"/>
      <c r="S267" s="277"/>
      <c r="T267" s="162"/>
    </row>
    <row r="268" spans="1:21" s="27" customFormat="1" ht="15" customHeight="1">
      <c r="A268" s="162"/>
      <c r="B268" s="169"/>
      <c r="C268" s="115" t="s">
        <v>563</v>
      </c>
      <c r="D268" s="186"/>
      <c r="E268" s="86"/>
      <c r="F268" s="86"/>
      <c r="G268" s="86"/>
      <c r="H268" s="12" t="s">
        <v>564</v>
      </c>
      <c r="I268" s="91" t="str">
        <f>IF(COUNTIF(I191:I215,"Comment required")&lt;&gt;0,"Errors detected: "&amp;COUNTIF(I191:I215,"Comment required"),IF(COUNTIF(I191:I215,"&lt;&gt; ")=0," ","Warnings detected: "&amp;COUNTIF(I191:I215,"&lt;&gt; ")))</f>
        <v>Errors detected: 25</v>
      </c>
      <c r="J268" s="28"/>
      <c r="K268" s="28"/>
      <c r="L268" s="28"/>
      <c r="M268" s="28"/>
      <c r="N268" s="28"/>
      <c r="O268" s="171"/>
      <c r="P268" s="233"/>
      <c r="Q268" s="208"/>
      <c r="R268" s="276"/>
      <c r="S268" s="277"/>
      <c r="T268" s="162"/>
    </row>
    <row r="269" spans="1:21" s="27" customFormat="1" ht="15" customHeight="1">
      <c r="A269" s="162"/>
      <c r="B269" s="169"/>
      <c r="C269" s="115" t="s">
        <v>565</v>
      </c>
      <c r="D269" s="186"/>
      <c r="E269" s="86"/>
      <c r="F269" s="86"/>
      <c r="G269" s="86"/>
      <c r="H269" s="12" t="s">
        <v>566</v>
      </c>
      <c r="I269" s="91" t="str">
        <f>IF(COUNTIF(I218:I222,"Comment required")&lt;&gt;0,"Errors detected: "&amp;COUNTIF(I218:I222,"Comment required"),IF(COUNTIF(I218:I222,"&lt;&gt; ")=0," ","Warnings detected: "&amp;COUNTIF(I218:I222,"&lt;&gt; ")))</f>
        <v>Errors detected: 5</v>
      </c>
      <c r="J269" s="28"/>
      <c r="K269" s="28"/>
      <c r="L269" s="28"/>
      <c r="M269" s="28"/>
      <c r="N269" s="28"/>
      <c r="O269" s="171"/>
      <c r="P269" s="233"/>
      <c r="Q269" s="208"/>
      <c r="R269" s="276"/>
      <c r="S269" s="277"/>
      <c r="T269" s="162"/>
    </row>
    <row r="270" spans="1:21" s="27" customFormat="1" ht="15" customHeight="1">
      <c r="A270" s="162"/>
      <c r="B270" s="169"/>
      <c r="C270" s="115" t="s">
        <v>567</v>
      </c>
      <c r="D270" s="186"/>
      <c r="E270" s="86"/>
      <c r="F270" s="86"/>
      <c r="G270" s="86"/>
      <c r="H270" s="12" t="s">
        <v>568</v>
      </c>
      <c r="I270" s="91" t="str">
        <f>IF(COUNTIF(I229:I243,"&lt;&gt; ")=0," ","Errors detected: "&amp;COUNTIF(I229:I243,"&lt;&gt; "))</f>
        <v xml:space="preserve"> </v>
      </c>
      <c r="J270" s="28"/>
      <c r="K270" s="28"/>
      <c r="L270" s="28"/>
      <c r="M270" s="28"/>
      <c r="N270" s="28"/>
      <c r="O270" s="171"/>
      <c r="P270" s="233"/>
      <c r="Q270" s="208"/>
      <c r="R270" s="276"/>
      <c r="S270" s="277"/>
      <c r="T270" s="162"/>
    </row>
    <row r="271" spans="1:21" s="27" customFormat="1" ht="20.149999999999999" customHeight="1">
      <c r="A271" s="162"/>
      <c r="B271" s="177"/>
      <c r="C271" s="178"/>
      <c r="D271" s="178"/>
      <c r="E271" s="178"/>
      <c r="F271" s="178"/>
      <c r="G271" s="178"/>
      <c r="H271" s="180"/>
      <c r="I271" s="178"/>
      <c r="J271" s="178"/>
      <c r="K271" s="178"/>
      <c r="L271" s="178"/>
      <c r="M271" s="178"/>
      <c r="N271" s="178"/>
      <c r="O271" s="181"/>
      <c r="P271" s="233"/>
      <c r="Q271" s="209"/>
      <c r="R271" s="280"/>
      <c r="S271" s="281"/>
      <c r="T271" s="162"/>
    </row>
    <row r="272" spans="1:21" ht="15" customHeight="1">
      <c r="A272" s="6"/>
      <c r="B272" s="67"/>
      <c r="C272" s="68"/>
      <c r="D272" s="68"/>
      <c r="E272" s="162"/>
      <c r="F272" s="162"/>
      <c r="G272" s="68"/>
      <c r="H272" s="69"/>
      <c r="I272" s="68"/>
      <c r="J272" s="6"/>
      <c r="K272" s="7"/>
      <c r="L272" s="68"/>
      <c r="M272" s="6"/>
      <c r="N272" s="68"/>
      <c r="O272" s="7"/>
      <c r="P272" s="233"/>
      <c r="Q272" s="6"/>
      <c r="R272" s="6"/>
      <c r="S272" s="6"/>
      <c r="T272" s="6"/>
    </row>
  </sheetData>
  <sheetProtection sheet="1" objects="1" scenarios="1"/>
  <mergeCells count="16">
    <mergeCell ref="Q3:S3"/>
    <mergeCell ref="D189:D190"/>
    <mergeCell ref="E189:E190"/>
    <mergeCell ref="G189:G190"/>
    <mergeCell ref="C2:E2"/>
    <mergeCell ref="C36:E37"/>
    <mergeCell ref="C45:E46"/>
    <mergeCell ref="C65:E66"/>
    <mergeCell ref="C90:C91"/>
    <mergeCell ref="D90:D91"/>
    <mergeCell ref="E90:E91"/>
    <mergeCell ref="G90:G91"/>
    <mergeCell ref="C104:E104"/>
    <mergeCell ref="D167:D168"/>
    <mergeCell ref="E167:E168"/>
    <mergeCell ref="G167:G168"/>
  </mergeCells>
  <conditionalFormatting sqref="G7:G8 G12">
    <cfRule type="containsText" priority="35" stopIfTrue="1" operator="containsText" text="&lt;select&gt;">
      <formula>NOT(ISERROR(SEARCH("&lt;select&gt;",G7)))</formula>
    </cfRule>
  </conditionalFormatting>
  <conditionalFormatting sqref="G7:G8 G12">
    <cfRule type="containsBlanks" priority="36" stopIfTrue="1">
      <formula>LEN(TRIM(G7))=0</formula>
    </cfRule>
  </conditionalFormatting>
  <conditionalFormatting sqref="I23:I27 I29:I35 I39:I44 I7:I10 I12">
    <cfRule type="cellIs" dxfId="45" priority="9" stopIfTrue="1" operator="notEqual">
      <formula>" "</formula>
    </cfRule>
  </conditionalFormatting>
  <conditionalFormatting sqref="I51:I53 I55:I61 I63:I64">
    <cfRule type="cellIs" dxfId="44" priority="10" stopIfTrue="1" operator="notEqual">
      <formula>" "</formula>
    </cfRule>
  </conditionalFormatting>
  <conditionalFormatting sqref="I69:I72 I74:I75">
    <cfRule type="cellIs" dxfId="43" priority="11" stopIfTrue="1" operator="notEqual">
      <formula>" "</formula>
    </cfRule>
  </conditionalFormatting>
  <conditionalFormatting sqref="I79:I85">
    <cfRule type="cellIs" dxfId="42" priority="12" stopIfTrue="1" operator="notEqual">
      <formula>" "</formula>
    </cfRule>
  </conditionalFormatting>
  <conditionalFormatting sqref="I92:I103">
    <cfRule type="cellIs" dxfId="41" priority="13" stopIfTrue="1" operator="notEqual">
      <formula>" "</formula>
    </cfRule>
  </conditionalFormatting>
  <conditionalFormatting sqref="I111:I112">
    <cfRule type="cellIs" dxfId="40" priority="15" stopIfTrue="1" operator="notEqual">
      <formula>" "</formula>
    </cfRule>
  </conditionalFormatting>
  <conditionalFormatting sqref="I118:I119">
    <cfRule type="cellIs" dxfId="39" priority="16" stopIfTrue="1" operator="notEqual">
      <formula>" "</formula>
    </cfRule>
  </conditionalFormatting>
  <conditionalFormatting sqref="I123:I126">
    <cfRule type="cellIs" dxfId="38" priority="17" stopIfTrue="1" operator="notEqual">
      <formula>" "</formula>
    </cfRule>
  </conditionalFormatting>
  <conditionalFormatting sqref="I130">
    <cfRule type="cellIs" dxfId="37" priority="18" stopIfTrue="1" operator="notEqual">
      <formula>" "</formula>
    </cfRule>
  </conditionalFormatting>
  <conditionalFormatting sqref="I138:I140">
    <cfRule type="cellIs" dxfId="36" priority="20" stopIfTrue="1" operator="notEqual">
      <formula>" "</formula>
    </cfRule>
  </conditionalFormatting>
  <conditionalFormatting sqref="I146:I147 I149:I155">
    <cfRule type="cellIs" dxfId="35" priority="21" stopIfTrue="1" operator="notEqual">
      <formula>" "</formula>
    </cfRule>
  </conditionalFormatting>
  <conditionalFormatting sqref="I158">
    <cfRule type="cellIs" dxfId="34" priority="22" stopIfTrue="1" operator="notEqual">
      <formula>" "</formula>
    </cfRule>
  </conditionalFormatting>
  <conditionalFormatting sqref="I229:I243">
    <cfRule type="cellIs" dxfId="33" priority="33" stopIfTrue="1" operator="notEqual">
      <formula>" "</formula>
    </cfRule>
  </conditionalFormatting>
  <conditionalFormatting sqref="G16">
    <cfRule type="containsText" priority="37" stopIfTrue="1" operator="containsText" text="&lt;select&gt;">
      <formula>NOT(ISERROR(SEARCH("&lt;select&gt;",G16)))</formula>
    </cfRule>
  </conditionalFormatting>
  <conditionalFormatting sqref="G16">
    <cfRule type="containsBlanks" priority="38" stopIfTrue="1">
      <formula>LEN(TRIM(G16))=0</formula>
    </cfRule>
  </conditionalFormatting>
  <conditionalFormatting sqref="I14:I18">
    <cfRule type="cellIs" dxfId="32" priority="8" stopIfTrue="1" operator="notEqual">
      <formula>" "</formula>
    </cfRule>
  </conditionalFormatting>
  <conditionalFormatting sqref="I135">
    <cfRule type="cellIs" dxfId="31" priority="19" stopIfTrue="1" operator="notEqual">
      <formula>" "</formula>
    </cfRule>
  </conditionalFormatting>
  <conditionalFormatting sqref="I108">
    <cfRule type="cellIs" dxfId="30" priority="14" stopIfTrue="1" operator="notEqual">
      <formula>" "</formula>
    </cfRule>
  </conditionalFormatting>
  <conditionalFormatting sqref="I169:I171">
    <cfRule type="cellIs" dxfId="29" priority="24" stopIfTrue="1" operator="notEqual">
      <formula>" "</formula>
    </cfRule>
  </conditionalFormatting>
  <conditionalFormatting sqref="I249:I260 I262:I270">
    <cfRule type="cellIs" dxfId="28" priority="34" stopIfTrue="1" operator="notEqual">
      <formula>" "</formula>
    </cfRule>
  </conditionalFormatting>
  <conditionalFormatting sqref="I161:I165">
    <cfRule type="cellIs" dxfId="27" priority="23" stopIfTrue="1" operator="notEqual">
      <formula>" "</formula>
    </cfRule>
  </conditionalFormatting>
  <conditionalFormatting sqref="I176:I182">
    <cfRule type="containsText" dxfId="26" priority="25" stopIfTrue="1" operator="containsText" text="Comment required">
      <formula>NOT(ISERROR(SEARCH("Comment required",I176)))</formula>
    </cfRule>
    <cfRule type="cellIs" dxfId="25" priority="26" stopIfTrue="1" operator="notEqual">
      <formula>" "</formula>
    </cfRule>
  </conditionalFormatting>
  <conditionalFormatting sqref="I185:I187">
    <cfRule type="containsText" dxfId="24" priority="27" stopIfTrue="1" operator="containsText" text="Comment required">
      <formula>NOT(ISERROR(SEARCH("Comment required",I185)))</formula>
    </cfRule>
    <cfRule type="cellIs" dxfId="23" priority="28" stopIfTrue="1" operator="notEqual">
      <formula>" "</formula>
    </cfRule>
  </conditionalFormatting>
  <conditionalFormatting sqref="I191:I215">
    <cfRule type="containsText" dxfId="22" priority="29" stopIfTrue="1" operator="containsText" text="Comment required">
      <formula>NOT(ISERROR(SEARCH("Comment required",I191)))</formula>
    </cfRule>
    <cfRule type="cellIs" dxfId="21" priority="30" stopIfTrue="1" operator="notEqual">
      <formula>" "</formula>
    </cfRule>
  </conditionalFormatting>
  <conditionalFormatting sqref="I218:I222">
    <cfRule type="containsText" dxfId="20" priority="31" stopIfTrue="1" operator="containsText" text="Comment required">
      <formula>NOT(ISERROR(SEARCH("Comment required",I218)))</formula>
    </cfRule>
    <cfRule type="cellIs" dxfId="19" priority="32" stopIfTrue="1" operator="notEqual">
      <formula>" "</formula>
    </cfRule>
  </conditionalFormatting>
  <conditionalFormatting sqref="I266:I269">
    <cfRule type="containsText" dxfId="18" priority="7" stopIfTrue="1" operator="containsText" text="Warnings detected">
      <formula>NOT(ISERROR(SEARCH("Warnings detected",I266)))</formula>
    </cfRule>
  </conditionalFormatting>
  <conditionalFormatting sqref="L118:L119 L111:L112 L108 L92:L103 L79:L85 L74:L75 L69:L72 L63:L64 L55:L61 L51:L53 L39:L44 L29:L35 L23:L27 L16:L18">
    <cfRule type="expression" dxfId="17" priority="6" stopIfTrue="1">
      <formula>LEN(L16)&gt;56</formula>
    </cfRule>
  </conditionalFormatting>
  <conditionalFormatting sqref="L249:L260 L218:L222 L191:L215 L185:L187 L169:L171 L161:L165 L158 L149:L155 L146:L147 L138:L140 L135 L130 L123:L126 L176:L182">
    <cfRule type="expression" dxfId="16" priority="5" stopIfTrue="1">
      <formula>LEN(L123)&gt;56</formula>
    </cfRule>
  </conditionalFormatting>
  <conditionalFormatting sqref="N118:N119 N111:N112 N108 N92:N103 N79:N85 N74:N75 N69:N72 N63:N64 N55:N61 N51:N53 N39:N44 N29:N35 N23:N27 N16:N18">
    <cfRule type="expression" dxfId="15" priority="4" stopIfTrue="1">
      <formula>LEN(N16)&gt;30</formula>
    </cfRule>
  </conditionalFormatting>
  <conditionalFormatting sqref="N249:N260 N229:N243 N218:N222 N191:N215 N185:N187 N176:N182 N169:N171 N161:N165 N158 N149:N155 N146:N147 N138:N140 N135 N130 N123:N126">
    <cfRule type="expression" dxfId="14" priority="3" stopIfTrue="1">
      <formula>LEN(N123)&gt;30</formula>
    </cfRule>
  </conditionalFormatting>
  <conditionalFormatting sqref="Q161:Q165 Q158 Q149:Q155 Q146:Q147 Q138:Q140 Q135 Q130 Q123:Q126">
    <cfRule type="expression" dxfId="13" priority="1" stopIfTrue="1">
      <formula>LEN(Q123)&gt;30</formula>
    </cfRule>
  </conditionalFormatting>
  <conditionalFormatting sqref="Q118:Q119 Q111:Q112 Q108 Q92:Q103 Q79:Q85 Q74:Q75 Q69:Q72 Q63:Q64 Q55:Q61 Q51:Q53 Q39:Q44 Q29:Q35 Q23:Q27">
    <cfRule type="expression" dxfId="12" priority="2" stopIfTrue="1">
      <formula>LEN(Q23)&gt;30</formula>
    </cfRule>
  </conditionalFormatting>
  <dataValidations count="6">
    <dataValidation type="list" allowBlank="1" showInputMessage="1" showErrorMessage="1" sqref="G9">
      <formula1>ReportingDate</formula1>
    </dataValidation>
    <dataValidation type="list" showInputMessage="1" showErrorMessage="1" sqref="K191:K215 K176:K182 K218:K222 K185:K187">
      <formula1>ChecksResponses</formula1>
    </dataValidation>
    <dataValidation type="list" allowBlank="1" showInputMessage="1" showErrorMessage="1" sqref="G7">
      <formula1>CountryCode</formula1>
    </dataValidation>
    <dataValidation type="list" allowBlank="1" showInputMessage="1" showErrorMessage="1" sqref="G15">
      <formula1>AccountingStandard</formula1>
    </dataValidation>
    <dataValidation type="list" allowBlank="1" showInputMessage="1" showErrorMessage="1" sqref="G14">
      <formula1>ReportingUnit</formula1>
    </dataValidation>
    <dataValidation type="list" allowBlank="1" showInputMessage="1" showErrorMessage="1" sqref="G10">
      <formula1>ReportingCurrency</formula1>
    </dataValidation>
  </dataValidations>
  <printOptions horizontalCentered="1"/>
  <pageMargins left="0.7" right="0.7" top="0.75" bottom="0.75" header="0.3" footer="0.3"/>
  <pageSetup scale="66" fitToHeight="5" orientation="landscape" r:id="rId1"/>
  <headerFooter scaleWithDoc="0">
    <oddFooter>&amp;L&amp;10Data Source: FR Y-15&amp;C&amp;10Page &amp;P of &amp;N&amp;R&amp;10As-of Date: December 31, 2014</oddFooter>
  </headerFooter>
  <rowBreaks count="4" manualBreakCount="4">
    <brk id="47" max="19" man="1"/>
    <brk id="87" max="19" man="1"/>
    <brk id="131" max="19" man="1"/>
    <brk id="172" max="19" man="1"/>
  </rowBreaks>
  <ignoredErrors>
    <ignoredError sqref="G28 G148 G26" formula="1"/>
    <ignoredError sqref="E92:E103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'FR Y-15 Data'!$A$2:$A$35</xm:f>
          </x14:formula1>
          <xm:sqref>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 tint="0.79998168889431442"/>
  </sheetPr>
  <dimension ref="A1:HC411"/>
  <sheetViews>
    <sheetView showGridLines="0" tabSelected="1" showWhiteSpace="0" zoomScale="85" zoomScaleNormal="85" zoomScaleSheetLayoutView="100" zoomScalePageLayoutView="25" workbookViewId="0">
      <pane xSplit="16" topLeftCell="Q1" activePane="topRight" state="frozen"/>
      <selection activeCell="G29" sqref="G29"/>
      <selection pane="topRight" activeCell="R3" sqref="R3"/>
    </sheetView>
  </sheetViews>
  <sheetFormatPr defaultRowHeight="14.5"/>
  <cols>
    <col min="1" max="1" width="8.7265625" customWidth="1"/>
    <col min="15" max="15" width="8.81640625" customWidth="1"/>
    <col min="16" max="17" width="8.7265625" customWidth="1"/>
    <col min="18" max="18" width="44.7265625" customWidth="1"/>
    <col min="19" max="19" width="12.7265625" customWidth="1"/>
    <col min="20" max="20" width="14.54296875" bestFit="1" customWidth="1"/>
    <col min="22" max="22" width="44.7265625" customWidth="1"/>
    <col min="23" max="23" width="12.7265625" customWidth="1"/>
    <col min="24" max="24" width="26.54296875" bestFit="1" customWidth="1"/>
    <col min="26" max="26" width="44.7265625" customWidth="1"/>
    <col min="27" max="27" width="12.7265625" customWidth="1"/>
    <col min="28" max="28" width="28.453125" bestFit="1" customWidth="1"/>
    <col min="30" max="30" width="44.7265625" customWidth="1"/>
    <col min="31" max="31" width="12.7265625" customWidth="1"/>
    <col min="32" max="32" width="20.1796875" bestFit="1" customWidth="1"/>
    <col min="34" max="34" width="44.7265625" customWidth="1"/>
    <col min="35" max="35" width="12.7265625" customWidth="1"/>
    <col min="36" max="36" width="16.26953125" bestFit="1" customWidth="1"/>
    <col min="38" max="38" width="44.7265625" customWidth="1"/>
    <col min="39" max="39" width="12.7265625" customWidth="1"/>
    <col min="40" max="40" width="20" bestFit="1" customWidth="1"/>
    <col min="42" max="42" width="44.7265625" customWidth="1"/>
    <col min="43" max="43" width="12.7265625" customWidth="1"/>
    <col min="44" max="44" width="12.54296875" bestFit="1" customWidth="1"/>
    <col min="46" max="46" width="44.7265625" customWidth="1"/>
    <col min="47" max="47" width="12.7265625" customWidth="1"/>
    <col min="48" max="48" width="15.26953125" bestFit="1" customWidth="1"/>
    <col min="50" max="50" width="44.7265625" customWidth="1"/>
    <col min="51" max="51" width="12.7265625" customWidth="1"/>
    <col min="52" max="52" width="24.1796875" bestFit="1" customWidth="1"/>
    <col min="54" max="54" width="44.7265625" customWidth="1"/>
    <col min="55" max="55" width="12.7265625" customWidth="1"/>
    <col min="56" max="56" width="13.54296875" bestFit="1" customWidth="1"/>
    <col min="58" max="58" width="44.7265625" customWidth="1"/>
    <col min="59" max="59" width="12.7265625" customWidth="1"/>
    <col min="60" max="60" width="23.81640625" bestFit="1" customWidth="1"/>
    <col min="62" max="62" width="44.7265625" customWidth="1"/>
    <col min="63" max="63" width="12.7265625" customWidth="1"/>
    <col min="64" max="64" width="25.54296875" bestFit="1" customWidth="1"/>
    <col min="66" max="66" width="44.7265625" customWidth="1"/>
    <col min="67" max="67" width="12.7265625" customWidth="1"/>
    <col min="68" max="68" width="19.26953125" bestFit="1" customWidth="1"/>
  </cols>
  <sheetData>
    <row r="1" spans="2:211" ht="15" customHeight="1"/>
    <row r="2" spans="2:211" ht="15" customHeight="1">
      <c r="R2" s="362" t="str">
        <f>"Graph 1: "&amp;T3&amp;" "&amp;Indicators!$D$2</f>
        <v>Graph 1: Total Exposures (millions of USD)</v>
      </c>
      <c r="S2" s="226"/>
      <c r="T2" s="43" t="str">
        <f>Indicators!D$4</f>
        <v>RISKM350</v>
      </c>
      <c r="V2" s="362" t="str">
        <f>"Graph 2: "&amp;X3&amp;" "&amp;Indicators!$D$2</f>
        <v>Graph 2: Intra-Financial System Assets (millions of USD)</v>
      </c>
      <c r="W2" s="46"/>
      <c r="X2" s="43" t="str">
        <f>Indicators!E$4</f>
        <v>RISKM362</v>
      </c>
      <c r="Z2" s="362" t="str">
        <f>"Graph 3: "&amp;AB3&amp;" "&amp;Indicators!$D$2</f>
        <v>Graph 3: Intra-Financial System Liabilities (millions of USD)</v>
      </c>
      <c r="AA2" s="46"/>
      <c r="AB2" s="43" t="str">
        <f>Indicators!F$4</f>
        <v>RISKM370</v>
      </c>
      <c r="AD2" s="362" t="str">
        <f>"Graph 4: "&amp;AF3&amp;" "&amp;Indicators!$D$2</f>
        <v>Graph 4: Securities Outstanding (millions of USD)</v>
      </c>
      <c r="AE2" s="46"/>
      <c r="AF2" s="43" t="str">
        <f>Indicators!G$4</f>
        <v>RISKM376</v>
      </c>
      <c r="AG2" s="55"/>
      <c r="AH2" s="362" t="str">
        <f>"Graph 5: "&amp;AJ3&amp;" "&amp;Indicators!$D$2</f>
        <v>Graph 5: Payments (millions of USD)</v>
      </c>
      <c r="AI2" s="46"/>
      <c r="AJ2" s="43" t="str">
        <f>Indicators!H4</f>
        <v>RISKM390</v>
      </c>
      <c r="AK2" s="55"/>
      <c r="AL2" s="362" t="str">
        <f>"Graph 6: "&amp;AN3&amp;" "&amp;Indicators!$D$2</f>
        <v>Graph 6: Assets Under Custody (millions of USD)</v>
      </c>
      <c r="AM2" s="46"/>
      <c r="AN2" s="43" t="str">
        <f>Indicators!I4</f>
        <v>RISKM405</v>
      </c>
      <c r="AO2" s="55"/>
      <c r="AP2" s="362" t="str">
        <f>"Graph 7: "&amp;AR3&amp;" "&amp;Indicators!$D$2</f>
        <v>Graph 7: Underwriting (millions of USD)</v>
      </c>
      <c r="AQ2" s="46"/>
      <c r="AR2" s="43" t="str">
        <f>Indicators!J4</f>
        <v>RISKM408</v>
      </c>
      <c r="AS2" s="214"/>
      <c r="AT2" s="362" t="str">
        <f>"Graph 8: "&amp;AV3&amp;" "&amp;Indicators!$D$2</f>
        <v>Graph 8: OTC Derivatives (millions of USD)</v>
      </c>
      <c r="AU2" s="46"/>
      <c r="AV2" s="43" t="str">
        <f>Indicators!K4</f>
        <v>RISKM411</v>
      </c>
      <c r="AW2" s="214"/>
      <c r="AX2" s="362" t="str">
        <f>"Graph 9: "&amp;AZ3&amp;" "&amp;Indicators!$D$2</f>
        <v>Graph 9: Trading and AFS Securities (millions of USD)</v>
      </c>
      <c r="AY2" s="46"/>
      <c r="AZ2" s="43" t="str">
        <f>Indicators!L4</f>
        <v>RISKN255</v>
      </c>
      <c r="BA2" s="214"/>
      <c r="BB2" s="362" t="str">
        <f>"Graph 10: "&amp;BD3&amp;" "&amp;Indicators!$D$2</f>
        <v>Graph 10: Level 3 Assets (millions of USD)</v>
      </c>
      <c r="BC2" s="46"/>
      <c r="BD2" s="43" t="str">
        <f>Indicators!M4</f>
        <v>RISKG506</v>
      </c>
      <c r="BE2" s="214"/>
      <c r="BF2" s="362" t="str">
        <f>"Graph 11: "&amp;BH3&amp;" "&amp;Indicators!$D$2</f>
        <v>Graph 11: Cross-Jurisdictional Claims (millions of USD)</v>
      </c>
      <c r="BG2" s="46"/>
      <c r="BH2" s="43" t="str">
        <f>Indicators!N4</f>
        <v>RISKM422</v>
      </c>
      <c r="BI2" s="214"/>
      <c r="BJ2" s="362" t="str">
        <f>"Graph 12: "&amp;BL3&amp;" "&amp;Indicators!$D$2</f>
        <v>Graph 12: Cross-Jurisdictional Liabilities (millions of USD)</v>
      </c>
      <c r="BK2" s="46"/>
      <c r="BL2" s="43" t="str">
        <f>Indicators!O4</f>
        <v>RISKM426</v>
      </c>
      <c r="BM2" s="214"/>
      <c r="BN2" s="362" t="s">
        <v>577</v>
      </c>
      <c r="BO2" s="1"/>
      <c r="BP2" s="41"/>
      <c r="BQ2" s="55"/>
      <c r="BR2" s="55"/>
      <c r="BS2" s="55"/>
      <c r="BT2" s="55"/>
      <c r="BU2" s="55"/>
      <c r="BV2" s="55"/>
      <c r="BW2" s="55"/>
    </row>
    <row r="3" spans="2:211" ht="15" customHeight="1">
      <c r="B3" s="397" t="str">
        <f>R2</f>
        <v>Graph 1: Total Exposures (millions of USD)</v>
      </c>
      <c r="C3" s="397"/>
      <c r="D3" s="397"/>
      <c r="E3" s="397"/>
      <c r="F3" s="397"/>
      <c r="G3" s="397"/>
      <c r="H3" s="397"/>
      <c r="I3" s="397"/>
      <c r="J3" s="397"/>
      <c r="K3" s="397"/>
      <c r="L3" s="397"/>
      <c r="M3" s="397"/>
      <c r="N3" s="397"/>
      <c r="O3" s="397"/>
      <c r="R3" s="3" t="str">
        <f>Indicators!B5</f>
        <v>Institution Name</v>
      </c>
      <c r="S3" s="3" t="str">
        <f>Indicators!C5</f>
        <v>ID Number</v>
      </c>
      <c r="T3" s="36" t="str">
        <f>INDEX(Indicators!$D$5:$O$5,MATCH($T$2,Indicators!$D$4:$O$4,0))</f>
        <v>Total Exposures</v>
      </c>
      <c r="V3" s="3" t="str">
        <f>Indicators!B5</f>
        <v>Institution Name</v>
      </c>
      <c r="W3" s="3" t="str">
        <f>Indicators!C5</f>
        <v>ID Number</v>
      </c>
      <c r="X3" s="53" t="str">
        <f>INDEX(Indicators!$D$5:$O$5,MATCH($X$2,Indicators!$D$4:$O$4,0))</f>
        <v>Intra-Financial System Assets</v>
      </c>
      <c r="Z3" s="3" t="str">
        <f>Indicators!B5</f>
        <v>Institution Name</v>
      </c>
      <c r="AA3" s="3" t="str">
        <f>Indicators!C5</f>
        <v>ID Number</v>
      </c>
      <c r="AB3" s="53" t="str">
        <f>INDEX(Indicators!$D$5:$O$5,MATCH($AB$2,Indicators!$D$4:$O$4,0))</f>
        <v>Intra-Financial System Liabilities</v>
      </c>
      <c r="AD3" s="3" t="str">
        <f>Indicators!$B$5</f>
        <v>Institution Name</v>
      </c>
      <c r="AE3" s="3" t="str">
        <f>Indicators!$C$5</f>
        <v>ID Number</v>
      </c>
      <c r="AF3" s="53" t="str">
        <f>INDEX(Indicators!$D$5:$O$5,MATCH($AF$2,Indicators!$D$4:$O$4,0))</f>
        <v>Securities Outstanding</v>
      </c>
      <c r="AG3" s="55"/>
      <c r="AH3" s="3" t="str">
        <f>Indicators!$B$5</f>
        <v>Institution Name</v>
      </c>
      <c r="AI3" s="3" t="str">
        <f>Indicators!$C$5</f>
        <v>ID Number</v>
      </c>
      <c r="AJ3" s="54" t="str">
        <f>INDEX(Indicators!$D$5:$O$5,MATCH($AJ$2,Indicators!$D$4:$O$4,0))</f>
        <v>Payments</v>
      </c>
      <c r="AK3" s="55"/>
      <c r="AL3" s="3" t="str">
        <f>Indicators!$B$5</f>
        <v>Institution Name</v>
      </c>
      <c r="AM3" s="3" t="str">
        <f>Indicators!$C$5</f>
        <v>ID Number</v>
      </c>
      <c r="AN3" s="54" t="str">
        <f>INDEX(Indicators!$D$5:$O$5,MATCH($AN$2,Indicators!$D$4:$O$4,0))</f>
        <v>Assets Under Custody</v>
      </c>
      <c r="AO3" s="55"/>
      <c r="AP3" s="3" t="str">
        <f>Indicators!$B$5</f>
        <v>Institution Name</v>
      </c>
      <c r="AQ3" s="3" t="str">
        <f>Indicators!$C$5</f>
        <v>ID Number</v>
      </c>
      <c r="AR3" s="54" t="str">
        <f>INDEX(Indicators!$D$5:$O$5,MATCH($AR$2,Indicators!$D$4:$O$4,0))</f>
        <v>Underwriting</v>
      </c>
      <c r="AS3" s="55"/>
      <c r="AT3" s="3" t="str">
        <f>Indicators!$B$5</f>
        <v>Institution Name</v>
      </c>
      <c r="AU3" s="3" t="str">
        <f>Indicators!$C$5</f>
        <v>ID Number</v>
      </c>
      <c r="AV3" s="57" t="str">
        <f>INDEX(Indicators!$D$5:$O$5,MATCH($AV$2,Indicators!$D$4:$O$4,0))</f>
        <v>OTC Derivatives</v>
      </c>
      <c r="AW3" s="55"/>
      <c r="AX3" s="3" t="str">
        <f>Indicators!$B$5</f>
        <v>Institution Name</v>
      </c>
      <c r="AY3" s="3" t="str">
        <f>Indicators!$C$5</f>
        <v>ID Number</v>
      </c>
      <c r="AZ3" s="57" t="str">
        <f>INDEX(Indicators!$D$5:$O$5,MATCH($AZ$2,Indicators!$D$4:$O$4,0))</f>
        <v>Trading and AFS Securities</v>
      </c>
      <c r="BA3" s="55"/>
      <c r="BB3" s="3" t="str">
        <f>Indicators!$B$5</f>
        <v>Institution Name</v>
      </c>
      <c r="BC3" s="3" t="str">
        <f>Indicators!$C$5</f>
        <v>ID Number</v>
      </c>
      <c r="BD3" s="57" t="str">
        <f>INDEX(Indicators!$D$5:$O$5,MATCH($BD$2,Indicators!$D$4:$O$4,0))</f>
        <v>Level 3 Assets</v>
      </c>
      <c r="BE3" s="55"/>
      <c r="BF3" s="3" t="str">
        <f>Indicators!$B$5</f>
        <v>Institution Name</v>
      </c>
      <c r="BG3" s="3" t="str">
        <f>Indicators!$C$5</f>
        <v>ID Number</v>
      </c>
      <c r="BH3" s="58" t="str">
        <f>INDEX(Indicators!$D$5:$O$5,MATCH($BH$2,Indicators!$D$4:$O$4,0))</f>
        <v>Cross-Jurisdictional Claims</v>
      </c>
      <c r="BI3" s="55"/>
      <c r="BJ3" s="3" t="str">
        <f>Indicators!$B$5</f>
        <v>Institution Name</v>
      </c>
      <c r="BK3" s="3" t="str">
        <f>Indicators!$C$5</f>
        <v>ID Number</v>
      </c>
      <c r="BL3" s="58" t="str">
        <f>INDEX(Indicators!$D$5:$O$5,MATCH($BL$2,Indicators!$D$4:$O$4,0))</f>
        <v>Cross-Jurisdictional Liabilities</v>
      </c>
      <c r="BM3" s="55"/>
      <c r="BN3" s="3" t="str">
        <f>Scores!B10</f>
        <v>Institution Name</v>
      </c>
      <c r="BO3" s="3" t="str">
        <f>Scores!C10</f>
        <v>ID Number</v>
      </c>
      <c r="BP3" s="59" t="str">
        <f>Scores!P10</f>
        <v>Systemic Score (bps)</v>
      </c>
      <c r="BQ3" s="55"/>
      <c r="BR3" s="55"/>
      <c r="BS3" s="55"/>
      <c r="BT3" s="55"/>
      <c r="BU3" s="55"/>
      <c r="BV3" s="55"/>
      <c r="BW3" s="55"/>
    </row>
    <row r="4" spans="2:211" ht="15" customHeight="1">
      <c r="R4" s="366" t="str">
        <f>PROPER(TRIM(INDEX('FR Y-15 Data'!$A$1:$A$36,MATCH(S4,'FR Y-15 Data'!$C$1:$C$66,0))))</f>
        <v>Jpmorgan Chase &amp; Co.</v>
      </c>
      <c r="S4" s="367">
        <f t="array" ref="S4">INDEX(Indicators!$C$5:$C$38,SMALL(IF(Indicators!$D$5:$D$38=Graphs!T4,ROW(Indicators!$D$5:$D$38),""),COUNTIF(Graphs!$T$4:T4,Graphs!T4))-ROW(Indicators!$D$5)+1,0)</f>
        <v>1039502</v>
      </c>
      <c r="T4" s="369">
        <f>LARGE(Indicators!$D$5:$D$38,ROWS(Graphs!$T$3:$T4)-1)</f>
        <v>3743113</v>
      </c>
      <c r="U4" s="370"/>
      <c r="V4" s="366" t="str">
        <f>PROPER(TRIM(INDEX('FR Y-15 Data'!$A$1:$A$36,MATCH(W4,'FR Y-15 Data'!$C$1:$C$66,0))))</f>
        <v>Jpmorgan Chase &amp; Co.</v>
      </c>
      <c r="W4" s="367">
        <f t="array" ref="W4">INDEX(Indicators!$C$5:$C$38,SMALL(IF(Indicators!$E$5:$E$38=Graphs!X4,ROW(Indicators!$E$5:$E$38),""),COUNTIF(Graphs!$X$4:X4,Graphs!X4))-ROW(Indicators!$E$5)+1,0)</f>
        <v>1039502</v>
      </c>
      <c r="X4" s="369">
        <f>LARGE(Indicators!$E$5:$E$38,ROWS(Graphs!$X$3:$X4)-1)</f>
        <v>461425</v>
      </c>
      <c r="Y4" s="370"/>
      <c r="Z4" s="366" t="str">
        <f>PROPER(TRIM(INDEX('FR Y-15 Data'!$A$1:$A$36,MATCH(AA4,'FR Y-15 Data'!$C$1:$C$66,0))))</f>
        <v>Jpmorgan Chase &amp; Co.</v>
      </c>
      <c r="AA4" s="367">
        <f t="array" ref="AA4">INDEX(Indicators!$C$5:$C$38,SMALL(IF(Indicators!$F$5:$F$38=Graphs!AB4,ROW(Indicators!$F$5:$F$38),""),COUNTIF(Graphs!$AB$4:AB4,Graphs!AB4))-ROW(Indicators!$F$5)+1,0)</f>
        <v>1039502</v>
      </c>
      <c r="AB4" s="369">
        <f>LARGE(Indicators!$F$5:$F$38,ROWS(Graphs!$AB$3:$AB4)-1)</f>
        <v>570830</v>
      </c>
      <c r="AC4" s="370"/>
      <c r="AD4" s="366" t="str">
        <f>PROPER(TRIM(INDEX('FR Y-15 Data'!$A$1:$A$36,MATCH(AE4,'FR Y-15 Data'!$C$1:$C$66,0))))</f>
        <v>Jpmorgan Chase &amp; Co.</v>
      </c>
      <c r="AE4" s="367">
        <f t="array" ref="AE4">INDEX(Indicators!$C$5:$C$38,SMALL(IF(Indicators!$G$5:$G$38=Graphs!AF4,ROW(Indicators!$G$5:$G$38),""),COUNTIF(Graphs!$AF$4:AF4,Graphs!AF4))-ROW(Indicators!$G$5)+1,0)</f>
        <v>1039502</v>
      </c>
      <c r="AF4" s="369">
        <f>LARGE(Indicators!$G$5:$G$38,ROWS(Graphs!$AF$3:$AF4)-1)</f>
        <v>641607</v>
      </c>
      <c r="AG4" s="371"/>
      <c r="AH4" s="366" t="str">
        <f>PROPER(TRIM(INDEX('FR Y-15 Data'!$A$1:$A$36,MATCH(AI4,'FR Y-15 Data'!$C$1:$C$66,0))))</f>
        <v>Jpmorgan Chase &amp; Co.</v>
      </c>
      <c r="AI4" s="367">
        <f t="array" ref="AI4">INDEX(Indicators!$C$5:$C$38,SMALL(IF(Indicators!$H$5:$H$38=Graphs!AJ4,ROW(Indicators!$H$5:$H$38),""),COUNTIF(Graphs!$AJ$4:AJ4,Graphs!AJ4))-ROW(Indicators!$H$5)+1,0)</f>
        <v>1039502</v>
      </c>
      <c r="AJ4" s="369">
        <f>LARGE(Indicators!$H$5:$H$38,ROWS(Graphs!$AJ$3:$AJ4)-1)</f>
        <v>323173878</v>
      </c>
      <c r="AK4" s="371"/>
      <c r="AL4" s="366" t="str">
        <f>PROPER(TRIM(INDEX('FR Y-15 Data'!$A$1:$A$36,MATCH(AM4,'FR Y-15 Data'!$C$1:$C$66,0))))</f>
        <v>Bank Of New York Mellon Corporation, The</v>
      </c>
      <c r="AM4" s="367">
        <f t="array" ref="AM4">INDEX(Indicators!$C$5:$C$38,SMALL(IF(Indicators!$I$5:$I$38=Graphs!AN4,ROW(Indicators!$I$5:$I$38),""),COUNTIF(Graphs!$AN$4:AN4,Graphs!AN4))-ROW(Indicators!$I$5)+1,0)</f>
        <v>3587146</v>
      </c>
      <c r="AN4" s="369">
        <f>LARGE(Indicators!$I$5:$I$38,ROWS(Graphs!$AN$3:$AN4)-1)</f>
        <v>24632807</v>
      </c>
      <c r="AO4" s="371"/>
      <c r="AP4" s="366" t="str">
        <f>PROPER(TRIM(INDEX('FR Y-15 Data'!$A$1:$A$36,MATCH(AQ4,'FR Y-15 Data'!$C$1:$C$66,0))))</f>
        <v>Jpmorgan Chase &amp; Co.</v>
      </c>
      <c r="AQ4" s="367">
        <f t="array" ref="AQ4">INDEX(Indicators!$C$5:$C$38,SMALL(IF(Indicators!$J$5:$J$38=Graphs!AR4,ROW(Indicators!$J$5:$J$38),""),COUNTIF(Graphs!$AR$4:AR4,Graphs!AR4))-ROW(Indicators!$J$5)+1,0)</f>
        <v>1039502</v>
      </c>
      <c r="AR4" s="369">
        <f>LARGE(Indicators!$J$5:$J$38,ROWS(Graphs!$AR$3:$AR4)-1)</f>
        <v>490698</v>
      </c>
      <c r="AS4" s="371"/>
      <c r="AT4" s="366" t="str">
        <f>PROPER(TRIM(INDEX('FR Y-15 Data'!$A$1:$A$36,MATCH(AU4,'FR Y-15 Data'!$C$1:$C$66,0))))</f>
        <v>Jpmorgan Chase &amp; Co.</v>
      </c>
      <c r="AU4" s="367">
        <f t="array" ref="AU4">INDEX(Indicators!$C$5:$C$38,SMALL(IF(Indicators!$K$5:$K$38=Graphs!AV4,ROW(Indicators!$K$5:$K$38),""),COUNTIF(Graphs!$AV$4:AV4,Graphs!AV4))-ROW(Indicators!$K$5)+1,0)</f>
        <v>1039502</v>
      </c>
      <c r="AV4" s="369">
        <f>LARGE(Indicators!$K$5:$K$38,ROWS(Graphs!$AV$3:$AV4)-1)</f>
        <v>65268349</v>
      </c>
      <c r="AW4" s="371"/>
      <c r="AX4" s="366" t="str">
        <f>PROPER(TRIM(INDEX('FR Y-15 Data'!$A$1:$A$36,MATCH(AY4,'FR Y-15 Data'!$C$1:$C$66,0))))</f>
        <v>Jpmorgan Chase &amp; Co.</v>
      </c>
      <c r="AY4" s="367">
        <f t="array" ref="AY4">INDEX(Indicators!$C$5:$C$38,SMALL(IF(Indicators!$L$5:$L$38=Graphs!AZ4,ROW(Indicators!$L$5:$L$38),""),COUNTIF(Graphs!$AZ$4:AZ4,Graphs!AZ4))-ROW(Indicators!$L$5)+1,0)</f>
        <v>1039502</v>
      </c>
      <c r="AZ4" s="369">
        <f>LARGE(Indicators!$L$5:$L$38,ROWS(Graphs!$AZ$3:$AZ4)-1)</f>
        <v>323285</v>
      </c>
      <c r="BA4" s="371"/>
      <c r="BB4" s="366" t="str">
        <f>PROPER(TRIM(INDEX('FR Y-15 Data'!$A$1:$A$36,MATCH(BC4,'FR Y-15 Data'!$C$1:$C$66,0))))</f>
        <v>Jpmorgan Chase &amp; Co.</v>
      </c>
      <c r="BC4" s="367">
        <f t="array" ref="BC4">INDEX(Indicators!$C$5:$C$38,SMALL(IF(Indicators!$M$5:$M$38=Graphs!BD4,ROW(Indicators!$M$5:$M$38),""),COUNTIF(Graphs!$BD$4:BD4,Graphs!BD4))-ROW(Indicators!$M$5)+1,0)</f>
        <v>1039502</v>
      </c>
      <c r="BD4" s="369">
        <f>LARGE(Indicators!$M$5:$M$38,ROWS(Graphs!$BD$3:$BD4)-1)</f>
        <v>50457</v>
      </c>
      <c r="BE4" s="371"/>
      <c r="BF4" s="366" t="str">
        <f>PROPER(TRIM(INDEX('FR Y-15 Data'!$A$1:$A$36,MATCH(BG4,'FR Y-15 Data'!$C$1:$C$66,0))))</f>
        <v>Citigroup Inc.</v>
      </c>
      <c r="BG4" s="367">
        <f t="array" ref="BG4">INDEX(Indicators!$C$5:$C$38,SMALL(IF(Indicators!$N$5:$N$38=Graphs!BH4,ROW(Indicators!$N$5:$N$38),""),COUNTIF(Graphs!$BH$4:BH4,Graphs!BH4))-ROW(Indicators!$N$5)+1,0)</f>
        <v>1951350</v>
      </c>
      <c r="BH4" s="369">
        <f>LARGE(Indicators!$N$5:$N$38,ROWS(Graphs!$BH$3:$BH4)-1)</f>
        <v>832923</v>
      </c>
      <c r="BI4" s="371"/>
      <c r="BJ4" s="366" t="str">
        <f>PROPER(TRIM(INDEX('FR Y-15 Data'!$A$1:$A$36,MATCH(BK4,'FR Y-15 Data'!$C$1:$C$66,0))))</f>
        <v>Citigroup Inc.</v>
      </c>
      <c r="BK4" s="367">
        <f t="array" ref="BK4">INDEX(Indicators!$C$5:$C$38,SMALL(IF(Indicators!$O$5:$O$38=Graphs!BL4,ROW(Indicators!$O$5:$O$38),""),COUNTIF(Graphs!$BL$4:BL4,Graphs!BL4))-ROW(Indicators!$O$5)+1,0)</f>
        <v>1951350</v>
      </c>
      <c r="BL4" s="369">
        <f>LARGE(Indicators!$O$5:$O$38,ROWS(Graphs!$BL$3:$BL4)-1)</f>
        <v>756438</v>
      </c>
      <c r="BM4" s="371"/>
      <c r="BN4" s="366" t="str">
        <f>PROPER(TRIM(INDEX('FR Y-15 Data'!$A$1:$A$36,MATCH(BO4,'FR Y-15 Data'!$C$1:$C$66,0))))</f>
        <v>Ally Financial Inc.</v>
      </c>
      <c r="BO4" s="367">
        <f t="array" ref="BO4">INDEX(Scores!$C$10:$C$43,SMALL(IF(Scores!$P$10:$P$43=Graphs!BP4,ROW(Scores!$P$10:$P$43),""),COUNTIF(Graphs!$BP$4:BP4,Graphs!BP4))-ROW(Scores!$P$10)+1,0)</f>
        <v>1562859</v>
      </c>
      <c r="BP4" s="372">
        <f>LARGE(Scores!$P$10:$P$64,ROWS($BP$3:$BP4)-1)</f>
        <v>0</v>
      </c>
      <c r="BQ4" s="214"/>
      <c r="BR4" s="214"/>
      <c r="BS4" s="214"/>
      <c r="BT4" s="214"/>
      <c r="BU4" s="55"/>
      <c r="BV4" s="55"/>
      <c r="BW4" s="55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</row>
    <row r="5" spans="2:211" ht="15" customHeight="1">
      <c r="R5" s="366" t="str">
        <f>PROPER(TRIM(INDEX('FR Y-15 Data'!$A$1:$A$36,MATCH(S5,'FR Y-15 Data'!$C$1:$C$66,0))))</f>
        <v>Bank Of America Corporation</v>
      </c>
      <c r="S5" s="367">
        <f t="array" ref="S5">INDEX(Indicators!$C$5:$C$38,SMALL(IF(Indicators!$D$5:$D$38=Graphs!T5,ROW(Indicators!$D$5:$D$38),""),COUNTIF(Graphs!$T$4:T5,Graphs!T5))-ROW(Indicators!$D$5)+1,0)</f>
        <v>1073757</v>
      </c>
      <c r="T5" s="369">
        <f>LARGE(Indicators!$D$5:$D$38,ROWS(Graphs!$T$3:$T5)-1)</f>
        <v>2810245.9589999998</v>
      </c>
      <c r="U5" s="370"/>
      <c r="V5" s="366" t="str">
        <f>PROPER(TRIM(INDEX('FR Y-15 Data'!$A$1:$A$36,MATCH(W5,'FR Y-15 Data'!$C$1:$C$66,0))))</f>
        <v>Goldman Sachs Group, Inc., The</v>
      </c>
      <c r="W5" s="367">
        <f t="array" ref="W5">INDEX(Indicators!$C$5:$C$38,SMALL(IF(Indicators!$E$5:$E$38=Graphs!X5,ROW(Indicators!$E$5:$E$38),""),COUNTIF(Graphs!$X$4:X5,Graphs!X5))-ROW(Indicators!$E$5)+1,0)</f>
        <v>2380443</v>
      </c>
      <c r="X5" s="369">
        <f>LARGE(Indicators!$E$5:$E$38,ROWS(Graphs!$X$3:$X5)-1)</f>
        <v>326951</v>
      </c>
      <c r="Y5" s="370"/>
      <c r="Z5" s="366" t="str">
        <f>PROPER(TRIM(INDEX('FR Y-15 Data'!$A$1:$A$36,MATCH(AA5,'FR Y-15 Data'!$C$1:$C$66,0))))</f>
        <v>Citigroup Inc.</v>
      </c>
      <c r="AA5" s="367">
        <f t="array" ref="AA5">INDEX(Indicators!$C$5:$C$38,SMALL(IF(Indicators!$F$5:$F$38=Graphs!AB5,ROW(Indicators!$F$5:$F$38),""),COUNTIF(Graphs!$AB$4:AB5,Graphs!AB5))-ROW(Indicators!$F$5)+1,0)</f>
        <v>1951350</v>
      </c>
      <c r="AB5" s="369">
        <f>LARGE(Indicators!$F$5:$F$38,ROWS(Graphs!$AB$3:$AB5)-1)</f>
        <v>458603</v>
      </c>
      <c r="AC5" s="370"/>
      <c r="AD5" s="366" t="str">
        <f>PROPER(TRIM(INDEX('FR Y-15 Data'!$A$1:$A$36,MATCH(AE5,'FR Y-15 Data'!$C$1:$C$66,0))))</f>
        <v>Wells Fargo &amp; Company</v>
      </c>
      <c r="AE5" s="367">
        <f t="array" ref="AE5">INDEX(Indicators!$C$5:$C$38,SMALL(IF(Indicators!$G$5:$G$38=Graphs!AF5,ROW(Indicators!$G$5:$G$38),""),COUNTIF(Graphs!$AF$4:AF5,Graphs!AF5))-ROW(Indicators!$G$5)+1,0)</f>
        <v>1120754</v>
      </c>
      <c r="AF5" s="369">
        <f>LARGE(Indicators!$G$5:$G$38,ROWS(Graphs!$AF$3:$AF5)-1)</f>
        <v>590283</v>
      </c>
      <c r="AG5" s="371"/>
      <c r="AH5" s="366" t="str">
        <f>PROPER(TRIM(INDEX('FR Y-15 Data'!$A$1:$A$36,MATCH(AI5,'FR Y-15 Data'!$C$1:$C$66,0))))</f>
        <v>Citigroup Inc.</v>
      </c>
      <c r="AI5" s="367">
        <f t="array" ref="AI5">INDEX(Indicators!$C$5:$C$38,SMALL(IF(Indicators!$H$5:$H$38=Graphs!AJ5,ROW(Indicators!$H$5:$H$38),""),COUNTIF(Graphs!$AJ$4:AJ5,Graphs!AJ5))-ROW(Indicators!$H$5)+1,0)</f>
        <v>1951350</v>
      </c>
      <c r="AJ5" s="369">
        <f>LARGE(Indicators!$H$5:$H$38,ROWS(Graphs!$AJ$3:$AJ5)-1)</f>
        <v>274865406</v>
      </c>
      <c r="AK5" s="371"/>
      <c r="AL5" s="366" t="str">
        <f>PROPER(TRIM(INDEX('FR Y-15 Data'!$A$1:$A$36,MATCH(AM5,'FR Y-15 Data'!$C$1:$C$66,0))))</f>
        <v>State Street Corporation</v>
      </c>
      <c r="AM5" s="367">
        <f t="array" ref="AM5">INDEX(Indicators!$C$5:$C$38,SMALL(IF(Indicators!$I$5:$I$38=Graphs!AN5,ROW(Indicators!$I$5:$I$38),""),COUNTIF(Graphs!$AN$4:AN5,Graphs!AN5))-ROW(Indicators!$I$5)+1,0)</f>
        <v>1111435</v>
      </c>
      <c r="AN5" s="369">
        <f>LARGE(Indicators!$I$5:$I$38,ROWS(Graphs!$AN$3:$AN5)-1)</f>
        <v>21656000</v>
      </c>
      <c r="AO5" s="371"/>
      <c r="AP5" s="366" t="str">
        <f>PROPER(TRIM(INDEX('FR Y-15 Data'!$A$1:$A$36,MATCH(AQ5,'FR Y-15 Data'!$C$1:$C$66,0))))</f>
        <v>Bank Of America Corporation</v>
      </c>
      <c r="AQ5" s="367">
        <f t="array" ref="AQ5">INDEX(Indicators!$C$5:$C$38,SMALL(IF(Indicators!$J$5:$J$38=Graphs!AR5,ROW(Indicators!$J$5:$J$38),""),COUNTIF(Graphs!$AR$4:AR5,Graphs!AR5))-ROW(Indicators!$J$5)+1,0)</f>
        <v>1073757</v>
      </c>
      <c r="AR5" s="369">
        <f>LARGE(Indicators!$J$5:$J$38,ROWS(Graphs!$AR$3:$AR5)-1)</f>
        <v>445911.47</v>
      </c>
      <c r="AS5" s="371"/>
      <c r="AT5" s="366" t="str">
        <f>PROPER(TRIM(INDEX('FR Y-15 Data'!$A$1:$A$36,MATCH(AU5,'FR Y-15 Data'!$C$1:$C$66,0))))</f>
        <v>Citigroup Inc.</v>
      </c>
      <c r="AU5" s="367">
        <f t="array" ref="AU5">INDEX(Indicators!$C$5:$C$38,SMALL(IF(Indicators!$K$5:$K$38=Graphs!AV5,ROW(Indicators!$K$5:$K$38),""),COUNTIF(Graphs!$AV$4:AV5,Graphs!AV5))-ROW(Indicators!$K$5)+1,0)</f>
        <v>1951350</v>
      </c>
      <c r="AV5" s="369">
        <f>LARGE(Indicators!$K$5:$K$38,ROWS(Graphs!$AV$3:$AV5)-1)</f>
        <v>54952090</v>
      </c>
      <c r="AW5" s="371"/>
      <c r="AX5" s="366" t="str">
        <f>PROPER(TRIM(INDEX('FR Y-15 Data'!$A$1:$A$36,MATCH(AY5,'FR Y-15 Data'!$C$1:$C$66,0))))</f>
        <v>Morgan Stanley</v>
      </c>
      <c r="AY5" s="367">
        <f t="array" ref="AY5">INDEX(Indicators!$C$5:$C$38,SMALL(IF(Indicators!$L$5:$L$38=Graphs!AZ5,ROW(Indicators!$L$5:$L$38),""),COUNTIF(Graphs!$AZ$4:AZ5,Graphs!AZ5))-ROW(Indicators!$L$5)+1,0)</f>
        <v>2162966</v>
      </c>
      <c r="AZ5" s="369">
        <f>LARGE(Indicators!$L$5:$L$38,ROWS(Graphs!$AZ$3:$AZ5)-1)</f>
        <v>286974.81300000002</v>
      </c>
      <c r="BA5" s="371"/>
      <c r="BB5" s="366" t="str">
        <f>PROPER(TRIM(INDEX('FR Y-15 Data'!$A$1:$A$36,MATCH(BC5,'FR Y-15 Data'!$C$1:$C$66,0))))</f>
        <v>Goldman Sachs Group, Inc., The</v>
      </c>
      <c r="BC5" s="367">
        <f t="array" ref="BC5">INDEX(Indicators!$C$5:$C$38,SMALL(IF(Indicators!$M$5:$M$38=Graphs!BD5,ROW(Indicators!$M$5:$M$38),""),COUNTIF(Graphs!$BD$4:BD5,Graphs!BD5))-ROW(Indicators!$M$5)+1,0)</f>
        <v>2380443</v>
      </c>
      <c r="BD5" s="369">
        <f>LARGE(Indicators!$M$5:$M$38,ROWS(Graphs!$BD$3:$BD5)-1)</f>
        <v>44666</v>
      </c>
      <c r="BE5" s="371"/>
      <c r="BF5" s="366" t="str">
        <f>PROPER(TRIM(INDEX('FR Y-15 Data'!$A$1:$A$36,MATCH(BG5,'FR Y-15 Data'!$C$1:$C$66,0))))</f>
        <v>Jpmorgan Chase &amp; Co.</v>
      </c>
      <c r="BG5" s="367">
        <f t="array" ref="BG5">INDEX(Indicators!$C$5:$C$38,SMALL(IF(Indicators!$N$5:$N$38=Graphs!BH5,ROW(Indicators!$N$5:$N$38),""),COUNTIF(Graphs!$BH$4:BH5,Graphs!BH5))-ROW(Indicators!$N$5)+1,0)</f>
        <v>1039502</v>
      </c>
      <c r="BH5" s="369">
        <f>LARGE(Indicators!$N$5:$N$38,ROWS(Graphs!$BH$3:$BH5)-1)</f>
        <v>616296</v>
      </c>
      <c r="BI5" s="371"/>
      <c r="BJ5" s="366" t="str">
        <f>PROPER(TRIM(INDEX('FR Y-15 Data'!$A$1:$A$36,MATCH(BK5,'FR Y-15 Data'!$C$1:$C$66,0))))</f>
        <v>Jpmorgan Chase &amp; Co.</v>
      </c>
      <c r="BK5" s="367">
        <f t="array" ref="BK5">INDEX(Indicators!$C$5:$C$38,SMALL(IF(Indicators!$O$5:$O$38=Graphs!BL5,ROW(Indicators!$O$5:$O$38),""),COUNTIF(Graphs!$BL$4:BL5,Graphs!BL5))-ROW(Indicators!$O$5)+1,0)</f>
        <v>1039502</v>
      </c>
      <c r="BL5" s="369">
        <f>LARGE(Indicators!$O$5:$O$38,ROWS(Graphs!$BL$3:$BL5)-1)</f>
        <v>625601</v>
      </c>
      <c r="BM5" s="371"/>
      <c r="BN5" s="366" t="str">
        <f>PROPER(TRIM(INDEX('FR Y-15 Data'!$A$1:$A$36,MATCH(BO5,'FR Y-15 Data'!$C$1:$C$66,0))))</f>
        <v>American Express Company</v>
      </c>
      <c r="BO5" s="367">
        <f t="array" ref="BO5">INDEX(Scores!$C$10:$C$43,SMALL(IF(Scores!$P$10:$P$43=Graphs!BP5,ROW(Scores!$P$10:$P$43),""),COUNTIF(Graphs!$BP$4:BP5,Graphs!BP5))-ROW(Scores!$P$10)+1,0)</f>
        <v>1275216</v>
      </c>
      <c r="BP5" s="372">
        <f>LARGE(Scores!$P$10:$P$64,ROWS($BP$3:$BP5)-1)</f>
        <v>0</v>
      </c>
      <c r="BQ5" s="55"/>
      <c r="BR5" s="55"/>
      <c r="BS5" s="55"/>
      <c r="BT5" s="55"/>
      <c r="BU5" s="55"/>
      <c r="BV5" s="55"/>
      <c r="BW5" s="55"/>
      <c r="GN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</row>
    <row r="6" spans="2:211" ht="15" customHeight="1">
      <c r="R6" s="366" t="str">
        <f>PROPER(TRIM(INDEX('FR Y-15 Data'!$A$1:$A$36,MATCH(S6,'FR Y-15 Data'!$C$1:$C$66,0))))</f>
        <v>Citigroup Inc.</v>
      </c>
      <c r="S6" s="367">
        <f t="array" ref="S6">INDEX(Indicators!$C$5:$C$38,SMALL(IF(Indicators!$D$5:$D$38=Graphs!T6,ROW(Indicators!$D$5:$D$38),""),COUNTIF(Graphs!$T$4:T6,Graphs!T6))-ROW(Indicators!$D$5)+1,0)</f>
        <v>1951350</v>
      </c>
      <c r="T6" s="369">
        <f>LARGE(Indicators!$D$5:$D$38,ROWS(Graphs!$T$3:$T6)-1)</f>
        <v>2765877.5</v>
      </c>
      <c r="U6" s="370"/>
      <c r="V6" s="366" t="str">
        <f>PROPER(TRIM(INDEX('FR Y-15 Data'!$A$1:$A$36,MATCH(W6,'FR Y-15 Data'!$C$1:$C$66,0))))</f>
        <v>Citigroup Inc.</v>
      </c>
      <c r="W6" s="367">
        <f t="array" ref="W6">INDEX(Indicators!$C$5:$C$38,SMALL(IF(Indicators!$E$5:$E$38=Graphs!X6,ROW(Indicators!$E$5:$E$38),""),COUNTIF(Graphs!$X$4:X6,Graphs!X6))-ROW(Indicators!$E$5)+1,0)</f>
        <v>1951350</v>
      </c>
      <c r="X6" s="369">
        <f>LARGE(Indicators!$E$5:$E$38,ROWS(Graphs!$X$3:$X6)-1)</f>
        <v>317240</v>
      </c>
      <c r="Y6" s="370"/>
      <c r="Z6" s="366" t="str">
        <f>PROPER(TRIM(INDEX('FR Y-15 Data'!$A$1:$A$36,MATCH(AA6,'FR Y-15 Data'!$C$1:$C$66,0))))</f>
        <v>Bank Of New York Mellon Corporation, The</v>
      </c>
      <c r="AA6" s="367">
        <f t="array" ref="AA6">INDEX(Indicators!$C$5:$C$38,SMALL(IF(Indicators!$F$5:$F$38=Graphs!AB6,ROW(Indicators!$F$5:$F$38),""),COUNTIF(Graphs!$AB$4:AB6,Graphs!AB6))-ROW(Indicators!$F$5)+1,0)</f>
        <v>3587146</v>
      </c>
      <c r="AB6" s="369">
        <f>LARGE(Indicators!$F$5:$F$38,ROWS(Graphs!$AB$3:$AB6)-1)</f>
        <v>248552</v>
      </c>
      <c r="AC6" s="370"/>
      <c r="AD6" s="366" t="str">
        <f>PROPER(TRIM(INDEX('FR Y-15 Data'!$A$1:$A$36,MATCH(AE6,'FR Y-15 Data'!$C$1:$C$66,0))))</f>
        <v>Citigroup Inc.</v>
      </c>
      <c r="AE6" s="367">
        <f t="array" ref="AE6">INDEX(Indicators!$C$5:$C$38,SMALL(IF(Indicators!$G$5:$G$38=Graphs!AF6,ROW(Indicators!$G$5:$G$38),""),COUNTIF(Graphs!$AF$4:AF6,Graphs!AF6))-ROW(Indicators!$G$5)+1,0)</f>
        <v>1951350</v>
      </c>
      <c r="AF6" s="369">
        <f>LARGE(Indicators!$G$5:$G$38,ROWS(Graphs!$AF$3:$AF6)-1)</f>
        <v>505808</v>
      </c>
      <c r="AG6" s="371"/>
      <c r="AH6" s="366" t="str">
        <f>PROPER(TRIM(INDEX('FR Y-15 Data'!$A$1:$A$36,MATCH(AI6,'FR Y-15 Data'!$C$1:$C$66,0))))</f>
        <v>Bank Of New York Mellon Corporation, The</v>
      </c>
      <c r="AI6" s="367">
        <f t="array" ref="AI6">INDEX(Indicators!$C$5:$C$38,SMALL(IF(Indicators!$H$5:$H$38=Graphs!AJ6,ROW(Indicators!$H$5:$H$38),""),COUNTIF(Graphs!$AJ$4:AJ6,Graphs!AJ6))-ROW(Indicators!$H$5)+1,0)</f>
        <v>3587146</v>
      </c>
      <c r="AJ6" s="369">
        <f>LARGE(Indicators!$H$5:$H$38,ROWS(Graphs!$AJ$3:$AJ6)-1)</f>
        <v>218569391</v>
      </c>
      <c r="AK6" s="371"/>
      <c r="AL6" s="366" t="str">
        <f>PROPER(TRIM(INDEX('FR Y-15 Data'!$A$1:$A$36,MATCH(AM6,'FR Y-15 Data'!$C$1:$C$66,0))))</f>
        <v>Jpmorgan Chase &amp; Co.</v>
      </c>
      <c r="AM6" s="367">
        <f t="array" ref="AM6">INDEX(Indicators!$C$5:$C$38,SMALL(IF(Indicators!$I$5:$I$38=Graphs!AN6,ROW(Indicators!$I$5:$I$38),""),COUNTIF(Graphs!$AN$4:AN6,Graphs!AN6))-ROW(Indicators!$I$5)+1,0)</f>
        <v>1039502</v>
      </c>
      <c r="AN6" s="369">
        <f>LARGE(Indicators!$I$5:$I$38,ROWS(Graphs!$AN$3:$AN6)-1)</f>
        <v>21097734</v>
      </c>
      <c r="AO6" s="371"/>
      <c r="AP6" s="366" t="str">
        <f>PROPER(TRIM(INDEX('FR Y-15 Data'!$A$1:$A$36,MATCH(AQ6,'FR Y-15 Data'!$C$1:$C$66,0))))</f>
        <v>Citigroup Inc.</v>
      </c>
      <c r="AQ6" s="367">
        <f t="array" ref="AQ6">INDEX(Indicators!$C$5:$C$38,SMALL(IF(Indicators!$J$5:$J$38=Graphs!AR6,ROW(Indicators!$J$5:$J$38),""),COUNTIF(Graphs!$AR$4:AR6,Graphs!AR6))-ROW(Indicators!$J$5)+1,0)</f>
        <v>1951350</v>
      </c>
      <c r="AR6" s="369">
        <f>LARGE(Indicators!$J$5:$J$38,ROWS(Graphs!$AR$3:$AR6)-1)</f>
        <v>370772</v>
      </c>
      <c r="AS6" s="371"/>
      <c r="AT6" s="366" t="str">
        <f>PROPER(TRIM(INDEX('FR Y-15 Data'!$A$1:$A$36,MATCH(AU6,'FR Y-15 Data'!$C$1:$C$66,0))))</f>
        <v>Goldman Sachs Group, Inc., The</v>
      </c>
      <c r="AU6" s="367">
        <f t="array" ref="AU6">INDEX(Indicators!$C$5:$C$38,SMALL(IF(Indicators!$K$5:$K$38=Graphs!AV6,ROW(Indicators!$K$5:$K$38),""),COUNTIF(Graphs!$AV$4:AV6,Graphs!AV6))-ROW(Indicators!$K$5)+1,0)</f>
        <v>2380443</v>
      </c>
      <c r="AV6" s="369">
        <f>LARGE(Indicators!$K$5:$K$38,ROWS(Graphs!$AV$3:$AV6)-1)</f>
        <v>53478619</v>
      </c>
      <c r="AW6" s="371"/>
      <c r="AX6" s="366" t="str">
        <f>PROPER(TRIM(INDEX('FR Y-15 Data'!$A$1:$A$36,MATCH(AY6,'FR Y-15 Data'!$C$1:$C$66,0))))</f>
        <v>Bank Of America Corporation</v>
      </c>
      <c r="AY6" s="367">
        <f t="array" ref="AY6">INDEX(Indicators!$C$5:$C$38,SMALL(IF(Indicators!$L$5:$L$38=Graphs!AZ6,ROW(Indicators!$L$5:$L$38),""),COUNTIF(Graphs!$AZ$4:AZ6,Graphs!AZ6))-ROW(Indicators!$L$5)+1,0)</f>
        <v>1073757</v>
      </c>
      <c r="AZ6" s="369">
        <f>LARGE(Indicators!$L$5:$L$38,ROWS(Graphs!$AZ$3:$AZ6)-1)</f>
        <v>229594.57</v>
      </c>
      <c r="BA6" s="371"/>
      <c r="BB6" s="366" t="str">
        <f>PROPER(TRIM(INDEX('FR Y-15 Data'!$A$1:$A$36,MATCH(BC6,'FR Y-15 Data'!$C$1:$C$66,0))))</f>
        <v>Citigroup Inc.</v>
      </c>
      <c r="BC6" s="367">
        <f t="array" ref="BC6">INDEX(Indicators!$C$5:$C$38,SMALL(IF(Indicators!$M$5:$M$38=Graphs!BD6,ROW(Indicators!$M$5:$M$38),""),COUNTIF(Graphs!$BD$4:BD6,Graphs!BD6))-ROW(Indicators!$M$5)+1,0)</f>
        <v>1951350</v>
      </c>
      <c r="BD6" s="369">
        <f>LARGE(Indicators!$M$5:$M$38,ROWS(Graphs!$BD$3:$BD6)-1)</f>
        <v>43018</v>
      </c>
      <c r="BE6" s="371"/>
      <c r="BF6" s="366" t="str">
        <f>PROPER(TRIM(INDEX('FR Y-15 Data'!$A$1:$A$36,MATCH(BG6,'FR Y-15 Data'!$C$1:$C$66,0))))</f>
        <v>Morgan Stanley</v>
      </c>
      <c r="BG6" s="367">
        <f t="array" ref="BG6">INDEX(Indicators!$C$5:$C$38,SMALL(IF(Indicators!$N$5:$N$38=Graphs!BH6,ROW(Indicators!$N$5:$N$38),""),COUNTIF(Graphs!$BH$4:BH6,Graphs!BH6))-ROW(Indicators!$N$5)+1,0)</f>
        <v>2162966</v>
      </c>
      <c r="BH6" s="369">
        <f>LARGE(Indicators!$N$5:$N$38,ROWS(Graphs!$BH$3:$BH6)-1)</f>
        <v>350157</v>
      </c>
      <c r="BI6" s="371"/>
      <c r="BJ6" s="366" t="str">
        <f>PROPER(TRIM(INDEX('FR Y-15 Data'!$A$1:$A$36,MATCH(BK6,'FR Y-15 Data'!$C$1:$C$66,0))))</f>
        <v>Morgan Stanley</v>
      </c>
      <c r="BK6" s="367">
        <f t="array" ref="BK6">INDEX(Indicators!$C$5:$C$38,SMALL(IF(Indicators!$O$5:$O$38=Graphs!BL6,ROW(Indicators!$O$5:$O$38),""),COUNTIF(Graphs!$BL$4:BL6,Graphs!BL6))-ROW(Indicators!$O$5)+1,0)</f>
        <v>2162966</v>
      </c>
      <c r="BL6" s="369">
        <f>LARGE(Indicators!$O$5:$O$38,ROWS(Graphs!$BL$3:$BL6)-1)</f>
        <v>298181.19300000003</v>
      </c>
      <c r="BM6" s="371"/>
      <c r="BN6" s="366" t="str">
        <f>PROPER(TRIM(INDEX('FR Y-15 Data'!$A$1:$A$36,MATCH(BO6,'FR Y-15 Data'!$C$1:$C$66,0))))</f>
        <v>Bancwest Corporation</v>
      </c>
      <c r="BO6" s="367">
        <f t="array" ref="BO6">INDEX(Scores!$C$10:$C$43,SMALL(IF(Scores!$P$10:$P$43=Graphs!BP6,ROW(Scores!$P$10:$P$43),""),COUNTIF(Graphs!$BP$4:BP6,Graphs!BP6))-ROW(Scores!$P$10)+1,0)</f>
        <v>1025608</v>
      </c>
      <c r="BP6" s="372">
        <f>LARGE(Scores!$P$10:$P$64,ROWS($BP$3:$BP6)-1)</f>
        <v>0</v>
      </c>
      <c r="BQ6" s="55"/>
      <c r="BR6" s="55"/>
      <c r="BS6" s="55"/>
      <c r="BT6" s="55"/>
      <c r="BU6" s="55"/>
      <c r="BV6" s="55"/>
      <c r="BW6" s="55"/>
      <c r="GP6" s="44"/>
      <c r="GQ6" s="44"/>
      <c r="GR6" s="44"/>
      <c r="GS6" s="44"/>
      <c r="GT6" s="44"/>
      <c r="GU6" s="44"/>
      <c r="GV6" s="44"/>
      <c r="GW6" s="44"/>
      <c r="GX6" s="44"/>
      <c r="GY6" s="44"/>
      <c r="GZ6" s="44"/>
      <c r="HA6" s="44"/>
      <c r="HB6" s="44"/>
      <c r="HC6" s="44"/>
    </row>
    <row r="7" spans="2:211" ht="15" customHeight="1">
      <c r="R7" s="366" t="str">
        <f>PROPER(TRIM(INDEX('FR Y-15 Data'!$A$1:$A$36,MATCH(S7,'FR Y-15 Data'!$C$1:$C$66,0))))</f>
        <v>Wells Fargo &amp; Company</v>
      </c>
      <c r="S7" s="367">
        <f t="array" ref="S7">INDEX(Indicators!$C$5:$C$38,SMALL(IF(Indicators!$D$5:$D$38=Graphs!T7,ROW(Indicators!$D$5:$D$38),""),COUNTIF(Graphs!$T$4:T7,Graphs!T7))-ROW(Indicators!$D$5)+1,0)</f>
        <v>1120754</v>
      </c>
      <c r="T7" s="369">
        <f>LARGE(Indicators!$D$5:$D$38,ROWS(Graphs!$T$3:$T7)-1)</f>
        <v>2191752.2999999998</v>
      </c>
      <c r="U7" s="370"/>
      <c r="V7" s="366" t="str">
        <f>PROPER(TRIM(INDEX('FR Y-15 Data'!$A$1:$A$36,MATCH(W7,'FR Y-15 Data'!$C$1:$C$66,0))))</f>
        <v>Bank Of America Corporation</v>
      </c>
      <c r="W7" s="367">
        <f t="array" ref="W7">INDEX(Indicators!$C$5:$C$38,SMALL(IF(Indicators!$E$5:$E$38=Graphs!X7,ROW(Indicators!$E$5:$E$38),""),COUNTIF(Graphs!$X$4:X7,Graphs!X7))-ROW(Indicators!$E$5)+1,0)</f>
        <v>1073757</v>
      </c>
      <c r="X7" s="369">
        <f>LARGE(Indicators!$E$5:$E$38,ROWS(Graphs!$X$3:$X7)-1)</f>
        <v>305364.43400000001</v>
      </c>
      <c r="Y7" s="370"/>
      <c r="Z7" s="366" t="str">
        <f>PROPER(TRIM(INDEX('FR Y-15 Data'!$A$1:$A$36,MATCH(AA7,'FR Y-15 Data'!$C$1:$C$66,0))))</f>
        <v>Bank Of America Corporation</v>
      </c>
      <c r="AA7" s="367">
        <f t="array" ref="AA7">INDEX(Indicators!$C$5:$C$38,SMALL(IF(Indicators!$F$5:$F$38=Graphs!AB7,ROW(Indicators!$F$5:$F$38),""),COUNTIF(Graphs!$AB$4:AB7,Graphs!AB7))-ROW(Indicators!$F$5)+1,0)</f>
        <v>1073757</v>
      </c>
      <c r="AB7" s="369">
        <f>LARGE(Indicators!$F$5:$F$38,ROWS(Graphs!$AB$3:$AB7)-1)</f>
        <v>227579.65299999999</v>
      </c>
      <c r="AC7" s="370"/>
      <c r="AD7" s="366" t="str">
        <f>PROPER(TRIM(INDEX('FR Y-15 Data'!$A$1:$A$36,MATCH(AE7,'FR Y-15 Data'!$C$1:$C$66,0))))</f>
        <v>Bank Of America Corporation</v>
      </c>
      <c r="AE7" s="367">
        <f t="array" ref="AE7">INDEX(Indicators!$C$5:$C$38,SMALL(IF(Indicators!$G$5:$G$38=Graphs!AF7,ROW(Indicators!$G$5:$G$38),""),COUNTIF(Graphs!$AF$4:AF7,Graphs!AF7))-ROW(Indicators!$G$5)+1,0)</f>
        <v>1073757</v>
      </c>
      <c r="AF7" s="369">
        <f>LARGE(Indicators!$G$5:$G$38,ROWS(Graphs!$AF$3:$AF7)-1)</f>
        <v>499710.859</v>
      </c>
      <c r="AG7" s="371"/>
      <c r="AH7" s="366" t="str">
        <f>PROPER(TRIM(INDEX('FR Y-15 Data'!$A$1:$A$36,MATCH(AI7,'FR Y-15 Data'!$C$1:$C$66,0))))</f>
        <v>Bank Of America Corporation</v>
      </c>
      <c r="AI7" s="367">
        <f t="array" ref="AI7">INDEX(Indicators!$C$5:$C$38,SMALL(IF(Indicators!$H$5:$H$38=Graphs!AJ7,ROW(Indicators!$H$5:$H$38),""),COUNTIF(Graphs!$AJ$4:AJ7,Graphs!AJ7))-ROW(Indicators!$H$5)+1,0)</f>
        <v>1073757</v>
      </c>
      <c r="AJ7" s="369">
        <f>LARGE(Indicators!$H$5:$H$38,ROWS(Graphs!$AJ$3:$AJ7)-1)</f>
        <v>93184380.421000004</v>
      </c>
      <c r="AK7" s="371"/>
      <c r="AL7" s="366" t="str">
        <f>PROPER(TRIM(INDEX('FR Y-15 Data'!$A$1:$A$36,MATCH(AM7,'FR Y-15 Data'!$C$1:$C$66,0))))</f>
        <v>Citigroup Inc.</v>
      </c>
      <c r="AM7" s="367">
        <f t="array" ref="AM7">INDEX(Indicators!$C$5:$C$38,SMALL(IF(Indicators!$I$5:$I$38=Graphs!AN7,ROW(Indicators!$I$5:$I$38),""),COUNTIF(Graphs!$AN$4:AN7,Graphs!AN7))-ROW(Indicators!$I$5)+1,0)</f>
        <v>1951350</v>
      </c>
      <c r="AN7" s="369">
        <f>LARGE(Indicators!$I$5:$I$38,ROWS(Graphs!$AN$3:$AN7)-1)</f>
        <v>12520569</v>
      </c>
      <c r="AO7" s="371"/>
      <c r="AP7" s="366" t="str">
        <f>PROPER(TRIM(INDEX('FR Y-15 Data'!$A$1:$A$36,MATCH(AQ7,'FR Y-15 Data'!$C$1:$C$66,0))))</f>
        <v>Goldman Sachs Group, Inc., The</v>
      </c>
      <c r="AQ7" s="367">
        <f t="array" ref="AQ7">INDEX(Indicators!$C$5:$C$38,SMALL(IF(Indicators!$J$5:$J$38=Graphs!AR7,ROW(Indicators!$J$5:$J$38),""),COUNTIF(Graphs!$AR$4:AR7,Graphs!AR7))-ROW(Indicators!$J$5)+1,0)</f>
        <v>2380443</v>
      </c>
      <c r="AR7" s="369">
        <f>LARGE(Indicators!$J$5:$J$38,ROWS(Graphs!$AR$3:$AR7)-1)</f>
        <v>346000</v>
      </c>
      <c r="AS7" s="371"/>
      <c r="AT7" s="366" t="str">
        <f>PROPER(TRIM(INDEX('FR Y-15 Data'!$A$1:$A$36,MATCH(AU7,'FR Y-15 Data'!$C$1:$C$66,0))))</f>
        <v>Bank Of America Corporation</v>
      </c>
      <c r="AU7" s="367">
        <f t="array" ref="AU7">INDEX(Indicators!$C$5:$C$38,SMALL(IF(Indicators!$K$5:$K$38=Graphs!AV7,ROW(Indicators!$K$5:$K$38),""),COUNTIF(Graphs!$AV$4:AV7,Graphs!AV7))-ROW(Indicators!$K$5)+1,0)</f>
        <v>1073757</v>
      </c>
      <c r="AV7" s="369">
        <f>LARGE(Indicators!$K$5:$K$38,ROWS(Graphs!$AV$3:$AV7)-1)</f>
        <v>52034159.509999998</v>
      </c>
      <c r="AW7" s="371"/>
      <c r="AX7" s="366" t="str">
        <f>PROPER(TRIM(INDEX('FR Y-15 Data'!$A$1:$A$36,MATCH(AY7,'FR Y-15 Data'!$C$1:$C$66,0))))</f>
        <v>Citigroup Inc.</v>
      </c>
      <c r="AY7" s="367">
        <f t="array" ref="AY7">INDEX(Indicators!$C$5:$C$38,SMALL(IF(Indicators!$L$5:$L$38=Graphs!AZ7,ROW(Indicators!$L$5:$L$38),""),COUNTIF(Graphs!$AZ$4:AZ7,Graphs!AZ7))-ROW(Indicators!$L$5)+1,0)</f>
        <v>1951350</v>
      </c>
      <c r="AZ7" s="369">
        <f>LARGE(Indicators!$L$5:$L$38,ROWS(Graphs!$AZ$3:$AZ7)-1)</f>
        <v>168630</v>
      </c>
      <c r="BA7" s="371"/>
      <c r="BB7" s="366" t="str">
        <f>PROPER(TRIM(INDEX('FR Y-15 Data'!$A$1:$A$36,MATCH(BC7,'FR Y-15 Data'!$C$1:$C$66,0))))</f>
        <v>Wells Fargo &amp; Company</v>
      </c>
      <c r="BC7" s="367">
        <f t="array" ref="BC7">INDEX(Indicators!$C$5:$C$38,SMALL(IF(Indicators!$M$5:$M$38=Graphs!BD7,ROW(Indicators!$M$5:$M$38),""),COUNTIF(Graphs!$BD$4:BD7,Graphs!BD7))-ROW(Indicators!$M$5)+1,0)</f>
        <v>1120754</v>
      </c>
      <c r="BD7" s="369">
        <f>LARGE(Indicators!$M$5:$M$38,ROWS(Graphs!$BD$3:$BD7)-1)</f>
        <v>32324</v>
      </c>
      <c r="BE7" s="371"/>
      <c r="BF7" s="366" t="str">
        <f>PROPER(TRIM(INDEX('FR Y-15 Data'!$A$1:$A$36,MATCH(BG7,'FR Y-15 Data'!$C$1:$C$66,0))))</f>
        <v>Bank Of America Corporation</v>
      </c>
      <c r="BG7" s="367">
        <f t="array" ref="BG7">INDEX(Indicators!$C$5:$C$38,SMALL(IF(Indicators!$N$5:$N$38=Graphs!BH7,ROW(Indicators!$N$5:$N$38),""),COUNTIF(Graphs!$BH$4:BH7,Graphs!BH7))-ROW(Indicators!$N$5)+1,0)</f>
        <v>1073757</v>
      </c>
      <c r="BH7" s="369">
        <f>LARGE(Indicators!$N$5:$N$38,ROWS(Graphs!$BH$3:$BH7)-1)</f>
        <v>350009</v>
      </c>
      <c r="BI7" s="371"/>
      <c r="BJ7" s="366" t="str">
        <f>PROPER(TRIM(INDEX('FR Y-15 Data'!$A$1:$A$36,MATCH(BK7,'FR Y-15 Data'!$C$1:$C$66,0))))</f>
        <v>Goldman Sachs Group, Inc., The</v>
      </c>
      <c r="BK7" s="367">
        <f t="array" ref="BK7">INDEX(Indicators!$C$5:$C$38,SMALL(IF(Indicators!$O$5:$O$38=Graphs!BL7,ROW(Indicators!$O$5:$O$38),""),COUNTIF(Graphs!$BL$4:BL7,Graphs!BL7))-ROW(Indicators!$O$5)+1,0)</f>
        <v>2380443</v>
      </c>
      <c r="BL7" s="369">
        <f>LARGE(Indicators!$O$5:$O$38,ROWS(Graphs!$BL$3:$BL7)-1)</f>
        <v>289812</v>
      </c>
      <c r="BM7" s="371"/>
      <c r="BN7" s="366" t="str">
        <f>PROPER(TRIM(INDEX('FR Y-15 Data'!$A$1:$A$36,MATCH(BO7,'FR Y-15 Data'!$C$1:$C$66,0))))</f>
        <v>Bank Of America Corporation</v>
      </c>
      <c r="BO7" s="367">
        <f t="array" ref="BO7">INDEX(Scores!$C$10:$C$43,SMALL(IF(Scores!$P$10:$P$43=Graphs!BP7,ROW(Scores!$P$10:$P$43),""),COUNTIF(Graphs!$BP$4:BP7,Graphs!BP7))-ROW(Scores!$P$10)+1,0)</f>
        <v>1073757</v>
      </c>
      <c r="BP7" s="372">
        <f>LARGE(Scores!$P$10:$P$64,ROWS($BP$3:$BP7)-1)</f>
        <v>0</v>
      </c>
      <c r="BQ7" s="55"/>
      <c r="BR7" s="55"/>
      <c r="BS7" s="55"/>
      <c r="BT7" s="55"/>
      <c r="BU7" s="55"/>
      <c r="BV7" s="55"/>
      <c r="BW7" s="55"/>
    </row>
    <row r="8" spans="2:211" ht="15" customHeight="1">
      <c r="R8" s="366" t="str">
        <f>PROPER(TRIM(INDEX('FR Y-15 Data'!$A$1:$A$36,MATCH(S8,'FR Y-15 Data'!$C$1:$C$66,0))))</f>
        <v>Goldman Sachs Group, Inc., The</v>
      </c>
      <c r="S8" s="367">
        <f t="array" ref="S8">INDEX(Indicators!$C$5:$C$38,SMALL(IF(Indicators!$D$5:$D$38=Graphs!T8,ROW(Indicators!$D$5:$D$38),""),COUNTIF(Graphs!$T$4:T8,Graphs!T8))-ROW(Indicators!$D$5)+1,0)</f>
        <v>2380443</v>
      </c>
      <c r="T8" s="369">
        <f>LARGE(Indicators!$D$5:$D$38,ROWS(Graphs!$T$3:$T8)-1)</f>
        <v>1484013</v>
      </c>
      <c r="U8" s="370"/>
      <c r="V8" s="366" t="str">
        <f>PROPER(TRIM(INDEX('FR Y-15 Data'!$A$1:$A$36,MATCH(W8,'FR Y-15 Data'!$C$1:$C$66,0))))</f>
        <v>Morgan Stanley</v>
      </c>
      <c r="W8" s="367">
        <f t="array" ref="W8">INDEX(Indicators!$C$5:$C$38,SMALL(IF(Indicators!$E$5:$E$38=Graphs!X8,ROW(Indicators!$E$5:$E$38),""),COUNTIF(Graphs!$X$4:X8,Graphs!X8))-ROW(Indicators!$E$5)+1,0)</f>
        <v>2162966</v>
      </c>
      <c r="X8" s="369">
        <f>LARGE(Indicators!$E$5:$E$38,ROWS(Graphs!$X$3:$X8)-1)</f>
        <v>221710.37700000001</v>
      </c>
      <c r="Y8" s="370"/>
      <c r="Z8" s="366" t="str">
        <f>PROPER(TRIM(INDEX('FR Y-15 Data'!$A$1:$A$36,MATCH(AA8,'FR Y-15 Data'!$C$1:$C$66,0))))</f>
        <v>State Street Corporation</v>
      </c>
      <c r="AA8" s="367">
        <f t="array" ref="AA8">INDEX(Indicators!$C$5:$C$38,SMALL(IF(Indicators!$F$5:$F$38=Graphs!AB8,ROW(Indicators!$F$5:$F$38),""),COUNTIF(Graphs!$AB$4:AB8,Graphs!AB8))-ROW(Indicators!$F$5)+1,0)</f>
        <v>1111435</v>
      </c>
      <c r="AB8" s="369">
        <f>LARGE(Indicators!$F$5:$F$38,ROWS(Graphs!$AB$3:$AB8)-1)</f>
        <v>214038.86900000001</v>
      </c>
      <c r="AC8" s="370"/>
      <c r="AD8" s="366" t="str">
        <f>PROPER(TRIM(INDEX('FR Y-15 Data'!$A$1:$A$36,MATCH(AE8,'FR Y-15 Data'!$C$1:$C$66,0))))</f>
        <v>Goldman Sachs Group, Inc., The</v>
      </c>
      <c r="AE8" s="367">
        <f t="array" ref="AE8">INDEX(Indicators!$C$5:$C$38,SMALL(IF(Indicators!$G$5:$G$38=Graphs!AF8,ROW(Indicators!$G$5:$G$38),""),COUNTIF(Graphs!$AF$4:AF8,Graphs!AF8))-ROW(Indicators!$G$5)+1,0)</f>
        <v>2380443</v>
      </c>
      <c r="AF8" s="369">
        <f>LARGE(Indicators!$G$5:$G$38,ROWS(Graphs!$AF$3:$AF8)-1)</f>
        <v>328277</v>
      </c>
      <c r="AG8" s="371"/>
      <c r="AH8" s="366" t="str">
        <f>PROPER(TRIM(INDEX('FR Y-15 Data'!$A$1:$A$36,MATCH(AI8,'FR Y-15 Data'!$C$1:$C$66,0))))</f>
        <v>Deutsche Bank Trust Corporation</v>
      </c>
      <c r="AI8" s="367">
        <f t="array" ref="AI8">INDEX(Indicators!$C$5:$C$38,SMALL(IF(Indicators!$H$5:$H$38=Graphs!AJ8,ROW(Indicators!$H$5:$H$38),""),COUNTIF(Graphs!$AJ$4:AJ8,Graphs!AJ8))-ROW(Indicators!$H$5)+1,0)</f>
        <v>1032473</v>
      </c>
      <c r="AJ8" s="369">
        <f>LARGE(Indicators!$H$5:$H$38,ROWS(Graphs!$AJ$3:$AJ8)-1)</f>
        <v>76992937</v>
      </c>
      <c r="AK8" s="371"/>
      <c r="AL8" s="366" t="str">
        <f>PROPER(TRIM(INDEX('FR Y-15 Data'!$A$1:$A$36,MATCH(AM8,'FR Y-15 Data'!$C$1:$C$66,0))))</f>
        <v>Northern Trust Corporation</v>
      </c>
      <c r="AM8" s="367">
        <f t="array" ref="AM8">INDEX(Indicators!$C$5:$C$38,SMALL(IF(Indicators!$I$5:$I$38=Graphs!AN8,ROW(Indicators!$I$5:$I$38),""),COUNTIF(Graphs!$AN$4:AN8,Graphs!AN8))-ROW(Indicators!$I$5)+1,0)</f>
        <v>1199611</v>
      </c>
      <c r="AN8" s="369">
        <f>LARGE(Indicators!$I$5:$I$38,ROWS(Graphs!$AN$3:$AN8)-1)</f>
        <v>5968800</v>
      </c>
      <c r="AO8" s="371"/>
      <c r="AP8" s="366" t="str">
        <f>PROPER(TRIM(INDEX('FR Y-15 Data'!$A$1:$A$36,MATCH(AQ8,'FR Y-15 Data'!$C$1:$C$66,0))))</f>
        <v>Morgan Stanley</v>
      </c>
      <c r="AQ8" s="367">
        <f t="array" ref="AQ8">INDEX(Indicators!$C$5:$C$38,SMALL(IF(Indicators!$J$5:$J$38=Graphs!AR8,ROW(Indicators!$J$5:$J$38),""),COUNTIF(Graphs!$AR$4:AR8,Graphs!AR8))-ROW(Indicators!$J$5)+1,0)</f>
        <v>2162966</v>
      </c>
      <c r="AR8" s="369">
        <f>LARGE(Indicators!$J$5:$J$38,ROWS(Graphs!$AR$3:$AR8)-1)</f>
        <v>331344</v>
      </c>
      <c r="AS8" s="371"/>
      <c r="AT8" s="366" t="str">
        <f>PROPER(TRIM(INDEX('FR Y-15 Data'!$A$1:$A$36,MATCH(AU8,'FR Y-15 Data'!$C$1:$C$66,0))))</f>
        <v>Morgan Stanley</v>
      </c>
      <c r="AU8" s="367">
        <f t="array" ref="AU8">INDEX(Indicators!$C$5:$C$38,SMALL(IF(Indicators!$K$5:$K$38=Graphs!AV8,ROW(Indicators!$K$5:$K$38),""),COUNTIF(Graphs!$AV$4:AV8,Graphs!AV8))-ROW(Indicators!$K$5)+1,0)</f>
        <v>2162966</v>
      </c>
      <c r="AV8" s="369">
        <f>LARGE(Indicators!$K$5:$K$38,ROWS(Graphs!$AV$3:$AV8)-1)</f>
        <v>34515890.479999997</v>
      </c>
      <c r="AW8" s="371"/>
      <c r="AX8" s="366" t="str">
        <f>PROPER(TRIM(INDEX('FR Y-15 Data'!$A$1:$A$36,MATCH(AY8,'FR Y-15 Data'!$C$1:$C$66,0))))</f>
        <v>Goldman Sachs Group, Inc., The</v>
      </c>
      <c r="AY8" s="367">
        <f t="array" ref="AY8">INDEX(Indicators!$C$5:$C$38,SMALL(IF(Indicators!$L$5:$L$38=Graphs!AZ8,ROW(Indicators!$L$5:$L$38),""),COUNTIF(Graphs!$AZ$4:AZ8,Graphs!AZ8))-ROW(Indicators!$L$5)+1,0)</f>
        <v>2380443</v>
      </c>
      <c r="AZ8" s="369">
        <f>LARGE(Indicators!$L$5:$L$38,ROWS(Graphs!$AZ$3:$AZ8)-1)</f>
        <v>148746</v>
      </c>
      <c r="BA8" s="371"/>
      <c r="BB8" s="366" t="str">
        <f>PROPER(TRIM(INDEX('FR Y-15 Data'!$A$1:$A$36,MATCH(BC8,'FR Y-15 Data'!$C$1:$C$66,0))))</f>
        <v>Bank Of America Corporation</v>
      </c>
      <c r="BC8" s="367">
        <f t="array" ref="BC8">INDEX(Indicators!$C$5:$C$38,SMALL(IF(Indicators!$M$5:$M$38=Graphs!BD8,ROW(Indicators!$M$5:$M$38),""),COUNTIF(Graphs!$BD$4:BD8,Graphs!BD8))-ROW(Indicators!$M$5)+1,0)</f>
        <v>1073757</v>
      </c>
      <c r="BD8" s="369">
        <f>LARGE(Indicators!$M$5:$M$38,ROWS(Graphs!$BD$3:$BD8)-1)</f>
        <v>22265</v>
      </c>
      <c r="BE8" s="371"/>
      <c r="BF8" s="366" t="str">
        <f>PROPER(TRIM(INDEX('FR Y-15 Data'!$A$1:$A$36,MATCH(BG8,'FR Y-15 Data'!$C$1:$C$66,0))))</f>
        <v>Goldman Sachs Group, Inc., The</v>
      </c>
      <c r="BG8" s="367">
        <f t="array" ref="BG8">INDEX(Indicators!$C$5:$C$38,SMALL(IF(Indicators!$N$5:$N$38=Graphs!BH8,ROW(Indicators!$N$5:$N$38),""),COUNTIF(Graphs!$BH$4:BH8,Graphs!BH8))-ROW(Indicators!$N$5)+1,0)</f>
        <v>2380443</v>
      </c>
      <c r="BH8" s="369">
        <f>LARGE(Indicators!$N$5:$N$38,ROWS(Graphs!$BH$3:$BH8)-1)</f>
        <v>333240</v>
      </c>
      <c r="BI8" s="371"/>
      <c r="BJ8" s="366" t="str">
        <f>PROPER(TRIM(INDEX('FR Y-15 Data'!$A$1:$A$36,MATCH(BK8,'FR Y-15 Data'!$C$1:$C$66,0))))</f>
        <v>Bank Of America Corporation</v>
      </c>
      <c r="BK8" s="367">
        <f t="array" ref="BK8">INDEX(Indicators!$C$5:$C$38,SMALL(IF(Indicators!$O$5:$O$38=Graphs!BL8,ROW(Indicators!$O$5:$O$38),""),COUNTIF(Graphs!$BL$4:BL8,Graphs!BL8))-ROW(Indicators!$O$5)+1,0)</f>
        <v>1073757</v>
      </c>
      <c r="BL8" s="369">
        <f>LARGE(Indicators!$O$5:$O$38,ROWS(Graphs!$BL$3:$BL8)-1)</f>
        <v>278666</v>
      </c>
      <c r="BM8" s="371"/>
      <c r="BN8" s="366" t="str">
        <f>PROPER(TRIM(INDEX('FR Y-15 Data'!$A$1:$A$36,MATCH(BO8,'FR Y-15 Data'!$C$1:$C$66,0))))</f>
        <v>Bank Of New York Mellon Corporation, The</v>
      </c>
      <c r="BO8" s="367">
        <f t="array" ref="BO8">INDEX(Scores!$C$10:$C$43,SMALL(IF(Scores!$P$10:$P$43=Graphs!BP8,ROW(Scores!$P$10:$P$43),""),COUNTIF(Graphs!$BP$4:BP8,Graphs!BP8))-ROW(Scores!$P$10)+1,0)</f>
        <v>3587146</v>
      </c>
      <c r="BP8" s="372">
        <f>LARGE(Scores!$P$10:$P$64,ROWS($BP$3:$BP8)-1)</f>
        <v>0</v>
      </c>
      <c r="BQ8" s="55"/>
      <c r="BR8" s="55"/>
      <c r="BS8" s="55"/>
      <c r="BT8" s="55"/>
      <c r="BU8" s="55"/>
      <c r="BV8" s="55"/>
      <c r="BW8" s="55"/>
    </row>
    <row r="9" spans="2:211" ht="15" customHeight="1">
      <c r="R9" s="366" t="str">
        <f>PROPER(TRIM(INDEX('FR Y-15 Data'!$A$1:$A$36,MATCH(S9,'FR Y-15 Data'!$C$1:$C$66,0))))</f>
        <v>Morgan Stanley</v>
      </c>
      <c r="S9" s="367">
        <f t="array" ref="S9">INDEX(Indicators!$C$5:$C$38,SMALL(IF(Indicators!$D$5:$D$38=Graphs!T9,ROW(Indicators!$D$5:$D$38),""),COUNTIF(Graphs!$T$4:T9,Graphs!T9))-ROW(Indicators!$D$5)+1,0)</f>
        <v>2162966</v>
      </c>
      <c r="T9" s="369">
        <f>LARGE(Indicators!$D$5:$D$38,ROWS(Graphs!$T$3:$T9)-1)</f>
        <v>1281234.6640000001</v>
      </c>
      <c r="U9" s="370"/>
      <c r="V9" s="366" t="str">
        <f>PROPER(TRIM(INDEX('FR Y-15 Data'!$A$1:$A$36,MATCH(W9,'FR Y-15 Data'!$C$1:$C$66,0))))</f>
        <v>Wells Fargo &amp; Company</v>
      </c>
      <c r="W9" s="367">
        <f t="array" ref="W9">INDEX(Indicators!$C$5:$C$38,SMALL(IF(Indicators!$E$5:$E$38=Graphs!X9,ROW(Indicators!$E$5:$E$38),""),COUNTIF(Graphs!$X$4:X9,Graphs!X9))-ROW(Indicators!$E$5)+1,0)</f>
        <v>1120754</v>
      </c>
      <c r="X9" s="369">
        <f>LARGE(Indicators!$E$5:$E$38,ROWS(Graphs!$X$3:$X9)-1)</f>
        <v>167007</v>
      </c>
      <c r="Y9" s="370"/>
      <c r="Z9" s="366" t="str">
        <f>PROPER(TRIM(INDEX('FR Y-15 Data'!$A$1:$A$36,MATCH(AA9,'FR Y-15 Data'!$C$1:$C$66,0))))</f>
        <v>Wells Fargo &amp; Company</v>
      </c>
      <c r="AA9" s="367">
        <f t="array" ref="AA9">INDEX(Indicators!$C$5:$C$38,SMALL(IF(Indicators!$F$5:$F$38=Graphs!AB9,ROW(Indicators!$F$5:$F$38),""),COUNTIF(Graphs!$AB$4:AB9,Graphs!AB9))-ROW(Indicators!$F$5)+1,0)</f>
        <v>1120754</v>
      </c>
      <c r="AB9" s="369">
        <f>LARGE(Indicators!$F$5:$F$38,ROWS(Graphs!$AB$3:$AB9)-1)</f>
        <v>170841</v>
      </c>
      <c r="AC9" s="370"/>
      <c r="AD9" s="366" t="str">
        <f>PROPER(TRIM(INDEX('FR Y-15 Data'!$A$1:$A$36,MATCH(AE9,'FR Y-15 Data'!$C$1:$C$66,0))))</f>
        <v>Morgan Stanley</v>
      </c>
      <c r="AE9" s="367">
        <f t="array" ref="AE9">INDEX(Indicators!$C$5:$C$38,SMALL(IF(Indicators!$G$5:$G$38=Graphs!AF9,ROW(Indicators!$G$5:$G$38),""),COUNTIF(Graphs!$AF$4:AF9,Graphs!AF9))-ROW(Indicators!$G$5)+1,0)</f>
        <v>2162966</v>
      </c>
      <c r="AF9" s="369">
        <f>LARGE(Indicators!$G$5:$G$38,ROWS(Graphs!$AF$3:$AF9)-1)</f>
        <v>246186.644</v>
      </c>
      <c r="AG9" s="371"/>
      <c r="AH9" s="366" t="str">
        <f>PROPER(TRIM(INDEX('FR Y-15 Data'!$A$1:$A$36,MATCH(AI9,'FR Y-15 Data'!$C$1:$C$66,0))))</f>
        <v>State Street Corporation</v>
      </c>
      <c r="AI9" s="367">
        <f t="array" ref="AI9">INDEX(Indicators!$C$5:$C$38,SMALL(IF(Indicators!$H$5:$H$38=Graphs!AJ9,ROW(Indicators!$H$5:$H$38),""),COUNTIF(Graphs!$AJ$4:AJ9,Graphs!AJ9))-ROW(Indicators!$H$5)+1,0)</f>
        <v>1111435</v>
      </c>
      <c r="AJ9" s="369">
        <f>LARGE(Indicators!$H$5:$H$38,ROWS(Graphs!$AJ$3:$AJ9)-1)</f>
        <v>71014770.240999997</v>
      </c>
      <c r="AK9" s="371"/>
      <c r="AL9" s="366" t="str">
        <f>PROPER(TRIM(INDEX('FR Y-15 Data'!$A$1:$A$36,MATCH(AM9,'FR Y-15 Data'!$C$1:$C$66,0))))</f>
        <v>Wells Fargo &amp; Company</v>
      </c>
      <c r="AM9" s="367">
        <f t="array" ref="AM9">INDEX(Indicators!$C$5:$C$38,SMALL(IF(Indicators!$I$5:$I$38=Graphs!AN9,ROW(Indicators!$I$5:$I$38),""),COUNTIF(Graphs!$AN$4:AN9,Graphs!AN9))-ROW(Indicators!$I$5)+1,0)</f>
        <v>1120754</v>
      </c>
      <c r="AN9" s="369">
        <f>LARGE(Indicators!$I$5:$I$38,ROWS(Graphs!$AN$3:$AN9)-1)</f>
        <v>2500000</v>
      </c>
      <c r="AO9" s="371"/>
      <c r="AP9" s="366" t="str">
        <f>PROPER(TRIM(INDEX('FR Y-15 Data'!$A$1:$A$36,MATCH(AQ9,'FR Y-15 Data'!$C$1:$C$66,0))))</f>
        <v>Bbva Compass Bancshares, Inc.</v>
      </c>
      <c r="AQ9" s="367">
        <f t="array" ref="AQ9">INDEX(Indicators!$C$5:$C$38,SMALL(IF(Indicators!$J$5:$J$38=Graphs!AR9,ROW(Indicators!$J$5:$J$38),""),COUNTIF(Graphs!$AR$4:AR9,Graphs!AR9))-ROW(Indicators!$J$5)+1,0)</f>
        <v>1078529</v>
      </c>
      <c r="AR9" s="369">
        <f>LARGE(Indicators!$J$5:$J$38,ROWS(Graphs!$AR$3:$AR9)-1)</f>
        <v>206041.103</v>
      </c>
      <c r="AS9" s="371"/>
      <c r="AT9" s="366" t="str">
        <f>PROPER(TRIM(INDEX('FR Y-15 Data'!$A$1:$A$36,MATCH(AU9,'FR Y-15 Data'!$C$1:$C$66,0))))</f>
        <v>Wells Fargo &amp; Company</v>
      </c>
      <c r="AU9" s="367">
        <f t="array" ref="AU9">INDEX(Indicators!$C$5:$C$38,SMALL(IF(Indicators!$K$5:$K$38=Graphs!AV9,ROW(Indicators!$K$5:$K$38),""),COUNTIF(Graphs!$AV$4:AV9,Graphs!AV9))-ROW(Indicators!$K$5)+1,0)</f>
        <v>1120754</v>
      </c>
      <c r="AV9" s="369">
        <f>LARGE(Indicators!$K$5:$K$38,ROWS(Graphs!$AV$3:$AV9)-1)</f>
        <v>5643148</v>
      </c>
      <c r="AW9" s="371"/>
      <c r="AX9" s="366" t="str">
        <f>PROPER(TRIM(INDEX('FR Y-15 Data'!$A$1:$A$36,MATCH(AY9,'FR Y-15 Data'!$C$1:$C$66,0))))</f>
        <v>Wells Fargo &amp; Company</v>
      </c>
      <c r="AY9" s="367">
        <f t="array" ref="AY9">INDEX(Indicators!$C$5:$C$38,SMALL(IF(Indicators!$L$5:$L$38=Graphs!AZ9,ROW(Indicators!$L$5:$L$38),""),COUNTIF(Graphs!$AZ$4:AZ9,Graphs!AZ9))-ROW(Indicators!$L$5)+1,0)</f>
        <v>1120754</v>
      </c>
      <c r="AZ9" s="369">
        <f>LARGE(Indicators!$L$5:$L$38,ROWS(Graphs!$AZ$3:$AZ9)-1)</f>
        <v>135221</v>
      </c>
      <c r="BA9" s="371"/>
      <c r="BB9" s="366" t="str">
        <f>PROPER(TRIM(INDEX('FR Y-15 Data'!$A$1:$A$36,MATCH(BC9,'FR Y-15 Data'!$C$1:$C$66,0))))</f>
        <v>Morgan Stanley</v>
      </c>
      <c r="BC9" s="367">
        <f t="array" ref="BC9">INDEX(Indicators!$C$5:$C$38,SMALL(IF(Indicators!$M$5:$M$38=Graphs!BD9,ROW(Indicators!$M$5:$M$38),""),COUNTIF(Graphs!$BD$4:BD9,Graphs!BD9))-ROW(Indicators!$M$5)+1,0)</f>
        <v>2162966</v>
      </c>
      <c r="BD9" s="369">
        <f>LARGE(Indicators!$M$5:$M$38,ROWS(Graphs!$BD$3:$BD9)-1)</f>
        <v>22137</v>
      </c>
      <c r="BE9" s="371"/>
      <c r="BF9" s="366" t="str">
        <f>PROPER(TRIM(INDEX('FR Y-15 Data'!$A$1:$A$36,MATCH(BG9,'FR Y-15 Data'!$C$1:$C$66,0))))</f>
        <v>Wells Fargo &amp; Company</v>
      </c>
      <c r="BG9" s="367">
        <f t="array" ref="BG9">INDEX(Indicators!$C$5:$C$38,SMALL(IF(Indicators!$N$5:$N$38=Graphs!BH9,ROW(Indicators!$N$5:$N$38),""),COUNTIF(Graphs!$BH$4:BH9,Graphs!BH9))-ROW(Indicators!$N$5)+1,0)</f>
        <v>1120754</v>
      </c>
      <c r="BH9" s="369">
        <f>LARGE(Indicators!$N$5:$N$38,ROWS(Graphs!$BH$3:$BH9)-1)</f>
        <v>100542</v>
      </c>
      <c r="BI9" s="371"/>
      <c r="BJ9" s="366" t="str">
        <f>PROPER(TRIM(INDEX('FR Y-15 Data'!$A$1:$A$36,MATCH(BK9,'FR Y-15 Data'!$C$1:$C$66,0))))</f>
        <v>Bank Of New York Mellon Corporation, The</v>
      </c>
      <c r="BK9" s="367">
        <f t="array" ref="BK9">INDEX(Indicators!$C$5:$C$38,SMALL(IF(Indicators!$O$5:$O$38=Graphs!BL9,ROW(Indicators!$O$5:$O$38),""),COUNTIF(Graphs!$BL$4:BL9,Graphs!BL9))-ROW(Indicators!$O$5)+1,0)</f>
        <v>3587146</v>
      </c>
      <c r="BL9" s="369">
        <f>LARGE(Indicators!$O$5:$O$38,ROWS(Graphs!$BL$3:$BL9)-1)</f>
        <v>173677</v>
      </c>
      <c r="BM9" s="371"/>
      <c r="BN9" s="366" t="str">
        <f>PROPER(TRIM(INDEX('FR Y-15 Data'!$A$1:$A$36,MATCH(BO9,'FR Y-15 Data'!$C$1:$C$66,0))))</f>
        <v>Bb&amp;T Corporation</v>
      </c>
      <c r="BO9" s="367">
        <f t="array" ref="BO9">INDEX(Scores!$C$10:$C$43,SMALL(IF(Scores!$P$10:$P$43=Graphs!BP9,ROW(Scores!$P$10:$P$43),""),COUNTIF(Graphs!$BP$4:BP9,Graphs!BP9))-ROW(Scores!$P$10)+1,0)</f>
        <v>1074156</v>
      </c>
      <c r="BP9" s="372">
        <f>LARGE(Scores!$P$10:$P$64,ROWS($BP$3:$BP9)-1)</f>
        <v>0</v>
      </c>
      <c r="BQ9" s="55"/>
      <c r="BR9" s="55"/>
      <c r="BS9" s="55"/>
      <c r="BT9" s="55"/>
      <c r="BU9" s="55"/>
      <c r="BV9" s="55"/>
      <c r="BW9" s="55"/>
    </row>
    <row r="10" spans="2:211" ht="15" customHeight="1">
      <c r="R10" s="366" t="str">
        <f>PROPER(TRIM(INDEX('FR Y-15 Data'!$A$1:$A$36,MATCH(S10,'FR Y-15 Data'!$C$1:$C$66,0))))</f>
        <v>U.S. Bancorp</v>
      </c>
      <c r="S10" s="367">
        <f t="array" ref="S10">INDEX(Indicators!$C$5:$C$38,SMALL(IF(Indicators!$D$5:$D$38=Graphs!T10,ROW(Indicators!$D$5:$D$38),""),COUNTIF(Graphs!$T$4:T10,Graphs!T10))-ROW(Indicators!$D$5)+1,0)</f>
        <v>1119794</v>
      </c>
      <c r="T10" s="369">
        <f>LARGE(Indicators!$D$5:$D$38,ROWS(Graphs!$T$3:$T10)-1)</f>
        <v>538755.69999999995</v>
      </c>
      <c r="U10" s="370"/>
      <c r="V10" s="366" t="str">
        <f>PROPER(TRIM(INDEX('FR Y-15 Data'!$A$1:$A$36,MATCH(W10,'FR Y-15 Data'!$C$1:$C$66,0))))</f>
        <v>Bank Of New York Mellon Corporation, The</v>
      </c>
      <c r="W10" s="367">
        <f t="array" ref="W10">INDEX(Indicators!$C$5:$C$38,SMALL(IF(Indicators!$E$5:$E$38=Graphs!X10,ROW(Indicators!$E$5:$E$38),""),COUNTIF(Graphs!$X$4:X10,Graphs!X10))-ROW(Indicators!$E$5)+1,0)</f>
        <v>3587146</v>
      </c>
      <c r="X10" s="369">
        <f>LARGE(Indicators!$E$5:$E$38,ROWS(Graphs!$X$3:$X10)-1)</f>
        <v>59446</v>
      </c>
      <c r="Y10" s="370"/>
      <c r="Z10" s="366" t="str">
        <f>PROPER(TRIM(INDEX('FR Y-15 Data'!$A$1:$A$36,MATCH(AA10,'FR Y-15 Data'!$C$1:$C$66,0))))</f>
        <v>Morgan Stanley</v>
      </c>
      <c r="AA10" s="367">
        <f t="array" ref="AA10">INDEX(Indicators!$C$5:$C$38,SMALL(IF(Indicators!$F$5:$F$38=Graphs!AB10,ROW(Indicators!$F$5:$F$38),""),COUNTIF(Graphs!$AB$4:AB10,Graphs!AB10))-ROW(Indicators!$F$5)+1,0)</f>
        <v>2162966</v>
      </c>
      <c r="AB10" s="369">
        <f>LARGE(Indicators!$F$5:$F$38,ROWS(Graphs!$AB$3:$AB10)-1)</f>
        <v>118359.86599999999</v>
      </c>
      <c r="AC10" s="370"/>
      <c r="AD10" s="366" t="str">
        <f>PROPER(TRIM(INDEX('FR Y-15 Data'!$A$1:$A$36,MATCH(AE10,'FR Y-15 Data'!$C$1:$C$66,0))))</f>
        <v>U.S. Bancorp</v>
      </c>
      <c r="AE10" s="367">
        <f t="array" ref="AE10">INDEX(Indicators!$C$5:$C$38,SMALL(IF(Indicators!$G$5:$G$38=Graphs!AF10,ROW(Indicators!$G$5:$G$38),""),COUNTIF(Graphs!$AF$4:AF10,Graphs!AF10))-ROW(Indicators!$G$5)+1,0)</f>
        <v>1119794</v>
      </c>
      <c r="AF10" s="369">
        <f>LARGE(Indicators!$G$5:$G$38,ROWS(Graphs!$AF$3:$AF10)-1)</f>
        <v>174515</v>
      </c>
      <c r="AG10" s="371"/>
      <c r="AH10" s="366" t="str">
        <f>PROPER(TRIM(INDEX('FR Y-15 Data'!$A$1:$A$36,MATCH(AI10,'FR Y-15 Data'!$C$1:$C$66,0))))</f>
        <v>Northern Trust Corporation</v>
      </c>
      <c r="AI10" s="367">
        <f t="array" ref="AI10">INDEX(Indicators!$C$5:$C$38,SMALL(IF(Indicators!$H$5:$H$38=Graphs!AJ10,ROW(Indicators!$H$5:$H$38),""),COUNTIF(Graphs!$AJ$4:AJ10,Graphs!AJ10))-ROW(Indicators!$H$5)+1,0)</f>
        <v>1199611</v>
      </c>
      <c r="AJ10" s="369">
        <f>LARGE(Indicators!$H$5:$H$38,ROWS(Graphs!$AJ$3:$AJ10)-1)</f>
        <v>35333968.064999998</v>
      </c>
      <c r="AK10" s="371"/>
      <c r="AL10" s="366" t="str">
        <f>PROPER(TRIM(INDEX('FR Y-15 Data'!$A$1:$A$36,MATCH(AM10,'FR Y-15 Data'!$C$1:$C$66,0))))</f>
        <v>Morgan Stanley</v>
      </c>
      <c r="AM10" s="367">
        <f t="array" ref="AM10">INDEX(Indicators!$C$5:$C$38,SMALL(IF(Indicators!$I$5:$I$38=Graphs!AN10,ROW(Indicators!$I$5:$I$38),""),COUNTIF(Graphs!$AN$4:AN10,Graphs!AN10))-ROW(Indicators!$I$5)+1,0)</f>
        <v>2162966</v>
      </c>
      <c r="AN10" s="369">
        <f>LARGE(Indicators!$I$5:$I$38,ROWS(Graphs!$AN$3:$AN10)-1)</f>
        <v>1573836.5220000001</v>
      </c>
      <c r="AO10" s="371"/>
      <c r="AP10" s="366" t="str">
        <f>PROPER(TRIM(INDEX('FR Y-15 Data'!$A$1:$A$36,MATCH(AQ10,'FR Y-15 Data'!$C$1:$C$66,0))))</f>
        <v>Wells Fargo &amp; Company</v>
      </c>
      <c r="AQ10" s="367">
        <f t="array" ref="AQ10">INDEX(Indicators!$C$5:$C$38,SMALL(IF(Indicators!$J$5:$J$38=Graphs!AR10,ROW(Indicators!$J$5:$J$38),""),COUNTIF(Graphs!$AR$4:AR10,Graphs!AR10))-ROW(Indicators!$J$5)+1,0)</f>
        <v>1120754</v>
      </c>
      <c r="AR10" s="369">
        <f>LARGE(Indicators!$J$5:$J$38,ROWS(Graphs!$AR$3:$AR10)-1)</f>
        <v>167681</v>
      </c>
      <c r="AS10" s="371"/>
      <c r="AT10" s="366" t="str">
        <f>PROPER(TRIM(INDEX('FR Y-15 Data'!$A$1:$A$36,MATCH(AU10,'FR Y-15 Data'!$C$1:$C$66,0))))</f>
        <v>Hsbc North America Holdings Inc.</v>
      </c>
      <c r="AU10" s="367">
        <f t="array" ref="AU10">INDEX(Indicators!$C$5:$C$38,SMALL(IF(Indicators!$K$5:$K$38=Graphs!AV10,ROW(Indicators!$K$5:$K$38),""),COUNTIF(Graphs!$AV$4:AV10,Graphs!AV10))-ROW(Indicators!$K$5)+1,0)</f>
        <v>3232316</v>
      </c>
      <c r="AV10" s="369">
        <f>LARGE(Indicators!$K$5:$K$38,ROWS(Graphs!$AV$3:$AV10)-1)</f>
        <v>4737666.1229999997</v>
      </c>
      <c r="AW10" s="371"/>
      <c r="AX10" s="366" t="str">
        <f>PROPER(TRIM(INDEX('FR Y-15 Data'!$A$1:$A$36,MATCH(AY10,'FR Y-15 Data'!$C$1:$C$66,0))))</f>
        <v>Hsbc North America Holdings Inc.</v>
      </c>
      <c r="AY10" s="367">
        <f t="array" ref="AY10">INDEX(Indicators!$C$5:$C$38,SMALL(IF(Indicators!$L$5:$L$38=Graphs!AZ10,ROW(Indicators!$L$5:$L$38),""),COUNTIF(Graphs!$AZ$4:AZ10,Graphs!AZ10))-ROW(Indicators!$L$5)+1,0)</f>
        <v>3232316</v>
      </c>
      <c r="AZ10" s="369">
        <f>LARGE(Indicators!$L$5:$L$38,ROWS(Graphs!$AZ$3:$AZ10)-1)</f>
        <v>43561.152000000002</v>
      </c>
      <c r="BA10" s="371"/>
      <c r="BB10" s="366" t="str">
        <f>PROPER(TRIM(INDEX('FR Y-15 Data'!$A$1:$A$36,MATCH(BC10,'FR Y-15 Data'!$C$1:$C$66,0))))</f>
        <v>Pnc Financial Services Group, Inc., The</v>
      </c>
      <c r="BC10" s="367">
        <f t="array" ref="BC10">INDEX(Indicators!$C$5:$C$38,SMALL(IF(Indicators!$M$5:$M$38=Graphs!BD10,ROW(Indicators!$M$5:$M$38),""),COUNTIF(Graphs!$BD$4:BD10,Graphs!BD10))-ROW(Indicators!$M$5)+1,0)</f>
        <v>1069778</v>
      </c>
      <c r="BD10" s="369">
        <f>LARGE(Indicators!$M$5:$M$38,ROWS(Graphs!$BD$3:$BD10)-1)</f>
        <v>10257.986999999999</v>
      </c>
      <c r="BE10" s="371"/>
      <c r="BF10" s="366" t="str">
        <f>PROPER(TRIM(INDEX('FR Y-15 Data'!$A$1:$A$36,MATCH(BG10,'FR Y-15 Data'!$C$1:$C$66,0))))</f>
        <v>Bank Of New York Mellon Corporation, The</v>
      </c>
      <c r="BG10" s="367">
        <f t="array" ref="BG10">INDEX(Indicators!$C$5:$C$38,SMALL(IF(Indicators!$N$5:$N$38=Graphs!BH10,ROW(Indicators!$N$5:$N$38),""),COUNTIF(Graphs!$BH$4:BH10,Graphs!BH10))-ROW(Indicators!$N$5)+1,0)</f>
        <v>3587146</v>
      </c>
      <c r="BH10" s="369">
        <f>LARGE(Indicators!$N$5:$N$38,ROWS(Graphs!$BH$3:$BH10)-1)</f>
        <v>94164</v>
      </c>
      <c r="BI10" s="371"/>
      <c r="BJ10" s="366" t="str">
        <f>PROPER(TRIM(INDEX('FR Y-15 Data'!$A$1:$A$36,MATCH(BK10,'FR Y-15 Data'!$C$1:$C$66,0))))</f>
        <v>Wells Fargo &amp; Company</v>
      </c>
      <c r="BK10" s="367">
        <f t="array" ref="BK10">INDEX(Indicators!$C$5:$C$38,SMALL(IF(Indicators!$O$5:$O$38=Graphs!BL10,ROW(Indicators!$O$5:$O$38),""),COUNTIF(Graphs!$BL$4:BL10,Graphs!BL10))-ROW(Indicators!$O$5)+1,0)</f>
        <v>1120754</v>
      </c>
      <c r="BL10" s="369">
        <f>LARGE(Indicators!$O$5:$O$38,ROWS(Graphs!$BL$3:$BL10)-1)</f>
        <v>147496</v>
      </c>
      <c r="BM10" s="371"/>
      <c r="BN10" s="366" t="str">
        <f>PROPER(TRIM(INDEX('FR Y-15 Data'!$A$1:$A$36,MATCH(BO10,'FR Y-15 Data'!$C$1:$C$66,0))))</f>
        <v>Bbva Compass Bancshares, Inc.</v>
      </c>
      <c r="BO10" s="367">
        <f t="array" ref="BO10">INDEX(Scores!$C$10:$C$43,SMALL(IF(Scores!$P$10:$P$43=Graphs!BP10,ROW(Scores!$P$10:$P$43),""),COUNTIF(Graphs!$BP$4:BP10,Graphs!BP10))-ROW(Scores!$P$10)+1,0)</f>
        <v>1078529</v>
      </c>
      <c r="BP10" s="372">
        <f>LARGE(Scores!$P$10:$P$64,ROWS($BP$3:$BP10)-1)</f>
        <v>0</v>
      </c>
      <c r="BQ10" s="55"/>
      <c r="BR10" s="55"/>
      <c r="BS10" s="55"/>
      <c r="BT10" s="55"/>
      <c r="BU10" s="55"/>
      <c r="BV10" s="55"/>
      <c r="BW10" s="55"/>
    </row>
    <row r="11" spans="2:211" ht="15" customHeight="1">
      <c r="R11" s="366" t="str">
        <f>PROPER(TRIM(INDEX('FR Y-15 Data'!$A$1:$A$36,MATCH(S11,'FR Y-15 Data'!$C$1:$C$66,0))))</f>
        <v>Pnc Financial Services Group, Inc., The</v>
      </c>
      <c r="S11" s="367">
        <f t="array" ref="S11">INDEX(Indicators!$C$5:$C$38,SMALL(IF(Indicators!$D$5:$D$38=Graphs!T11,ROW(Indicators!$D$5:$D$38),""),COUNTIF(Graphs!$T$4:T11,Graphs!T11))-ROW(Indicators!$D$5)+1,0)</f>
        <v>1069778</v>
      </c>
      <c r="T11" s="369">
        <f>LARGE(Indicators!$D$5:$D$38,ROWS(Graphs!$T$3:$T11)-1)</f>
        <v>459925.08100000001</v>
      </c>
      <c r="U11" s="370"/>
      <c r="V11" s="366" t="str">
        <f>PROPER(TRIM(INDEX('FR Y-15 Data'!$A$1:$A$36,MATCH(W11,'FR Y-15 Data'!$C$1:$C$66,0))))</f>
        <v>Northern Trust Corporation</v>
      </c>
      <c r="W11" s="367">
        <f t="array" ref="W11">INDEX(Indicators!$C$5:$C$38,SMALL(IF(Indicators!$E$5:$E$38=Graphs!X11,ROW(Indicators!$E$5:$E$38),""),COUNTIF(Graphs!$X$4:X11,Graphs!X11))-ROW(Indicators!$E$5)+1,0)</f>
        <v>1199611</v>
      </c>
      <c r="X11" s="369">
        <f>LARGE(Indicators!$E$5:$E$38,ROWS(Graphs!$X$3:$X11)-1)</f>
        <v>43202.591</v>
      </c>
      <c r="Y11" s="370"/>
      <c r="Z11" s="366" t="str">
        <f>PROPER(TRIM(INDEX('FR Y-15 Data'!$A$1:$A$36,MATCH(AA11,'FR Y-15 Data'!$C$1:$C$66,0))))</f>
        <v>Goldman Sachs Group, Inc., The</v>
      </c>
      <c r="AA11" s="367">
        <f t="array" ref="AA11">INDEX(Indicators!$C$5:$C$38,SMALL(IF(Indicators!$F$5:$F$38=Graphs!AB11,ROW(Indicators!$F$5:$F$38),""),COUNTIF(Graphs!$AB$4:AB11,Graphs!AB11))-ROW(Indicators!$F$5)+1,0)</f>
        <v>2380443</v>
      </c>
      <c r="AB11" s="369">
        <f>LARGE(Indicators!$F$5:$F$38,ROWS(Graphs!$AB$3:$AB11)-1)</f>
        <v>113405</v>
      </c>
      <c r="AC11" s="370"/>
      <c r="AD11" s="366" t="str">
        <f>PROPER(TRIM(INDEX('FR Y-15 Data'!$A$1:$A$36,MATCH(AE11,'FR Y-15 Data'!$C$1:$C$66,0))))</f>
        <v>American Express Company</v>
      </c>
      <c r="AE11" s="367">
        <f t="array" ref="AE11">INDEX(Indicators!$C$5:$C$38,SMALL(IF(Indicators!$G$5:$G$38=Graphs!AF11,ROW(Indicators!$G$5:$G$38),""),COUNTIF(Graphs!$AF$4:AF11,Graphs!AF11))-ROW(Indicators!$G$5)+1,0)</f>
        <v>1275216</v>
      </c>
      <c r="AF11" s="369">
        <f>LARGE(Indicators!$G$5:$G$38,ROWS(Graphs!$AF$3:$AF11)-1)</f>
        <v>162085</v>
      </c>
      <c r="AG11" s="371"/>
      <c r="AH11" s="366" t="str">
        <f>PROPER(TRIM(INDEX('FR Y-15 Data'!$A$1:$A$36,MATCH(AI11,'FR Y-15 Data'!$C$1:$C$66,0))))</f>
        <v>Wells Fargo &amp; Company</v>
      </c>
      <c r="AI11" s="367">
        <f t="array" ref="AI11">INDEX(Indicators!$C$5:$C$38,SMALL(IF(Indicators!$H$5:$H$38=Graphs!AJ11,ROW(Indicators!$H$5:$H$38),""),COUNTIF(Graphs!$AJ$4:AJ11,Graphs!AJ11))-ROW(Indicators!$H$5)+1,0)</f>
        <v>1120754</v>
      </c>
      <c r="AJ11" s="369">
        <f>LARGE(Indicators!$H$5:$H$38,ROWS(Graphs!$AJ$3:$AJ11)-1)</f>
        <v>34295107</v>
      </c>
      <c r="AK11" s="371"/>
      <c r="AL11" s="366" t="str">
        <f>PROPER(TRIM(INDEX('FR Y-15 Data'!$A$1:$A$36,MATCH(AM11,'FR Y-15 Data'!$C$1:$C$66,0))))</f>
        <v>U.S. Bancorp</v>
      </c>
      <c r="AM11" s="367">
        <f t="array" ref="AM11">INDEX(Indicators!$C$5:$C$38,SMALL(IF(Indicators!$I$5:$I$38=Graphs!AN11,ROW(Indicators!$I$5:$I$38),""),COUNTIF(Graphs!$AN$4:AN11,Graphs!AN11))-ROW(Indicators!$I$5)+1,0)</f>
        <v>1119794</v>
      </c>
      <c r="AN11" s="369">
        <f>LARGE(Indicators!$I$5:$I$38,ROWS(Graphs!$AN$3:$AN11)-1)</f>
        <v>1102084</v>
      </c>
      <c r="AO11" s="371"/>
      <c r="AP11" s="366" t="str">
        <f>PROPER(TRIM(INDEX('FR Y-15 Data'!$A$1:$A$36,MATCH(AQ11,'FR Y-15 Data'!$C$1:$C$66,0))))</f>
        <v>Hsbc North America Holdings Inc.</v>
      </c>
      <c r="AQ11" s="367">
        <f t="array" ref="AQ11">INDEX(Indicators!$C$5:$C$38,SMALL(IF(Indicators!$J$5:$J$38=Graphs!AR11,ROW(Indicators!$J$5:$J$38),""),COUNTIF(Graphs!$AR$4:AR11,Graphs!AR11))-ROW(Indicators!$J$5)+1,0)</f>
        <v>3232316</v>
      </c>
      <c r="AR11" s="369">
        <f>LARGE(Indicators!$J$5:$J$38,ROWS(Graphs!$AR$3:$AR11)-1)</f>
        <v>51887.06</v>
      </c>
      <c r="AS11" s="371"/>
      <c r="AT11" s="366" t="str">
        <f>PROPER(TRIM(INDEX('FR Y-15 Data'!$A$1:$A$36,MATCH(AU11,'FR Y-15 Data'!$C$1:$C$66,0))))</f>
        <v>State Street Corporation</v>
      </c>
      <c r="AU11" s="367">
        <f t="array" ref="AU11">INDEX(Indicators!$C$5:$C$38,SMALL(IF(Indicators!$K$5:$K$38=Graphs!AV11,ROW(Indicators!$K$5:$K$38),""),COUNTIF(Graphs!$AV$4:AV11,Graphs!AV11))-ROW(Indicators!$K$5)+1,0)</f>
        <v>1111435</v>
      </c>
      <c r="AV11" s="369">
        <f>LARGE(Indicators!$K$5:$K$38,ROWS(Graphs!$AV$3:$AV11)-1)</f>
        <v>1239187.564</v>
      </c>
      <c r="AW11" s="371"/>
      <c r="AX11" s="366" t="str">
        <f>PROPER(TRIM(INDEX('FR Y-15 Data'!$A$1:$A$36,MATCH(AY11,'FR Y-15 Data'!$C$1:$C$66,0))))</f>
        <v>Td Bank Us Holding Company</v>
      </c>
      <c r="AY11" s="367">
        <f t="array" ref="AY11">INDEX(Indicators!$C$5:$C$38,SMALL(IF(Indicators!$L$5:$L$38=Graphs!AZ11,ROW(Indicators!$L$5:$L$38),""),COUNTIF(Graphs!$AZ$4:AZ11,Graphs!AZ11))-ROW(Indicators!$L$5)+1,0)</f>
        <v>1249196</v>
      </c>
      <c r="AZ11" s="369">
        <f>LARGE(Indicators!$L$5:$L$38,ROWS(Graphs!$AZ$3:$AZ11)-1)</f>
        <v>39308.286</v>
      </c>
      <c r="BA11" s="371"/>
      <c r="BB11" s="366" t="str">
        <f>PROPER(TRIM(INDEX('FR Y-15 Data'!$A$1:$A$36,MATCH(BC11,'FR Y-15 Data'!$C$1:$C$66,0))))</f>
        <v>State Street Corporation</v>
      </c>
      <c r="BC11" s="367">
        <f t="array" ref="BC11">INDEX(Indicators!$C$5:$C$38,SMALL(IF(Indicators!$M$5:$M$38=Graphs!BD11,ROW(Indicators!$M$5:$M$38),""),COUNTIF(Graphs!$BD$4:BD11,Graphs!BD11))-ROW(Indicators!$M$5)+1,0)</f>
        <v>1111435</v>
      </c>
      <c r="BD11" s="369">
        <f>LARGE(Indicators!$M$5:$M$38,ROWS(Graphs!$BD$3:$BD11)-1)</f>
        <v>5446.1840000000002</v>
      </c>
      <c r="BE11" s="371"/>
      <c r="BF11" s="366" t="str">
        <f>PROPER(TRIM(INDEX('FR Y-15 Data'!$A$1:$A$36,MATCH(BG11,'FR Y-15 Data'!$C$1:$C$66,0))))</f>
        <v>State Street Corporation</v>
      </c>
      <c r="BG11" s="367">
        <f t="array" ref="BG11">INDEX(Indicators!$C$5:$C$38,SMALL(IF(Indicators!$N$5:$N$38=Graphs!BH11,ROW(Indicators!$N$5:$N$38),""),COUNTIF(Graphs!$BH$4:BH11,Graphs!BH11))-ROW(Indicators!$N$5)+1,0)</f>
        <v>1111435</v>
      </c>
      <c r="BH11" s="369">
        <f>LARGE(Indicators!$N$5:$N$38,ROWS(Graphs!$BH$3:$BH11)-1)</f>
        <v>74588.706000000006</v>
      </c>
      <c r="BI11" s="371"/>
      <c r="BJ11" s="366" t="str">
        <f>PROPER(TRIM(INDEX('FR Y-15 Data'!$A$1:$A$36,MATCH(BK11,'FR Y-15 Data'!$C$1:$C$66,0))))</f>
        <v>State Street Corporation</v>
      </c>
      <c r="BK11" s="367">
        <f t="array" ref="BK11">INDEX(Indicators!$C$5:$C$38,SMALL(IF(Indicators!$O$5:$O$38=Graphs!BL11,ROW(Indicators!$O$5:$O$38),""),COUNTIF(Graphs!$BL$4:BL11,Graphs!BL11))-ROW(Indicators!$O$5)+1,0)</f>
        <v>1111435</v>
      </c>
      <c r="BL11" s="369">
        <f>LARGE(Indicators!$O$5:$O$38,ROWS(Graphs!$BL$3:$BL11)-1)</f>
        <v>138801</v>
      </c>
      <c r="BM11" s="371"/>
      <c r="BN11" s="366" t="str">
        <f>PROPER(TRIM(INDEX('FR Y-15 Data'!$A$1:$A$36,MATCH(BO11,'FR Y-15 Data'!$C$1:$C$66,0))))</f>
        <v>Bmo Financial Corp.</v>
      </c>
      <c r="BO11" s="367">
        <f t="array" ref="BO11">INDEX(Scores!$C$10:$C$43,SMALL(IF(Scores!$P$10:$P$43=Graphs!BP11,ROW(Scores!$P$10:$P$43),""),COUNTIF(Graphs!$BP$4:BP11,Graphs!BP11))-ROW(Scores!$P$10)+1,0)</f>
        <v>1245415</v>
      </c>
      <c r="BP11" s="372">
        <f>LARGE(Scores!$P$10:$P$64,ROWS($BP$3:$BP11)-1)</f>
        <v>0</v>
      </c>
      <c r="BQ11" s="55"/>
      <c r="BR11" s="55"/>
      <c r="BS11" s="55"/>
      <c r="BT11" s="55"/>
      <c r="BU11" s="55"/>
      <c r="BV11" s="55"/>
      <c r="BW11" s="55"/>
    </row>
    <row r="12" spans="2:211" ht="15" customHeight="1">
      <c r="R12" s="366" t="str">
        <f>PROPER(TRIM(INDEX('FR Y-15 Data'!$A$1:$A$36,MATCH(S12,'FR Y-15 Data'!$C$1:$C$66,0))))</f>
        <v>Bank Of New York Mellon Corporation, The</v>
      </c>
      <c r="S12" s="367">
        <f t="array" ref="S12">INDEX(Indicators!$C$5:$C$38,SMALL(IF(Indicators!$D$5:$D$38=Graphs!T12,ROW(Indicators!$D$5:$D$38),""),COUNTIF(Graphs!$T$4:T12,Graphs!T12))-ROW(Indicators!$D$5)+1,0)</f>
        <v>3587146</v>
      </c>
      <c r="T12" s="369">
        <f>LARGE(Indicators!$D$5:$D$38,ROWS(Graphs!$T$3:$T12)-1)</f>
        <v>418631.8</v>
      </c>
      <c r="U12" s="370"/>
      <c r="V12" s="366" t="str">
        <f>PROPER(TRIM(INDEX('FR Y-15 Data'!$A$1:$A$36,MATCH(W12,'FR Y-15 Data'!$C$1:$C$66,0))))</f>
        <v>State Street Corporation</v>
      </c>
      <c r="W12" s="367">
        <f t="array" ref="W12">INDEX(Indicators!$C$5:$C$38,SMALL(IF(Indicators!$E$5:$E$38=Graphs!X12,ROW(Indicators!$E$5:$E$38),""),COUNTIF(Graphs!$X$4:X12,Graphs!X12))-ROW(Indicators!$E$5)+1,0)</f>
        <v>1111435</v>
      </c>
      <c r="X12" s="369">
        <f>LARGE(Indicators!$E$5:$E$38,ROWS(Graphs!$X$3:$X12)-1)</f>
        <v>38366.180999999997</v>
      </c>
      <c r="Y12" s="370"/>
      <c r="Z12" s="366" t="str">
        <f>PROPER(TRIM(INDEX('FR Y-15 Data'!$A$1:$A$36,MATCH(AA12,'FR Y-15 Data'!$C$1:$C$66,0))))</f>
        <v>Hsbc North America Holdings Inc.</v>
      </c>
      <c r="AA12" s="367">
        <f t="array" ref="AA12">INDEX(Indicators!$C$5:$C$38,SMALL(IF(Indicators!$F$5:$F$38=Graphs!AB12,ROW(Indicators!$F$5:$F$38),""),COUNTIF(Graphs!$AB$4:AB12,Graphs!AB12))-ROW(Indicators!$F$5)+1,0)</f>
        <v>3232316</v>
      </c>
      <c r="AB12" s="369">
        <f>LARGE(Indicators!$F$5:$F$38,ROWS(Graphs!$AB$3:$AB12)-1)</f>
        <v>41279.038</v>
      </c>
      <c r="AC12" s="370"/>
      <c r="AD12" s="366" t="str">
        <f>PROPER(TRIM(INDEX('FR Y-15 Data'!$A$1:$A$36,MATCH(AE12,'FR Y-15 Data'!$C$1:$C$66,0))))</f>
        <v>Ally Financial Inc.</v>
      </c>
      <c r="AE12" s="367">
        <f t="array" ref="AE12">INDEX(Indicators!$C$5:$C$38,SMALL(IF(Indicators!$G$5:$G$38=Graphs!AF12,ROW(Indicators!$G$5:$G$38),""),COUNTIF(Graphs!$AF$4:AF12,Graphs!AF12))-ROW(Indicators!$G$5)+1,0)</f>
        <v>1562859</v>
      </c>
      <c r="AF12" s="369">
        <f>LARGE(Indicators!$G$5:$G$38,ROWS(Graphs!$AF$3:$AF12)-1)</f>
        <v>116354</v>
      </c>
      <c r="AG12" s="371"/>
      <c r="AH12" s="366" t="str">
        <f>PROPER(TRIM(INDEX('FR Y-15 Data'!$A$1:$A$36,MATCH(AI12,'FR Y-15 Data'!$C$1:$C$66,0))))</f>
        <v>Morgan Stanley</v>
      </c>
      <c r="AI12" s="367">
        <f t="array" ref="AI12">INDEX(Indicators!$C$5:$C$38,SMALL(IF(Indicators!$H$5:$H$38=Graphs!AJ12,ROW(Indicators!$H$5:$H$38),""),COUNTIF(Graphs!$AJ$4:AJ12,Graphs!AJ12))-ROW(Indicators!$H$5)+1,0)</f>
        <v>2162966</v>
      </c>
      <c r="AJ12" s="369">
        <f>LARGE(Indicators!$H$5:$H$38,ROWS(Graphs!$AJ$3:$AJ12)-1)</f>
        <v>11640647.738</v>
      </c>
      <c r="AK12" s="371"/>
      <c r="AL12" s="366" t="str">
        <f>PROPER(TRIM(INDEX('FR Y-15 Data'!$A$1:$A$36,MATCH(AM12,'FR Y-15 Data'!$C$1:$C$66,0))))</f>
        <v>Goldman Sachs Group, Inc., The</v>
      </c>
      <c r="AM12" s="367">
        <f t="array" ref="AM12">INDEX(Indicators!$C$5:$C$38,SMALL(IF(Indicators!$I$5:$I$38=Graphs!AN12,ROW(Indicators!$I$5:$I$38),""),COUNTIF(Graphs!$AN$4:AN12,Graphs!AN12))-ROW(Indicators!$I$5)+1,0)</f>
        <v>2380443</v>
      </c>
      <c r="AN12" s="369">
        <f>LARGE(Indicators!$I$5:$I$38,ROWS(Graphs!$AN$3:$AN12)-1)</f>
        <v>1013139</v>
      </c>
      <c r="AO12" s="371"/>
      <c r="AP12" s="366" t="str">
        <f>PROPER(TRIM(INDEX('FR Y-15 Data'!$A$1:$A$36,MATCH(AQ12,'FR Y-15 Data'!$C$1:$C$66,0))))</f>
        <v>U.S. Bancorp</v>
      </c>
      <c r="AQ12" s="367">
        <f t="array" ref="AQ12">INDEX(Indicators!$C$5:$C$38,SMALL(IF(Indicators!$J$5:$J$38=Graphs!AR12,ROW(Indicators!$J$5:$J$38),""),COUNTIF(Graphs!$AR$4:AR12,Graphs!AR12))-ROW(Indicators!$J$5)+1,0)</f>
        <v>1119794</v>
      </c>
      <c r="AR12" s="369">
        <f>LARGE(Indicators!$J$5:$J$38,ROWS(Graphs!$AR$3:$AR12)-1)</f>
        <v>27517</v>
      </c>
      <c r="AS12" s="371"/>
      <c r="AT12" s="366" t="str">
        <f>PROPER(TRIM(INDEX('FR Y-15 Data'!$A$1:$A$36,MATCH(AU12,'FR Y-15 Data'!$C$1:$C$66,0))))</f>
        <v>Bank Of New York Mellon Corporation, The</v>
      </c>
      <c r="AU12" s="367">
        <f t="array" ref="AU12">INDEX(Indicators!$C$5:$C$38,SMALL(IF(Indicators!$K$5:$K$38=Graphs!AV12,ROW(Indicators!$K$5:$K$38),""),COUNTIF(Graphs!$AV$4:AV12,Graphs!AV12))-ROW(Indicators!$K$5)+1,0)</f>
        <v>3587146</v>
      </c>
      <c r="AV12" s="369">
        <f>LARGE(Indicators!$K$5:$K$38,ROWS(Graphs!$AV$3:$AV12)-1)</f>
        <v>1186938</v>
      </c>
      <c r="AW12" s="371"/>
      <c r="AX12" s="366" t="str">
        <f>PROPER(TRIM(INDEX('FR Y-15 Data'!$A$1:$A$36,MATCH(AY12,'FR Y-15 Data'!$C$1:$C$66,0))))</f>
        <v>State Street Corporation</v>
      </c>
      <c r="AY12" s="367">
        <f t="array" ref="AY12">INDEX(Indicators!$C$5:$C$38,SMALL(IF(Indicators!$L$5:$L$38=Graphs!AZ12,ROW(Indicators!$L$5:$L$38),""),COUNTIF(Graphs!$AZ$4:AZ12,Graphs!AZ12))-ROW(Indicators!$L$5)+1,0)</f>
        <v>1111435</v>
      </c>
      <c r="AZ12" s="369">
        <f>LARGE(Indicators!$L$5:$L$38,ROWS(Graphs!$AZ$3:$AZ12)-1)</f>
        <v>33982.639999999999</v>
      </c>
      <c r="BA12" s="371"/>
      <c r="BB12" s="366" t="str">
        <f>PROPER(TRIM(INDEX('FR Y-15 Data'!$A$1:$A$36,MATCH(BC12,'FR Y-15 Data'!$C$1:$C$66,0))))</f>
        <v>Hsbc North America Holdings Inc.</v>
      </c>
      <c r="BC12" s="367">
        <f t="array" ref="BC12">INDEX(Indicators!$C$5:$C$38,SMALL(IF(Indicators!$M$5:$M$38=Graphs!BD12,ROW(Indicators!$M$5:$M$38),""),COUNTIF(Graphs!$BD$4:BD12,Graphs!BD12))-ROW(Indicators!$M$5)+1,0)</f>
        <v>3232316</v>
      </c>
      <c r="BD12" s="369">
        <f>LARGE(Indicators!$M$5:$M$38,ROWS(Graphs!$BD$3:$BD12)-1)</f>
        <v>4231.6059999999998</v>
      </c>
      <c r="BE12" s="371"/>
      <c r="BF12" s="366" t="str">
        <f>PROPER(TRIM(INDEX('FR Y-15 Data'!$A$1:$A$36,MATCH(BG12,'FR Y-15 Data'!$C$1:$C$66,0))))</f>
        <v>Hsbc North America Holdings Inc.</v>
      </c>
      <c r="BG12" s="367">
        <f t="array" ref="BG12">INDEX(Indicators!$C$5:$C$38,SMALL(IF(Indicators!$N$5:$N$38=Graphs!BH12,ROW(Indicators!$N$5:$N$38),""),COUNTIF(Graphs!$BH$4:BH12,Graphs!BH12))-ROW(Indicators!$N$5)+1,0)</f>
        <v>3232316</v>
      </c>
      <c r="BH12" s="369">
        <f>LARGE(Indicators!$N$5:$N$38,ROWS(Graphs!$BH$3:$BH12)-1)</f>
        <v>44431</v>
      </c>
      <c r="BI12" s="371"/>
      <c r="BJ12" s="366" t="str">
        <f>PROPER(TRIM(INDEX('FR Y-15 Data'!$A$1:$A$36,MATCH(BK12,'FR Y-15 Data'!$C$1:$C$66,0))))</f>
        <v>Northern Trust Corporation</v>
      </c>
      <c r="BK12" s="367">
        <f t="array" ref="BK12">INDEX(Indicators!$C$5:$C$38,SMALL(IF(Indicators!$O$5:$O$38=Graphs!BL12,ROW(Indicators!$O$5:$O$38),""),COUNTIF(Graphs!$BL$4:BL12,Graphs!BL12))-ROW(Indicators!$O$5)+1,0)</f>
        <v>1199611</v>
      </c>
      <c r="BL12" s="369">
        <f>LARGE(Indicators!$O$5:$O$38,ROWS(Graphs!$BL$3:$BL12)-1)</f>
        <v>50515</v>
      </c>
      <c r="BM12" s="371"/>
      <c r="BN12" s="366" t="str">
        <f>PROPER(TRIM(INDEX('FR Y-15 Data'!$A$1:$A$36,MATCH(BO12,'FR Y-15 Data'!$C$1:$C$66,0))))</f>
        <v>Capital One Financial Corporation</v>
      </c>
      <c r="BO12" s="367">
        <f t="array" ref="BO12">INDEX(Scores!$C$10:$C$43,SMALL(IF(Scores!$P$10:$P$43=Graphs!BP12,ROW(Scores!$P$10:$P$43),""),COUNTIF(Graphs!$BP$4:BP12,Graphs!BP12))-ROW(Scores!$P$10)+1,0)</f>
        <v>2277860</v>
      </c>
      <c r="BP12" s="372">
        <f>LARGE(Scores!$P$10:$P$64,ROWS($BP$3:$BP12)-1)</f>
        <v>0</v>
      </c>
      <c r="BQ12" s="55"/>
      <c r="BR12" s="55"/>
      <c r="BS12" s="55"/>
      <c r="BT12" s="55"/>
      <c r="BU12" s="55"/>
      <c r="BV12" s="55"/>
      <c r="BW12" s="55"/>
    </row>
    <row r="13" spans="2:211" ht="15" customHeight="1">
      <c r="R13" s="366" t="str">
        <f>PROPER(TRIM(INDEX('FR Y-15 Data'!$A$1:$A$36,MATCH(S13,'FR Y-15 Data'!$C$1:$C$66,0))))</f>
        <v>Hsbc North America Holdings Inc.</v>
      </c>
      <c r="S13" s="367">
        <f t="array" ref="S13">INDEX(Indicators!$C$5:$C$38,SMALL(IF(Indicators!$D$5:$D$38=Graphs!T13,ROW(Indicators!$D$5:$D$38),""),COUNTIF(Graphs!$T$4:T13,Graphs!T13))-ROW(Indicators!$D$5)+1,0)</f>
        <v>3232316</v>
      </c>
      <c r="T13" s="369">
        <f>LARGE(Indicators!$D$5:$D$38,ROWS(Graphs!$T$3:$T13)-1)</f>
        <v>416909.71299999999</v>
      </c>
      <c r="U13" s="370"/>
      <c r="V13" s="366" t="str">
        <f>PROPER(TRIM(INDEX('FR Y-15 Data'!$A$1:$A$36,MATCH(W13,'FR Y-15 Data'!$C$1:$C$66,0))))</f>
        <v>Hsbc North America Holdings Inc.</v>
      </c>
      <c r="W13" s="367">
        <f t="array" ref="W13">INDEX(Indicators!$C$5:$C$38,SMALL(IF(Indicators!$E$5:$E$38=Graphs!X13,ROW(Indicators!$E$5:$E$38),""),COUNTIF(Graphs!$X$4:X13,Graphs!X13))-ROW(Indicators!$E$5)+1,0)</f>
        <v>3232316</v>
      </c>
      <c r="X13" s="369">
        <f>LARGE(Indicators!$E$5:$E$38,ROWS(Graphs!$X$3:$X13)-1)</f>
        <v>36445.146999999997</v>
      </c>
      <c r="Y13" s="370"/>
      <c r="Z13" s="366" t="str">
        <f>PROPER(TRIM(INDEX('FR Y-15 Data'!$A$1:$A$36,MATCH(AA13,'FR Y-15 Data'!$C$1:$C$66,0))))</f>
        <v>Deutsche Bank Trust Corporation</v>
      </c>
      <c r="AA13" s="367">
        <f t="array" ref="AA13">INDEX(Indicators!$C$5:$C$38,SMALL(IF(Indicators!$F$5:$F$38=Graphs!AB13,ROW(Indicators!$F$5:$F$38),""),COUNTIF(Graphs!$AB$4:AB13,Graphs!AB13))-ROW(Indicators!$F$5)+1,0)</f>
        <v>1032473</v>
      </c>
      <c r="AB13" s="369">
        <f>LARGE(Indicators!$F$5:$F$38,ROWS(Graphs!$AB$3:$AB13)-1)</f>
        <v>26104</v>
      </c>
      <c r="AC13" s="370"/>
      <c r="AD13" s="366" t="str">
        <f>PROPER(TRIM(INDEX('FR Y-15 Data'!$A$1:$A$36,MATCH(AE13,'FR Y-15 Data'!$C$1:$C$66,0))))</f>
        <v>Capital One Financial Corporation</v>
      </c>
      <c r="AE13" s="367">
        <f t="array" ref="AE13">INDEX(Indicators!$C$5:$C$38,SMALL(IF(Indicators!$G$5:$G$38=Graphs!AF13,ROW(Indicators!$G$5:$G$38),""),COUNTIF(Graphs!$AF$4:AF13,Graphs!AF13))-ROW(Indicators!$G$5)+1,0)</f>
        <v>2277860</v>
      </c>
      <c r="AF13" s="369">
        <f>LARGE(Indicators!$G$5:$G$38,ROWS(Graphs!$AF$3:$AF13)-1)</f>
        <v>104286.648</v>
      </c>
      <c r="AG13" s="371"/>
      <c r="AH13" s="366" t="str">
        <f>PROPER(TRIM(INDEX('FR Y-15 Data'!$A$1:$A$36,MATCH(AI13,'FR Y-15 Data'!$C$1:$C$66,0))))</f>
        <v>Goldman Sachs Group, Inc., The</v>
      </c>
      <c r="AI13" s="367">
        <f t="array" ref="AI13">INDEX(Indicators!$C$5:$C$38,SMALL(IF(Indicators!$H$5:$H$38=Graphs!AJ13,ROW(Indicators!$H$5:$H$38),""),COUNTIF(Graphs!$AJ$4:AJ13,Graphs!AJ13))-ROW(Indicators!$H$5)+1,0)</f>
        <v>2380443</v>
      </c>
      <c r="AJ13" s="369">
        <f>LARGE(Indicators!$H$5:$H$38,ROWS(Graphs!$AJ$3:$AJ13)-1)</f>
        <v>11306295</v>
      </c>
      <c r="AK13" s="371"/>
      <c r="AL13" s="366" t="str">
        <f>PROPER(TRIM(INDEX('FR Y-15 Data'!$A$1:$A$36,MATCH(AM13,'FR Y-15 Data'!$C$1:$C$66,0))))</f>
        <v>Fifth Third Bancorp</v>
      </c>
      <c r="AM13" s="367">
        <f t="array" ref="AM13">INDEX(Indicators!$C$5:$C$38,SMALL(IF(Indicators!$I$5:$I$38=Graphs!AN13,ROW(Indicators!$I$5:$I$38),""),COUNTIF(Graphs!$AN$4:AN13,Graphs!AN13))-ROW(Indicators!$I$5)+1,0)</f>
        <v>1070345</v>
      </c>
      <c r="AN13" s="369">
        <f>LARGE(Indicators!$I$5:$I$38,ROWS(Graphs!$AN$3:$AN13)-1)</f>
        <v>246920.64499999999</v>
      </c>
      <c r="AO13" s="371"/>
      <c r="AP13" s="366" t="str">
        <f>PROPER(TRIM(INDEX('FR Y-15 Data'!$A$1:$A$36,MATCH(AQ13,'FR Y-15 Data'!$C$1:$C$66,0))))</f>
        <v>M&amp;T Bank Corporation</v>
      </c>
      <c r="AQ13" s="367">
        <f t="array" ref="AQ13">INDEX(Indicators!$C$5:$C$38,SMALL(IF(Indicators!$J$5:$J$38=Graphs!AR13,ROW(Indicators!$J$5:$J$38),""),COUNTIF(Graphs!$AR$4:AR13,Graphs!AR13))-ROW(Indicators!$J$5)+1,0)</f>
        <v>1037003</v>
      </c>
      <c r="AR13" s="369">
        <f>LARGE(Indicators!$J$5:$J$38,ROWS(Graphs!$AR$3:$AR13)-1)</f>
        <v>25633.255000000001</v>
      </c>
      <c r="AS13" s="371"/>
      <c r="AT13" s="366" t="str">
        <f>PROPER(TRIM(INDEX('FR Y-15 Data'!$A$1:$A$36,MATCH(AU13,'FR Y-15 Data'!$C$1:$C$66,0))))</f>
        <v>Pnc Financial Services Group, Inc., The</v>
      </c>
      <c r="AU13" s="367">
        <f t="array" ref="AU13">INDEX(Indicators!$C$5:$C$38,SMALL(IF(Indicators!$K$5:$K$38=Graphs!AV13,ROW(Indicators!$K$5:$K$38),""),COUNTIF(Graphs!$AV$4:AV13,Graphs!AV13))-ROW(Indicators!$K$5)+1,0)</f>
        <v>1069778</v>
      </c>
      <c r="AV13" s="369">
        <f>LARGE(Indicators!$K$5:$K$38,ROWS(Graphs!$AV$3:$AV13)-1)</f>
        <v>278409</v>
      </c>
      <c r="AW13" s="371"/>
      <c r="AX13" s="366" t="str">
        <f>PROPER(TRIM(INDEX('FR Y-15 Data'!$A$1:$A$36,MATCH(AY13,'FR Y-15 Data'!$C$1:$C$66,0))))</f>
        <v>Bank Of New York Mellon Corporation, The</v>
      </c>
      <c r="AY13" s="367">
        <f t="array" ref="AY13">INDEX(Indicators!$C$5:$C$38,SMALL(IF(Indicators!$L$5:$L$38=Graphs!AZ13,ROW(Indicators!$L$5:$L$38),""),COUNTIF(Graphs!$AZ$4:AZ13,Graphs!AZ13))-ROW(Indicators!$L$5)+1,0)</f>
        <v>3587146</v>
      </c>
      <c r="AZ13" s="369">
        <f>LARGE(Indicators!$L$5:$L$38,ROWS(Graphs!$AZ$3:$AZ13)-1)</f>
        <v>25031</v>
      </c>
      <c r="BA13" s="371"/>
      <c r="BB13" s="366" t="str">
        <f>PROPER(TRIM(INDEX('FR Y-15 Data'!$A$1:$A$36,MATCH(BC13,'FR Y-15 Data'!$C$1:$C$66,0))))</f>
        <v>U.S. Bancorp</v>
      </c>
      <c r="BC13" s="367">
        <f t="array" ref="BC13">INDEX(Indicators!$C$5:$C$38,SMALL(IF(Indicators!$M$5:$M$38=Graphs!BD13,ROW(Indicators!$M$5:$M$38),""),COUNTIF(Graphs!$BD$4:BD13,Graphs!BD13))-ROW(Indicators!$M$5)+1,0)</f>
        <v>1119794</v>
      </c>
      <c r="BD13" s="369">
        <f>LARGE(Indicators!$M$5:$M$38,ROWS(Graphs!$BD$3:$BD13)-1)</f>
        <v>3754</v>
      </c>
      <c r="BE13" s="371"/>
      <c r="BF13" s="366" t="str">
        <f>PROPER(TRIM(INDEX('FR Y-15 Data'!$A$1:$A$36,MATCH(BG13,'FR Y-15 Data'!$C$1:$C$66,0))))</f>
        <v>Td Bank Us Holding Company</v>
      </c>
      <c r="BG13" s="367">
        <f t="array" ref="BG13">INDEX(Indicators!$C$5:$C$38,SMALL(IF(Indicators!$N$5:$N$38=Graphs!BH13,ROW(Indicators!$N$5:$N$38),""),COUNTIF(Graphs!$BH$4:BH13,Graphs!BH13))-ROW(Indicators!$N$5)+1,0)</f>
        <v>1249196</v>
      </c>
      <c r="BH13" s="369">
        <f>LARGE(Indicators!$N$5:$N$38,ROWS(Graphs!$BH$3:$BH13)-1)</f>
        <v>28605</v>
      </c>
      <c r="BI13" s="371"/>
      <c r="BJ13" s="366" t="str">
        <f>PROPER(TRIM(INDEX('FR Y-15 Data'!$A$1:$A$36,MATCH(BK13,'FR Y-15 Data'!$C$1:$C$66,0))))</f>
        <v>U.S. Bancorp</v>
      </c>
      <c r="BK13" s="367">
        <f t="array" ref="BK13">INDEX(Indicators!$C$5:$C$38,SMALL(IF(Indicators!$O$5:$O$38=Graphs!BL13,ROW(Indicators!$O$5:$O$38),""),COUNTIF(Graphs!$BL$4:BL13,Graphs!BL13))-ROW(Indicators!$O$5)+1,0)</f>
        <v>1119794</v>
      </c>
      <c r="BL13" s="369">
        <f>LARGE(Indicators!$O$5:$O$38,ROWS(Graphs!$BL$3:$BL13)-1)</f>
        <v>32731</v>
      </c>
      <c r="BM13" s="371"/>
      <c r="BN13" s="366" t="str">
        <f>PROPER(TRIM(INDEX('FR Y-15 Data'!$A$1:$A$36,MATCH(BO13,'FR Y-15 Data'!$C$1:$C$66,0))))</f>
        <v>Citigroup Inc.</v>
      </c>
      <c r="BO13" s="367">
        <f t="array" ref="BO13">INDEX(Scores!$C$10:$C$43,SMALL(IF(Scores!$P$10:$P$43=Graphs!BP13,ROW(Scores!$P$10:$P$43),""),COUNTIF(Graphs!$BP$4:BP13,Graphs!BP13))-ROW(Scores!$P$10)+1,0)</f>
        <v>1951350</v>
      </c>
      <c r="BP13" s="372">
        <f>LARGE(Scores!$P$10:$P$64,ROWS($BP$3:$BP13)-1)</f>
        <v>0</v>
      </c>
      <c r="BQ13" s="55"/>
      <c r="BR13" s="55"/>
      <c r="BS13" s="55"/>
      <c r="BT13" s="55"/>
      <c r="BU13" s="55"/>
      <c r="BV13" s="55"/>
      <c r="BW13" s="55"/>
    </row>
    <row r="14" spans="2:211" ht="15" customHeight="1">
      <c r="R14" s="366" t="str">
        <f>PROPER(TRIM(INDEX('FR Y-15 Data'!$A$1:$A$36,MATCH(S14,'FR Y-15 Data'!$C$1:$C$66,0))))</f>
        <v>Capital One Financial Corporation</v>
      </c>
      <c r="S14" s="367">
        <f t="array" ref="S14">INDEX(Indicators!$C$5:$C$38,SMALL(IF(Indicators!$D$5:$D$38=Graphs!T14,ROW(Indicators!$D$5:$D$38),""),COUNTIF(Graphs!$T$4:T14,Graphs!T14))-ROW(Indicators!$D$5)+1,0)</f>
        <v>2277860</v>
      </c>
      <c r="T14" s="369">
        <f>LARGE(Indicators!$D$5:$D$38,ROWS(Graphs!$T$3:$T14)-1)</f>
        <v>353601.304</v>
      </c>
      <c r="U14" s="370"/>
      <c r="V14" s="366" t="str">
        <f>PROPER(TRIM(INDEX('FR Y-15 Data'!$A$1:$A$36,MATCH(W14,'FR Y-15 Data'!$C$1:$C$66,0))))</f>
        <v>Deutsche Bank Trust Corporation</v>
      </c>
      <c r="W14" s="367">
        <f t="array" ref="W14">INDEX(Indicators!$C$5:$C$38,SMALL(IF(Indicators!$E$5:$E$38=Graphs!X14,ROW(Indicators!$E$5:$E$38),""),COUNTIF(Graphs!$X$4:X14,Graphs!X14))-ROW(Indicators!$E$5)+1,0)</f>
        <v>1032473</v>
      </c>
      <c r="X14" s="369">
        <f>LARGE(Indicators!$E$5:$E$38,ROWS(Graphs!$X$3:$X14)-1)</f>
        <v>24422.799999999999</v>
      </c>
      <c r="Y14" s="370"/>
      <c r="Z14" s="366" t="str">
        <f>PROPER(TRIM(INDEX('FR Y-15 Data'!$A$1:$A$36,MATCH(AA14,'FR Y-15 Data'!$C$1:$C$66,0))))</f>
        <v>Northern Trust Corporation</v>
      </c>
      <c r="AA14" s="367">
        <f t="array" ref="AA14">INDEX(Indicators!$C$5:$C$38,SMALL(IF(Indicators!$F$5:$F$38=Graphs!AB14,ROW(Indicators!$F$5:$F$38),""),COUNTIF(Graphs!$AB$4:AB14,Graphs!AB14))-ROW(Indicators!$F$5)+1,0)</f>
        <v>1199611</v>
      </c>
      <c r="AB14" s="369">
        <f>LARGE(Indicators!$F$5:$F$38,ROWS(Graphs!$AB$3:$AB14)-1)</f>
        <v>17567.797999999999</v>
      </c>
      <c r="AC14" s="370"/>
      <c r="AD14" s="366" t="str">
        <f>PROPER(TRIM(INDEX('FR Y-15 Data'!$A$1:$A$36,MATCH(AE14,'FR Y-15 Data'!$C$1:$C$66,0))))</f>
        <v>Discover Financial Services</v>
      </c>
      <c r="AE14" s="367">
        <f t="array" ref="AE14">INDEX(Indicators!$C$5:$C$38,SMALL(IF(Indicators!$G$5:$G$38=Graphs!AF14,ROW(Indicators!$G$5:$G$38),""),COUNTIF(Graphs!$AF$4:AF14,Graphs!AF14))-ROW(Indicators!$G$5)+1,0)</f>
        <v>3846375</v>
      </c>
      <c r="AF14" s="369">
        <f>LARGE(Indicators!$G$5:$G$38,ROWS(Graphs!$AF$3:$AF14)-1)</f>
        <v>79096.437999999995</v>
      </c>
      <c r="AG14" s="371"/>
      <c r="AH14" s="366" t="str">
        <f>PROPER(TRIM(INDEX('FR Y-15 Data'!$A$1:$A$36,MATCH(AI14,'FR Y-15 Data'!$C$1:$C$66,0))))</f>
        <v>U.S. Bancorp</v>
      </c>
      <c r="AI14" s="367">
        <f t="array" ref="AI14">INDEX(Indicators!$C$5:$C$38,SMALL(IF(Indicators!$H$5:$H$38=Graphs!AJ14,ROW(Indicators!$H$5:$H$38),""),COUNTIF(Graphs!$AJ$4:AJ14,Graphs!AJ14))-ROW(Indicators!$H$5)+1,0)</f>
        <v>1119794</v>
      </c>
      <c r="AJ14" s="369">
        <f>LARGE(Indicators!$H$5:$H$38,ROWS(Graphs!$AJ$3:$AJ14)-1)</f>
        <v>7772596</v>
      </c>
      <c r="AK14" s="371"/>
      <c r="AL14" s="366" t="str">
        <f>PROPER(TRIM(INDEX('FR Y-15 Data'!$A$1:$A$36,MATCH(AM14,'FR Y-15 Data'!$C$1:$C$66,0))))</f>
        <v>Pnc Financial Services Group, Inc., The</v>
      </c>
      <c r="AM14" s="367">
        <f t="array" ref="AM14">INDEX(Indicators!$C$5:$C$38,SMALL(IF(Indicators!$I$5:$I$38=Graphs!AN14,ROW(Indicators!$I$5:$I$38),""),COUNTIF(Graphs!$AN$4:AN14,Graphs!AN14))-ROW(Indicators!$I$5)+1,0)</f>
        <v>1069778</v>
      </c>
      <c r="AN14" s="369">
        <f>LARGE(Indicators!$I$5:$I$38,ROWS(Graphs!$AN$3:$AN14)-1)</f>
        <v>171000</v>
      </c>
      <c r="AO14" s="371"/>
      <c r="AP14" s="366" t="str">
        <f>PROPER(TRIM(INDEX('FR Y-15 Data'!$A$1:$A$36,MATCH(AQ14,'FR Y-15 Data'!$C$1:$C$66,0))))</f>
        <v>Pnc Financial Services Group, Inc., The</v>
      </c>
      <c r="AQ14" s="367">
        <f t="array" ref="AQ14">INDEX(Indicators!$C$5:$C$38,SMALL(IF(Indicators!$J$5:$J$38=Graphs!AR14,ROW(Indicators!$J$5:$J$38),""),COUNTIF(Graphs!$AR$4:AR14,Graphs!AR14))-ROW(Indicators!$J$5)+1,0)</f>
        <v>1069778</v>
      </c>
      <c r="AR14" s="369">
        <f>LARGE(Indicators!$J$5:$J$38,ROWS(Graphs!$AR$3:$AR14)-1)</f>
        <v>12740</v>
      </c>
      <c r="AS14" s="371"/>
      <c r="AT14" s="366" t="str">
        <f>PROPER(TRIM(INDEX('FR Y-15 Data'!$A$1:$A$36,MATCH(AU14,'FR Y-15 Data'!$C$1:$C$66,0))))</f>
        <v>Northern Trust Corporation</v>
      </c>
      <c r="AU14" s="367">
        <f t="array" ref="AU14">INDEX(Indicators!$C$5:$C$38,SMALL(IF(Indicators!$K$5:$K$38=Graphs!AV14,ROW(Indicators!$K$5:$K$38),""),COUNTIF(Graphs!$AV$4:AV14,Graphs!AV14))-ROW(Indicators!$K$5)+1,0)</f>
        <v>1199611</v>
      </c>
      <c r="AV14" s="369">
        <f>LARGE(Indicators!$K$5:$K$38,ROWS(Graphs!$AV$3:$AV14)-1)</f>
        <v>270053.50300000003</v>
      </c>
      <c r="AW14" s="371"/>
      <c r="AX14" s="366" t="str">
        <f>PROPER(TRIM(INDEX('FR Y-15 Data'!$A$1:$A$36,MATCH(AY14,'FR Y-15 Data'!$C$1:$C$66,0))))</f>
        <v>Pnc Financial Services Group, Inc., The</v>
      </c>
      <c r="AY14" s="367">
        <f t="array" ref="AY14">INDEX(Indicators!$C$5:$C$38,SMALL(IF(Indicators!$L$5:$L$38=Graphs!AZ14,ROW(Indicators!$L$5:$L$38),""),COUNTIF(Graphs!$AZ$4:AZ14,Graphs!AZ14))-ROW(Indicators!$L$5)+1,0)</f>
        <v>1069778</v>
      </c>
      <c r="AZ14" s="369">
        <f>LARGE(Indicators!$L$5:$L$38,ROWS(Graphs!$AZ$3:$AZ14)-1)</f>
        <v>16384.612000000001</v>
      </c>
      <c r="BA14" s="371"/>
      <c r="BB14" s="366" t="str">
        <f>PROPER(TRIM(INDEX('FR Y-15 Data'!$A$1:$A$36,MATCH(BC14,'FR Y-15 Data'!$C$1:$C$66,0))))</f>
        <v>Suntrust Banks, Inc.</v>
      </c>
      <c r="BC14" s="367">
        <f t="array" ref="BC14">INDEX(Indicators!$C$5:$C$38,SMALL(IF(Indicators!$M$5:$M$38=Graphs!BD14,ROW(Indicators!$M$5:$M$38),""),COUNTIF(Graphs!$BD$4:BD14,Graphs!BD14))-ROW(Indicators!$M$5)+1,0)</f>
        <v>1131787</v>
      </c>
      <c r="BD14" s="369">
        <f>LARGE(Indicators!$M$5:$M$38,ROWS(Graphs!$BD$3:$BD14)-1)</f>
        <v>2450.076</v>
      </c>
      <c r="BE14" s="371"/>
      <c r="BF14" s="366" t="str">
        <f>PROPER(TRIM(INDEX('FR Y-15 Data'!$A$1:$A$36,MATCH(BG14,'FR Y-15 Data'!$C$1:$C$66,0))))</f>
        <v>American Express Company</v>
      </c>
      <c r="BG14" s="367">
        <f t="array" ref="BG14">INDEX(Indicators!$C$5:$C$38,SMALL(IF(Indicators!$N$5:$N$38=Graphs!BH14,ROW(Indicators!$N$5:$N$38),""),COUNTIF(Graphs!$BH$4:BH14,Graphs!BH14))-ROW(Indicators!$N$5)+1,0)</f>
        <v>1275216</v>
      </c>
      <c r="BH14" s="369">
        <f>LARGE(Indicators!$N$5:$N$38,ROWS(Graphs!$BH$3:$BH14)-1)</f>
        <v>27728</v>
      </c>
      <c r="BI14" s="371"/>
      <c r="BJ14" s="366" t="str">
        <f>PROPER(TRIM(INDEX('FR Y-15 Data'!$A$1:$A$36,MATCH(BK14,'FR Y-15 Data'!$C$1:$C$66,0))))</f>
        <v>American Express Company</v>
      </c>
      <c r="BK14" s="367">
        <f t="array" ref="BK14">INDEX(Indicators!$C$5:$C$38,SMALL(IF(Indicators!$O$5:$O$38=Graphs!BL14,ROW(Indicators!$O$5:$O$38),""),COUNTIF(Graphs!$BL$4:BL14,Graphs!BL14))-ROW(Indicators!$O$5)+1,0)</f>
        <v>1275216</v>
      </c>
      <c r="BL14" s="369">
        <f>LARGE(Indicators!$O$5:$O$38,ROWS(Graphs!$BL$3:$BL14)-1)</f>
        <v>17541</v>
      </c>
      <c r="BM14" s="371"/>
      <c r="BN14" s="366" t="str">
        <f>PROPER(TRIM(INDEX('FR Y-15 Data'!$A$1:$A$36,MATCH(BO14,'FR Y-15 Data'!$C$1:$C$66,0))))</f>
        <v>Citizens Financial Group, Inc.</v>
      </c>
      <c r="BO14" s="367">
        <f t="array" ref="BO14">INDEX(Scores!$C$10:$C$43,SMALL(IF(Scores!$P$10:$P$43=Graphs!BP14,ROW(Scores!$P$10:$P$43),""),COUNTIF(Graphs!$BP$4:BP14,Graphs!BP14))-ROW(Scores!$P$10)+1,0)</f>
        <v>1132449</v>
      </c>
      <c r="BP14" s="372">
        <f>LARGE(Scores!$P$10:$P$64,ROWS($BP$3:$BP14)-1)</f>
        <v>0</v>
      </c>
      <c r="BQ14" s="55"/>
      <c r="BR14" s="55"/>
      <c r="BS14" s="55"/>
      <c r="BT14" s="55"/>
      <c r="BU14" s="55"/>
      <c r="BV14" s="55"/>
      <c r="BW14" s="55"/>
    </row>
    <row r="15" spans="2:211" ht="15" customHeight="1">
      <c r="R15" s="366" t="str">
        <f>PROPER(TRIM(INDEX('FR Y-15 Data'!$A$1:$A$36,MATCH(S15,'FR Y-15 Data'!$C$1:$C$66,0))))</f>
        <v>State Street Corporation</v>
      </c>
      <c r="S15" s="367">
        <f t="array" ref="S15">INDEX(Indicators!$C$5:$C$38,SMALL(IF(Indicators!$D$5:$D$38=Graphs!T15,ROW(Indicators!$D$5:$D$38),""),COUNTIF(Graphs!$T$4:T15,Graphs!T15))-ROW(Indicators!$D$5)+1,0)</f>
        <v>1111435</v>
      </c>
      <c r="T15" s="369">
        <f>LARGE(Indicators!$D$5:$D$38,ROWS(Graphs!$T$3:$T15)-1)</f>
        <v>292211.65500000003</v>
      </c>
      <c r="U15" s="370"/>
      <c r="V15" s="366" t="str">
        <f>PROPER(TRIM(INDEX('FR Y-15 Data'!$A$1:$A$36,MATCH(W15,'FR Y-15 Data'!$C$1:$C$66,0))))</f>
        <v>Pnc Financial Services Group, Inc., The</v>
      </c>
      <c r="W15" s="367">
        <f t="array" ref="W15">INDEX(Indicators!$C$5:$C$38,SMALL(IF(Indicators!$E$5:$E$38=Graphs!X15,ROW(Indicators!$E$5:$E$38),""),COUNTIF(Graphs!$X$4:X15,Graphs!X15))-ROW(Indicators!$E$5)+1,0)</f>
        <v>1069778</v>
      </c>
      <c r="X15" s="369">
        <f>LARGE(Indicators!$E$5:$E$38,ROWS(Graphs!$X$3:$X15)-1)</f>
        <v>18636</v>
      </c>
      <c r="Y15" s="370"/>
      <c r="Z15" s="366" t="str">
        <f>PROPER(TRIM(INDEX('FR Y-15 Data'!$A$1:$A$36,MATCH(AA15,'FR Y-15 Data'!$C$1:$C$66,0))))</f>
        <v>U.S. Bancorp</v>
      </c>
      <c r="AA15" s="367">
        <f t="array" ref="AA15">INDEX(Indicators!$C$5:$C$38,SMALL(IF(Indicators!$F$5:$F$38=Graphs!AB15,ROW(Indicators!$F$5:$F$38),""),COUNTIF(Graphs!$AB$4:AB15,Graphs!AB15))-ROW(Indicators!$F$5)+1,0)</f>
        <v>1119794</v>
      </c>
      <c r="AB15" s="369">
        <f>LARGE(Indicators!$F$5:$F$38,ROWS(Graphs!$AB$3:$AB15)-1)</f>
        <v>13976</v>
      </c>
      <c r="AC15" s="370"/>
      <c r="AD15" s="366" t="str">
        <f>PROPER(TRIM(INDEX('FR Y-15 Data'!$A$1:$A$36,MATCH(AE15,'FR Y-15 Data'!$C$1:$C$66,0))))</f>
        <v>Pnc Financial Services Group, Inc., The</v>
      </c>
      <c r="AE15" s="367">
        <f t="array" ref="AE15">INDEX(Indicators!$C$5:$C$38,SMALL(IF(Indicators!$G$5:$G$38=Graphs!AF15,ROW(Indicators!$G$5:$G$38),""),COUNTIF(Graphs!$AF$4:AF15,Graphs!AF15))-ROW(Indicators!$G$5)+1,0)</f>
        <v>1069778</v>
      </c>
      <c r="AF15" s="369">
        <f>LARGE(Indicators!$G$5:$G$38,ROWS(Graphs!$AF$3:$AF15)-1)</f>
        <v>78034.804000000004</v>
      </c>
      <c r="AG15" s="371"/>
      <c r="AH15" s="366" t="str">
        <f>PROPER(TRIM(INDEX('FR Y-15 Data'!$A$1:$A$36,MATCH(AI15,'FR Y-15 Data'!$C$1:$C$66,0))))</f>
        <v>Bmo Financial Corp.</v>
      </c>
      <c r="AI15" s="367">
        <f t="array" ref="AI15">INDEX(Indicators!$C$5:$C$38,SMALL(IF(Indicators!$H$5:$H$38=Graphs!AJ15,ROW(Indicators!$H$5:$H$38),""),COUNTIF(Graphs!$AJ$4:AJ15,Graphs!AJ15))-ROW(Indicators!$H$5)+1,0)</f>
        <v>1245415</v>
      </c>
      <c r="AJ15" s="369">
        <f>LARGE(Indicators!$H$5:$H$38,ROWS(Graphs!$AJ$3:$AJ15)-1)</f>
        <v>6179034.4989999998</v>
      </c>
      <c r="AK15" s="371"/>
      <c r="AL15" s="366" t="str">
        <f>PROPER(TRIM(INDEX('FR Y-15 Data'!$A$1:$A$36,MATCH(AM15,'FR Y-15 Data'!$C$1:$C$66,0))))</f>
        <v>Bank Of America Corporation</v>
      </c>
      <c r="AM15" s="367">
        <f t="array" ref="AM15">INDEX(Indicators!$C$5:$C$38,SMALL(IF(Indicators!$I$5:$I$38=Graphs!AN15,ROW(Indicators!$I$5:$I$38),""),COUNTIF(Graphs!$AN$4:AN15,Graphs!AN15))-ROW(Indicators!$I$5)+1,0)</f>
        <v>1073757</v>
      </c>
      <c r="AN15" s="369">
        <f>LARGE(Indicators!$I$5:$I$38,ROWS(Graphs!$AN$3:$AN15)-1)</f>
        <v>139555</v>
      </c>
      <c r="AO15" s="371"/>
      <c r="AP15" s="366" t="str">
        <f>PROPER(TRIM(INDEX('FR Y-15 Data'!$A$1:$A$36,MATCH(AQ15,'FR Y-15 Data'!$C$1:$C$66,0))))</f>
        <v>Suntrust Banks, Inc.</v>
      </c>
      <c r="AQ15" s="367">
        <f t="array" ref="AQ15">INDEX(Indicators!$C$5:$C$38,SMALL(IF(Indicators!$J$5:$J$38=Graphs!AR15,ROW(Indicators!$J$5:$J$38),""),COUNTIF(Graphs!$AR$4:AR15,Graphs!AR15))-ROW(Indicators!$J$5)+1,0)</f>
        <v>1131787</v>
      </c>
      <c r="AR15" s="369">
        <f>LARGE(Indicators!$J$5:$J$38,ROWS(Graphs!$AR$3:$AR15)-1)</f>
        <v>11870.763000000001</v>
      </c>
      <c r="AS15" s="371"/>
      <c r="AT15" s="366" t="str">
        <f>PROPER(TRIM(INDEX('FR Y-15 Data'!$A$1:$A$36,MATCH(AU15,'FR Y-15 Data'!$C$1:$C$66,0))))</f>
        <v>Td Bank Us Holding Company</v>
      </c>
      <c r="AU15" s="367">
        <f t="array" ref="AU15">INDEX(Indicators!$C$5:$C$38,SMALL(IF(Indicators!$K$5:$K$38=Graphs!AV15,ROW(Indicators!$K$5:$K$38),""),COUNTIF(Graphs!$AV$4:AV15,Graphs!AV15))-ROW(Indicators!$K$5)+1,0)</f>
        <v>1249196</v>
      </c>
      <c r="AV15" s="369">
        <f>LARGE(Indicators!$K$5:$K$38,ROWS(Graphs!$AV$3:$AV15)-1)</f>
        <v>234593.80900000001</v>
      </c>
      <c r="AW15" s="371"/>
      <c r="AX15" s="366" t="str">
        <f>PROPER(TRIM(INDEX('FR Y-15 Data'!$A$1:$A$36,MATCH(AY15,'FR Y-15 Data'!$C$1:$C$66,0))))</f>
        <v>U.S. Bancorp</v>
      </c>
      <c r="AY15" s="367">
        <f t="array" ref="AY15">INDEX(Indicators!$C$5:$C$38,SMALL(IF(Indicators!$L$5:$L$38=Graphs!AZ15,ROW(Indicators!$L$5:$L$38),""),COUNTIF(Graphs!$AZ$4:AZ15,Graphs!AZ15))-ROW(Indicators!$L$5)+1,0)</f>
        <v>1119794</v>
      </c>
      <c r="AZ15" s="369">
        <f>LARGE(Indicators!$L$5:$L$38,ROWS(Graphs!$AZ$3:$AZ15)-1)</f>
        <v>13830</v>
      </c>
      <c r="BA15" s="371"/>
      <c r="BB15" s="366" t="str">
        <f>PROPER(TRIM(INDEX('FR Y-15 Data'!$A$1:$A$36,MATCH(BC15,'FR Y-15 Data'!$C$1:$C$66,0))))</f>
        <v>Santander Holdings Usa, Inc.</v>
      </c>
      <c r="BC15" s="367">
        <f t="array" ref="BC15">INDEX(Indicators!$C$5:$C$38,SMALL(IF(Indicators!$M$5:$M$38=Graphs!BD15,ROW(Indicators!$M$5:$M$38),""),COUNTIF(Graphs!$BD$4:BD15,Graphs!BD15))-ROW(Indicators!$M$5)+1,0)</f>
        <v>3981856</v>
      </c>
      <c r="BD15" s="369">
        <f>LARGE(Indicators!$M$5:$M$38,ROWS(Graphs!$BD$3:$BD15)-1)</f>
        <v>2261.6709999999998</v>
      </c>
      <c r="BE15" s="371"/>
      <c r="BF15" s="366" t="str">
        <f>PROPER(TRIM(INDEX('FR Y-15 Data'!$A$1:$A$36,MATCH(BG15,'FR Y-15 Data'!$C$1:$C$66,0))))</f>
        <v>Northern Trust Corporation</v>
      </c>
      <c r="BG15" s="367">
        <f t="array" ref="BG15">INDEX(Indicators!$C$5:$C$38,SMALL(IF(Indicators!$N$5:$N$38=Graphs!BH15,ROW(Indicators!$N$5:$N$38),""),COUNTIF(Graphs!$BH$4:BH15,Graphs!BH15))-ROW(Indicators!$N$5)+1,0)</f>
        <v>1199611</v>
      </c>
      <c r="BH15" s="369">
        <f>LARGE(Indicators!$N$5:$N$38,ROWS(Graphs!$BH$3:$BH15)-1)</f>
        <v>26139</v>
      </c>
      <c r="BI15" s="371"/>
      <c r="BJ15" s="366" t="str">
        <f>PROPER(TRIM(INDEX('FR Y-15 Data'!$A$1:$A$36,MATCH(BK15,'FR Y-15 Data'!$C$1:$C$66,0))))</f>
        <v>Bmo Financial Corp.</v>
      </c>
      <c r="BK15" s="367">
        <f t="array" ref="BK15">INDEX(Indicators!$C$5:$C$38,SMALL(IF(Indicators!$O$5:$O$38=Graphs!BL15,ROW(Indicators!$O$5:$O$38),""),COUNTIF(Graphs!$BL$4:BL15,Graphs!BL15))-ROW(Indicators!$O$5)+1,0)</f>
        <v>1245415</v>
      </c>
      <c r="BL15" s="369">
        <f>LARGE(Indicators!$O$5:$O$38,ROWS(Graphs!$BL$3:$BL15)-1)</f>
        <v>7177</v>
      </c>
      <c r="BM15" s="371"/>
      <c r="BN15" s="366" t="str">
        <f>PROPER(TRIM(INDEX('FR Y-15 Data'!$A$1:$A$36,MATCH(BO15,'FR Y-15 Data'!$C$1:$C$66,0))))</f>
        <v>Comerica Incorporated</v>
      </c>
      <c r="BO15" s="367">
        <f t="array" ref="BO15">INDEX(Scores!$C$10:$C$43,SMALL(IF(Scores!$P$10:$P$43=Graphs!BP15,ROW(Scores!$P$10:$P$43),""),COUNTIF(Graphs!$BP$4:BP15,Graphs!BP15))-ROW(Scores!$P$10)+1,0)</f>
        <v>1199844</v>
      </c>
      <c r="BP15" s="372">
        <f>LARGE(Scores!$P$10:$P$64,ROWS($BP$3:$BP15)-1)</f>
        <v>0</v>
      </c>
      <c r="BQ15" s="55"/>
      <c r="BR15" s="55"/>
      <c r="BS15" s="55"/>
      <c r="BT15" s="55"/>
      <c r="BU15" s="55"/>
      <c r="BV15" s="55"/>
      <c r="BW15" s="55"/>
    </row>
    <row r="16" spans="2:211" ht="15" customHeight="1">
      <c r="R16" s="366" t="str">
        <f>PROPER(TRIM(INDEX('FR Y-15 Data'!$A$1:$A$36,MATCH(S16,'FR Y-15 Data'!$C$1:$C$66,0))))</f>
        <v>Td Bank Us Holding Company</v>
      </c>
      <c r="S16" s="367">
        <f t="array" ref="S16">INDEX(Indicators!$C$5:$C$38,SMALL(IF(Indicators!$D$5:$D$38=Graphs!T16,ROW(Indicators!$D$5:$D$38),""),COUNTIF(Graphs!$T$4:T16,Graphs!T16))-ROW(Indicators!$D$5)+1,0)</f>
        <v>1249196</v>
      </c>
      <c r="T16" s="369">
        <f>LARGE(Indicators!$D$5:$D$38,ROWS(Graphs!$T$3:$T16)-1)</f>
        <v>283631.859</v>
      </c>
      <c r="U16" s="370"/>
      <c r="V16" s="366" t="str">
        <f>PROPER(TRIM(INDEX('FR Y-15 Data'!$A$1:$A$36,MATCH(W16,'FR Y-15 Data'!$C$1:$C$66,0))))</f>
        <v>Capital One Financial Corporation</v>
      </c>
      <c r="W16" s="367">
        <f t="array" ref="W16">INDEX(Indicators!$C$5:$C$38,SMALL(IF(Indicators!$E$5:$E$38=Graphs!X16,ROW(Indicators!$E$5:$E$38),""),COUNTIF(Graphs!$X$4:X16,Graphs!X16))-ROW(Indicators!$E$5)+1,0)</f>
        <v>2277860</v>
      </c>
      <c r="X16" s="369">
        <f>LARGE(Indicators!$E$5:$E$38,ROWS(Graphs!$X$3:$X16)-1)</f>
        <v>17493.034</v>
      </c>
      <c r="Y16" s="370"/>
      <c r="Z16" s="366" t="str">
        <f>PROPER(TRIM(INDEX('FR Y-15 Data'!$A$1:$A$36,MATCH(AA16,'FR Y-15 Data'!$C$1:$C$66,0))))</f>
        <v>Ally Financial Inc.</v>
      </c>
      <c r="AA16" s="367">
        <f t="array" ref="AA16">INDEX(Indicators!$C$5:$C$38,SMALL(IF(Indicators!$F$5:$F$38=Graphs!AB16,ROW(Indicators!$F$5:$F$38),""),COUNTIF(Graphs!$AB$4:AB16,Graphs!AB16))-ROW(Indicators!$F$5)+1,0)</f>
        <v>1562859</v>
      </c>
      <c r="AB16" s="369">
        <f>LARGE(Indicators!$F$5:$F$38,ROWS(Graphs!$AB$3:$AB16)-1)</f>
        <v>13796</v>
      </c>
      <c r="AC16" s="370"/>
      <c r="AD16" s="366" t="str">
        <f>PROPER(TRIM(INDEX('FR Y-15 Data'!$A$1:$A$36,MATCH(AE16,'FR Y-15 Data'!$C$1:$C$66,0))))</f>
        <v>Bb&amp;T Corporation</v>
      </c>
      <c r="AE16" s="367">
        <f t="array" ref="AE16">INDEX(Indicators!$C$5:$C$38,SMALL(IF(Indicators!$G$5:$G$38=Graphs!AF16,ROW(Indicators!$G$5:$G$38),""),COUNTIF(Graphs!$AF$4:AF16,Graphs!AF16))-ROW(Indicators!$G$5)+1,0)</f>
        <v>1074156</v>
      </c>
      <c r="AF16" s="369">
        <f>LARGE(Indicators!$G$5:$G$38,ROWS(Graphs!$AF$3:$AF16)-1)</f>
        <v>68023.414000000004</v>
      </c>
      <c r="AG16" s="371"/>
      <c r="AH16" s="366" t="str">
        <f>PROPER(TRIM(INDEX('FR Y-15 Data'!$A$1:$A$36,MATCH(AI16,'FR Y-15 Data'!$C$1:$C$66,0))))</f>
        <v>Hsbc North America Holdings Inc.</v>
      </c>
      <c r="AI16" s="367">
        <f t="array" ref="AI16">INDEX(Indicators!$C$5:$C$38,SMALL(IF(Indicators!$H$5:$H$38=Graphs!AJ16,ROW(Indicators!$H$5:$H$38),""),COUNTIF(Graphs!$AJ$4:AJ16,Graphs!AJ16))-ROW(Indicators!$H$5)+1,0)</f>
        <v>3232316</v>
      </c>
      <c r="AJ16" s="369">
        <f>LARGE(Indicators!$H$5:$H$38,ROWS(Graphs!$AJ$3:$AJ16)-1)</f>
        <v>3704706.9369999999</v>
      </c>
      <c r="AK16" s="371"/>
      <c r="AL16" s="366" t="str">
        <f>PROPER(TRIM(INDEX('FR Y-15 Data'!$A$1:$A$36,MATCH(AM16,'FR Y-15 Data'!$C$1:$C$66,0))))</f>
        <v>Bmo Financial Corp.</v>
      </c>
      <c r="AM16" s="367">
        <f t="array" ref="AM16">INDEX(Indicators!$C$5:$C$38,SMALL(IF(Indicators!$I$5:$I$38=Graphs!AN16,ROW(Indicators!$I$5:$I$38),""),COUNTIF(Graphs!$AN$4:AN16,Graphs!AN16))-ROW(Indicators!$I$5)+1,0)</f>
        <v>1245415</v>
      </c>
      <c r="AN16" s="369">
        <f>LARGE(Indicators!$I$5:$I$38,ROWS(Graphs!$AN$3:$AN16)-1)</f>
        <v>135147.14499999999</v>
      </c>
      <c r="AO16" s="371"/>
      <c r="AP16" s="366" t="str">
        <f>PROPER(TRIM(INDEX('FR Y-15 Data'!$A$1:$A$36,MATCH(AQ16,'FR Y-15 Data'!$C$1:$C$66,0))))</f>
        <v>Bmo Financial Corp.</v>
      </c>
      <c r="AQ16" s="367">
        <f t="array" ref="AQ16">INDEX(Indicators!$C$5:$C$38,SMALL(IF(Indicators!$J$5:$J$38=Graphs!AR16,ROW(Indicators!$J$5:$J$38),""),COUNTIF(Graphs!$AR$4:AR16,Graphs!AR16))-ROW(Indicators!$J$5)+1,0)</f>
        <v>1245415</v>
      </c>
      <c r="AR16" s="369">
        <f>LARGE(Indicators!$J$5:$J$38,ROWS(Graphs!$AR$3:$AR16)-1)</f>
        <v>8401.4519999999993</v>
      </c>
      <c r="AS16" s="371"/>
      <c r="AT16" s="366" t="str">
        <f>PROPER(TRIM(INDEX('FR Y-15 Data'!$A$1:$A$36,MATCH(AU16,'FR Y-15 Data'!$C$1:$C$66,0))))</f>
        <v>Suntrust Banks, Inc.</v>
      </c>
      <c r="AU16" s="367">
        <f t="array" ref="AU16">INDEX(Indicators!$C$5:$C$38,SMALL(IF(Indicators!$K$5:$K$38=Graphs!AV16,ROW(Indicators!$K$5:$K$38),""),COUNTIF(Graphs!$AV$4:AV16,Graphs!AV16))-ROW(Indicators!$K$5)+1,0)</f>
        <v>1131787</v>
      </c>
      <c r="AV16" s="369">
        <f>LARGE(Indicators!$K$5:$K$38,ROWS(Graphs!$AV$3:$AV16)-1)</f>
        <v>195902.55799999999</v>
      </c>
      <c r="AW16" s="371"/>
      <c r="AX16" s="366" t="str">
        <f>PROPER(TRIM(INDEX('FR Y-15 Data'!$A$1:$A$36,MATCH(AY16,'FR Y-15 Data'!$C$1:$C$66,0))))</f>
        <v>Capital One Financial Corporation</v>
      </c>
      <c r="AY16" s="367">
        <f t="array" ref="AY16">INDEX(Indicators!$C$5:$C$38,SMALL(IF(Indicators!$L$5:$L$38=Graphs!AZ16,ROW(Indicators!$L$5:$L$38),""),COUNTIF(Graphs!$AZ$4:AZ16,Graphs!AZ16))-ROW(Indicators!$L$5)+1,0)</f>
        <v>2277860</v>
      </c>
      <c r="AZ16" s="369">
        <f>LARGE(Indicators!$L$5:$L$38,ROWS(Graphs!$AZ$3:$AZ16)-1)</f>
        <v>10913.084999999999</v>
      </c>
      <c r="BA16" s="371"/>
      <c r="BB16" s="366" t="str">
        <f>PROPER(TRIM(INDEX('FR Y-15 Data'!$A$1:$A$36,MATCH(BC16,'FR Y-15 Data'!$C$1:$C$66,0))))</f>
        <v>Mufg Americas Holdings Corporation</v>
      </c>
      <c r="BC16" s="367">
        <f t="array" ref="BC16">INDEX(Indicators!$C$5:$C$38,SMALL(IF(Indicators!$M$5:$M$38=Graphs!BD16,ROW(Indicators!$M$5:$M$38),""),COUNTIF(Graphs!$BD$4:BD16,Graphs!BD16))-ROW(Indicators!$M$5)+1,0)</f>
        <v>1378434</v>
      </c>
      <c r="BD16" s="369">
        <f>LARGE(Indicators!$M$5:$M$38,ROWS(Graphs!$BD$3:$BD16)-1)</f>
        <v>2102.1060000000002</v>
      </c>
      <c r="BE16" s="371"/>
      <c r="BF16" s="366" t="str">
        <f>PROPER(TRIM(INDEX('FR Y-15 Data'!$A$1:$A$36,MATCH(BG16,'FR Y-15 Data'!$C$1:$C$66,0))))</f>
        <v>Capital One Financial Corporation</v>
      </c>
      <c r="BG16" s="367">
        <f t="array" ref="BG16">INDEX(Indicators!$C$5:$C$38,SMALL(IF(Indicators!$N$5:$N$38=Graphs!BH16,ROW(Indicators!$N$5:$N$38),""),COUNTIF(Graphs!$BH$4:BH16,Graphs!BH16))-ROW(Indicators!$N$5)+1,0)</f>
        <v>2277860</v>
      </c>
      <c r="BH16" s="369">
        <f>LARGE(Indicators!$N$5:$N$38,ROWS(Graphs!$BH$3:$BH16)-1)</f>
        <v>8878</v>
      </c>
      <c r="BI16" s="371"/>
      <c r="BJ16" s="366" t="str">
        <f>PROPER(TRIM(INDEX('FR Y-15 Data'!$A$1:$A$36,MATCH(BK16,'FR Y-15 Data'!$C$1:$C$66,0))))</f>
        <v>Pnc Financial Services Group, Inc., The</v>
      </c>
      <c r="BK16" s="367">
        <f t="array" ref="BK16">INDEX(Indicators!$C$5:$C$38,SMALL(IF(Indicators!$O$5:$O$38=Graphs!BL16,ROW(Indicators!$O$5:$O$38),""),COUNTIF(Graphs!$BL$4:BL16,Graphs!BL16))-ROW(Indicators!$O$5)+1,0)</f>
        <v>1069778</v>
      </c>
      <c r="BL16" s="369">
        <f>LARGE(Indicators!$O$5:$O$38,ROWS(Graphs!$BL$3:$BL16)-1)</f>
        <v>2659</v>
      </c>
      <c r="BM16" s="371"/>
      <c r="BN16" s="366" t="str">
        <f>PROPER(TRIM(INDEX('FR Y-15 Data'!$A$1:$A$36,MATCH(BO16,'FR Y-15 Data'!$C$1:$C$66,0))))</f>
        <v>Deutsche Bank Trust Corporation</v>
      </c>
      <c r="BO16" s="367">
        <f t="array" ref="BO16">INDEX(Scores!$C$10:$C$43,SMALL(IF(Scores!$P$10:$P$43=Graphs!BP16,ROW(Scores!$P$10:$P$43),""),COUNTIF(Graphs!$BP$4:BP16,Graphs!BP16))-ROW(Scores!$P$10)+1,0)</f>
        <v>1032473</v>
      </c>
      <c r="BP16" s="372">
        <f>LARGE(Scores!$P$10:$P$64,ROWS($BP$3:$BP16)-1)</f>
        <v>0</v>
      </c>
      <c r="BQ16" s="55"/>
      <c r="BR16" s="55"/>
      <c r="BS16" s="55"/>
      <c r="BT16" s="55"/>
      <c r="BU16" s="55"/>
      <c r="BV16" s="55"/>
      <c r="BW16" s="55"/>
    </row>
    <row r="17" spans="2:75" ht="15" customHeight="1">
      <c r="R17" s="366" t="str">
        <f>PROPER(TRIM(INDEX('FR Y-15 Data'!$A$1:$A$36,MATCH(S17,'FR Y-15 Data'!$C$1:$C$66,0))))</f>
        <v>Suntrust Banks, Inc.</v>
      </c>
      <c r="S17" s="367">
        <f t="array" ref="S17">INDEX(Indicators!$C$5:$C$38,SMALL(IF(Indicators!$D$5:$D$38=Graphs!T17,ROW(Indicators!$D$5:$D$38),""),COUNTIF(Graphs!$T$4:T17,Graphs!T17))-ROW(Indicators!$D$5)+1,0)</f>
        <v>1131787</v>
      </c>
      <c r="T17" s="369">
        <f>LARGE(Indicators!$D$5:$D$38,ROWS(Graphs!$T$3:$T17)-1)</f>
        <v>252483.177</v>
      </c>
      <c r="U17" s="370"/>
      <c r="V17" s="366" t="str">
        <f>PROPER(TRIM(INDEX('FR Y-15 Data'!$A$1:$A$36,MATCH(W17,'FR Y-15 Data'!$C$1:$C$66,0))))</f>
        <v>Bmo Financial Corp.</v>
      </c>
      <c r="W17" s="367">
        <f t="array" ref="W17">INDEX(Indicators!$C$5:$C$38,SMALL(IF(Indicators!$E$5:$E$38=Graphs!X17,ROW(Indicators!$E$5:$E$38),""),COUNTIF(Graphs!$X$4:X17,Graphs!X17))-ROW(Indicators!$E$5)+1,0)</f>
        <v>1245415</v>
      </c>
      <c r="X17" s="369">
        <f>LARGE(Indicators!$E$5:$E$38,ROWS(Graphs!$X$3:$X17)-1)</f>
        <v>16264.165999999999</v>
      </c>
      <c r="Y17" s="370"/>
      <c r="Z17" s="366" t="str">
        <f>PROPER(TRIM(INDEX('FR Y-15 Data'!$A$1:$A$36,MATCH(AA17,'FR Y-15 Data'!$C$1:$C$66,0))))</f>
        <v>Pnc Financial Services Group, Inc., The</v>
      </c>
      <c r="AA17" s="367">
        <f t="array" ref="AA17">INDEX(Indicators!$C$5:$C$38,SMALL(IF(Indicators!$F$5:$F$38=Graphs!AB17,ROW(Indicators!$F$5:$F$38),""),COUNTIF(Graphs!$AB$4:AB17,Graphs!AB17))-ROW(Indicators!$F$5)+1,0)</f>
        <v>1069778</v>
      </c>
      <c r="AB17" s="369">
        <f>LARGE(Indicators!$F$5:$F$38,ROWS(Graphs!$AB$3:$AB17)-1)</f>
        <v>8342</v>
      </c>
      <c r="AC17" s="370"/>
      <c r="AD17" s="366" t="str">
        <f>PROPER(TRIM(INDEX('FR Y-15 Data'!$A$1:$A$36,MATCH(AE17,'FR Y-15 Data'!$C$1:$C$66,0))))</f>
        <v>Bank Of New York Mellon Corporation, The</v>
      </c>
      <c r="AE17" s="367">
        <f t="array" ref="AE17">INDEX(Indicators!$C$5:$C$38,SMALL(IF(Indicators!$G$5:$G$38=Graphs!AF17,ROW(Indicators!$G$5:$G$38),""),COUNTIF(Graphs!$AF$4:AF17,Graphs!AF17))-ROW(Indicators!$G$5)+1,0)</f>
        <v>3587146</v>
      </c>
      <c r="AF17" s="369">
        <f>LARGE(Indicators!$G$5:$G$38,ROWS(Graphs!$AF$3:$AF17)-1)</f>
        <v>66878</v>
      </c>
      <c r="AG17" s="371"/>
      <c r="AH17" s="366" t="str">
        <f>PROPER(TRIM(INDEX('FR Y-15 Data'!$A$1:$A$36,MATCH(AI17,'FR Y-15 Data'!$C$1:$C$66,0))))</f>
        <v>Pnc Financial Services Group, Inc., The</v>
      </c>
      <c r="AI17" s="367">
        <f t="array" ref="AI17">INDEX(Indicators!$C$5:$C$38,SMALL(IF(Indicators!$H$5:$H$38=Graphs!AJ17,ROW(Indicators!$H$5:$H$38),""),COUNTIF(Graphs!$AJ$4:AJ17,Graphs!AJ17))-ROW(Indicators!$H$5)+1,0)</f>
        <v>1069778</v>
      </c>
      <c r="AJ17" s="369">
        <f>LARGE(Indicators!$H$5:$H$38,ROWS(Graphs!$AJ$3:$AJ17)-1)</f>
        <v>2598451</v>
      </c>
      <c r="AK17" s="371"/>
      <c r="AL17" s="366" t="str">
        <f>PROPER(TRIM(INDEX('FR Y-15 Data'!$A$1:$A$36,MATCH(AM17,'FR Y-15 Data'!$C$1:$C$66,0))))</f>
        <v>Mufg Americas Holdings Corporation</v>
      </c>
      <c r="AM17" s="367">
        <f t="array" ref="AM17">INDEX(Indicators!$C$5:$C$38,SMALL(IF(Indicators!$I$5:$I$38=Graphs!AN17,ROW(Indicators!$I$5:$I$38),""),COUNTIF(Graphs!$AN$4:AN17,Graphs!AN17))-ROW(Indicators!$I$5)+1,0)</f>
        <v>1378434</v>
      </c>
      <c r="AN17" s="369">
        <f>LARGE(Indicators!$I$5:$I$38,ROWS(Graphs!$AN$3:$AN17)-1)</f>
        <v>128819.09299999999</v>
      </c>
      <c r="AO17" s="371"/>
      <c r="AP17" s="366" t="str">
        <f>PROPER(TRIM(INDEX('FR Y-15 Data'!$A$1:$A$36,MATCH(AQ17,'FR Y-15 Data'!$C$1:$C$66,0))))</f>
        <v>Fifth Third Bancorp</v>
      </c>
      <c r="AQ17" s="367">
        <f t="array" ref="AQ17">INDEX(Indicators!$C$5:$C$38,SMALL(IF(Indicators!$J$5:$J$38=Graphs!AR17,ROW(Indicators!$J$5:$J$38),""),COUNTIF(Graphs!$AR$4:AR17,Graphs!AR17))-ROW(Indicators!$J$5)+1,0)</f>
        <v>1070345</v>
      </c>
      <c r="AR17" s="369">
        <f>LARGE(Indicators!$J$5:$J$38,ROWS(Graphs!$AR$3:$AR17)-1)</f>
        <v>6068.4260000000004</v>
      </c>
      <c r="AS17" s="371"/>
      <c r="AT17" s="366" t="str">
        <f>PROPER(TRIM(INDEX('FR Y-15 Data'!$A$1:$A$36,MATCH(AU17,'FR Y-15 Data'!$C$1:$C$66,0))))</f>
        <v>U.S. Bancorp</v>
      </c>
      <c r="AU17" s="367">
        <f t="array" ref="AU17">INDEX(Indicators!$C$5:$C$38,SMALL(IF(Indicators!$K$5:$K$38=Graphs!AV17,ROW(Indicators!$K$5:$K$38),""),COUNTIF(Graphs!$AV$4:AV17,Graphs!AV17))-ROW(Indicators!$K$5)+1,0)</f>
        <v>1119794</v>
      </c>
      <c r="AV17" s="369">
        <f>LARGE(Indicators!$K$5:$K$38,ROWS(Graphs!$AV$3:$AV17)-1)</f>
        <v>136400</v>
      </c>
      <c r="AW17" s="371"/>
      <c r="AX17" s="366" t="str">
        <f>PROPER(TRIM(INDEX('FR Y-15 Data'!$A$1:$A$36,MATCH(AY17,'FR Y-15 Data'!$C$1:$C$66,0))))</f>
        <v>Santander Holdings Usa, Inc.</v>
      </c>
      <c r="AY17" s="367">
        <f t="array" ref="AY17">INDEX(Indicators!$C$5:$C$38,SMALL(IF(Indicators!$L$5:$L$38=Graphs!AZ17,ROW(Indicators!$L$5:$L$38),""),COUNTIF(Graphs!$AZ$4:AZ17,Graphs!AZ17))-ROW(Indicators!$L$5)+1,0)</f>
        <v>3981856</v>
      </c>
      <c r="AZ17" s="369">
        <f>LARGE(Indicators!$L$5:$L$38,ROWS(Graphs!$AZ$3:$AZ17)-1)</f>
        <v>9122.5840000000007</v>
      </c>
      <c r="BA17" s="371"/>
      <c r="BB17" s="366" t="str">
        <f>PROPER(TRIM(INDEX('FR Y-15 Data'!$A$1:$A$36,MATCH(BC17,'FR Y-15 Data'!$C$1:$C$66,0))))</f>
        <v>Bb&amp;T Corporation</v>
      </c>
      <c r="BC17" s="367">
        <f t="array" ref="BC17">INDEX(Indicators!$C$5:$C$38,SMALL(IF(Indicators!$M$5:$M$38=Graphs!BD17,ROW(Indicators!$M$5:$M$38),""),COUNTIF(Graphs!$BD$4:BD17,Graphs!BD17))-ROW(Indicators!$M$5)+1,0)</f>
        <v>1074156</v>
      </c>
      <c r="BD17" s="369">
        <f>LARGE(Indicators!$M$5:$M$38,ROWS(Graphs!$BD$3:$BD17)-1)</f>
        <v>1939.0830000000001</v>
      </c>
      <c r="BE17" s="371"/>
      <c r="BF17" s="366" t="str">
        <f>PROPER(TRIM(INDEX('FR Y-15 Data'!$A$1:$A$36,MATCH(BG17,'FR Y-15 Data'!$C$1:$C$66,0))))</f>
        <v>Bmo Financial Corp.</v>
      </c>
      <c r="BG17" s="367">
        <f t="array" ref="BG17">INDEX(Indicators!$C$5:$C$38,SMALL(IF(Indicators!$N$5:$N$38=Graphs!BH17,ROW(Indicators!$N$5:$N$38),""),COUNTIF(Graphs!$BH$4:BH17,Graphs!BH17))-ROW(Indicators!$N$5)+1,0)</f>
        <v>1245415</v>
      </c>
      <c r="BH17" s="369">
        <f>LARGE(Indicators!$N$5:$N$38,ROWS(Graphs!$BH$3:$BH17)-1)</f>
        <v>7177</v>
      </c>
      <c r="BI17" s="371"/>
      <c r="BJ17" s="366" t="str">
        <f>PROPER(TRIM(INDEX('FR Y-15 Data'!$A$1:$A$36,MATCH(BK17,'FR Y-15 Data'!$C$1:$C$66,0))))</f>
        <v>Mufg Americas Holdings Corporation</v>
      </c>
      <c r="BK17" s="367">
        <f t="array" ref="BK17">INDEX(Indicators!$C$5:$C$38,SMALL(IF(Indicators!$O$5:$O$38=Graphs!BL17,ROW(Indicators!$O$5:$O$38),""),COUNTIF(Graphs!$BL$4:BL17,Graphs!BL17))-ROW(Indicators!$O$5)+1,0)</f>
        <v>1378434</v>
      </c>
      <c r="BL17" s="369">
        <f>LARGE(Indicators!$O$5:$O$38,ROWS(Graphs!$BL$3:$BL17)-1)</f>
        <v>2439</v>
      </c>
      <c r="BM17" s="371"/>
      <c r="BN17" s="366" t="str">
        <f>PROPER(TRIM(INDEX('FR Y-15 Data'!$A$1:$A$36,MATCH(BO17,'FR Y-15 Data'!$C$1:$C$66,0))))</f>
        <v>Discover Financial Services</v>
      </c>
      <c r="BO17" s="367">
        <f t="array" ref="BO17">INDEX(Scores!$C$10:$C$43,SMALL(IF(Scores!$P$10:$P$43=Graphs!BP17,ROW(Scores!$P$10:$P$43),""),COUNTIF(Graphs!$BP$4:BP17,Graphs!BP17))-ROW(Scores!$P$10)+1,0)</f>
        <v>3846375</v>
      </c>
      <c r="BP17" s="372">
        <f>LARGE(Scores!$P$10:$P$64,ROWS($BP$3:$BP17)-1)</f>
        <v>0</v>
      </c>
      <c r="BQ17" s="55"/>
      <c r="BR17" s="55"/>
      <c r="BS17" s="55"/>
      <c r="BT17" s="55"/>
      <c r="BU17" s="55"/>
      <c r="BV17" s="55"/>
      <c r="BW17" s="55"/>
    </row>
    <row r="18" spans="2:75" ht="15" customHeight="1">
      <c r="R18" s="366" t="str">
        <f>PROPER(TRIM(INDEX('FR Y-15 Data'!$A$1:$A$36,MATCH(S18,'FR Y-15 Data'!$C$1:$C$66,0))))</f>
        <v>Bb&amp;T Corporation</v>
      </c>
      <c r="S18" s="367">
        <f t="array" ref="S18">INDEX(Indicators!$C$5:$C$38,SMALL(IF(Indicators!$D$5:$D$38=Graphs!T18,ROW(Indicators!$D$5:$D$38),""),COUNTIF(Graphs!$T$4:T18,Graphs!T18))-ROW(Indicators!$D$5)+1,0)</f>
        <v>1074156</v>
      </c>
      <c r="T18" s="369">
        <f>LARGE(Indicators!$D$5:$D$38,ROWS(Graphs!$T$3:$T18)-1)</f>
        <v>217773.05</v>
      </c>
      <c r="U18" s="370"/>
      <c r="V18" s="366" t="str">
        <f>PROPER(TRIM(INDEX('FR Y-15 Data'!$A$1:$A$36,MATCH(W18,'FR Y-15 Data'!$C$1:$C$66,0))))</f>
        <v>U.S. Bancorp</v>
      </c>
      <c r="W18" s="367">
        <f t="array" ref="W18">INDEX(Indicators!$C$5:$C$38,SMALL(IF(Indicators!$E$5:$E$38=Graphs!X18,ROW(Indicators!$E$5:$E$38),""),COUNTIF(Graphs!$X$4:X18,Graphs!X18))-ROW(Indicators!$E$5)+1,0)</f>
        <v>1119794</v>
      </c>
      <c r="X18" s="369">
        <f>LARGE(Indicators!$E$5:$E$38,ROWS(Graphs!$X$3:$X18)-1)</f>
        <v>15130</v>
      </c>
      <c r="Y18" s="370"/>
      <c r="Z18" s="366" t="str">
        <f>PROPER(TRIM(INDEX('FR Y-15 Data'!$A$1:$A$36,MATCH(AA18,'FR Y-15 Data'!$C$1:$C$66,0))))</f>
        <v>Bancwest Corporation</v>
      </c>
      <c r="AA18" s="367">
        <f t="array" ref="AA18">INDEX(Indicators!$C$5:$C$38,SMALL(IF(Indicators!$F$5:$F$38=Graphs!AB18,ROW(Indicators!$F$5:$F$38),""),COUNTIF(Graphs!$AB$4:AB18,Graphs!AB18))-ROW(Indicators!$F$5)+1,0)</f>
        <v>1025608</v>
      </c>
      <c r="AB18" s="369">
        <f>LARGE(Indicators!$F$5:$F$38,ROWS(Graphs!$AB$3:$AB18)-1)</f>
        <v>8252.59</v>
      </c>
      <c r="AC18" s="370"/>
      <c r="AD18" s="366" t="str">
        <f>PROPER(TRIM(INDEX('FR Y-15 Data'!$A$1:$A$36,MATCH(AE18,'FR Y-15 Data'!$C$1:$C$66,0))))</f>
        <v>State Street Corporation</v>
      </c>
      <c r="AE18" s="367">
        <f t="array" ref="AE18">INDEX(Indicators!$C$5:$C$38,SMALL(IF(Indicators!$G$5:$G$38=Graphs!AF18,ROW(Indicators!$G$5:$G$38),""),COUNTIF(Graphs!$AF$4:AF18,Graphs!AF18))-ROW(Indicators!$G$5)+1,0)</f>
        <v>1111435</v>
      </c>
      <c r="AF18" s="369">
        <f>LARGE(Indicators!$G$5:$G$38,ROWS(Graphs!$AF$3:$AF18)-1)</f>
        <v>60107.008999999998</v>
      </c>
      <c r="AG18" s="371"/>
      <c r="AH18" s="366" t="str">
        <f>PROPER(TRIM(INDEX('FR Y-15 Data'!$A$1:$A$36,MATCH(AI18,'FR Y-15 Data'!$C$1:$C$66,0))))</f>
        <v>Td Bank Us Holding Company</v>
      </c>
      <c r="AI18" s="367">
        <f t="array" ref="AI18">INDEX(Indicators!$C$5:$C$38,SMALL(IF(Indicators!$H$5:$H$38=Graphs!AJ18,ROW(Indicators!$H$5:$H$38),""),COUNTIF(Graphs!$AJ$4:AJ18,Graphs!AJ18))-ROW(Indicators!$H$5)+1,0)</f>
        <v>1249196</v>
      </c>
      <c r="AJ18" s="369">
        <f>LARGE(Indicators!$H$5:$H$38,ROWS(Graphs!$AJ$3:$AJ18)-1)</f>
        <v>2417350.4539999999</v>
      </c>
      <c r="AK18" s="371"/>
      <c r="AL18" s="366" t="str">
        <f>PROPER(TRIM(INDEX('FR Y-15 Data'!$A$1:$A$36,MATCH(AM18,'FR Y-15 Data'!$C$1:$C$66,0))))</f>
        <v>M&amp;T Bank Corporation</v>
      </c>
      <c r="AM18" s="367">
        <f t="array" ref="AM18">INDEX(Indicators!$C$5:$C$38,SMALL(IF(Indicators!$I$5:$I$38=Graphs!AN18,ROW(Indicators!$I$5:$I$38),""),COUNTIF(Graphs!$AN$4:AN18,Graphs!AN18))-ROW(Indicators!$I$5)+1,0)</f>
        <v>1037003</v>
      </c>
      <c r="AN18" s="369">
        <f>LARGE(Indicators!$I$5:$I$38,ROWS(Graphs!$AN$3:$AN18)-1)</f>
        <v>112906.36599999999</v>
      </c>
      <c r="AO18" s="371"/>
      <c r="AP18" s="366" t="str">
        <f>PROPER(TRIM(INDEX('FR Y-15 Data'!$A$1:$A$36,MATCH(AQ18,'FR Y-15 Data'!$C$1:$C$66,0))))</f>
        <v>Keycorp</v>
      </c>
      <c r="AQ18" s="367">
        <f t="array" ref="AQ18">INDEX(Indicators!$C$5:$C$38,SMALL(IF(Indicators!$J$5:$J$38=Graphs!AR18,ROW(Indicators!$J$5:$J$38),""),COUNTIF(Graphs!$AR$4:AR18,Graphs!AR18))-ROW(Indicators!$J$5)+1,0)</f>
        <v>1068025</v>
      </c>
      <c r="AR18" s="369">
        <f>LARGE(Indicators!$J$5:$J$38,ROWS(Graphs!$AR$3:$AR18)-1)</f>
        <v>5838.0169999999998</v>
      </c>
      <c r="AS18" s="371"/>
      <c r="AT18" s="366" t="str">
        <f>PROPER(TRIM(INDEX('FR Y-15 Data'!$A$1:$A$36,MATCH(AU18,'FR Y-15 Data'!$C$1:$C$66,0))))</f>
        <v>Capital One Financial Corporation</v>
      </c>
      <c r="AU18" s="367">
        <f t="array" ref="AU18">INDEX(Indicators!$C$5:$C$38,SMALL(IF(Indicators!$K$5:$K$38=Graphs!AV18,ROW(Indicators!$K$5:$K$38),""),COUNTIF(Graphs!$AV$4:AV18,Graphs!AV18))-ROW(Indicators!$K$5)+1,0)</f>
        <v>2277860</v>
      </c>
      <c r="AV18" s="369">
        <f>LARGE(Indicators!$K$5:$K$38,ROWS(Graphs!$AV$3:$AV18)-1)</f>
        <v>88638.547000000006</v>
      </c>
      <c r="AW18" s="371"/>
      <c r="AX18" s="366" t="str">
        <f>PROPER(TRIM(INDEX('FR Y-15 Data'!$A$1:$A$36,MATCH(AY18,'FR Y-15 Data'!$C$1:$C$66,0))))</f>
        <v>Ally Financial Inc.</v>
      </c>
      <c r="AY18" s="367">
        <f t="array" ref="AY18">INDEX(Indicators!$C$5:$C$38,SMALL(IF(Indicators!$L$5:$L$38=Graphs!AZ18,ROW(Indicators!$L$5:$L$38),""),COUNTIF(Graphs!$AZ$4:AZ18,Graphs!AZ18))-ROW(Indicators!$L$5)+1,0)</f>
        <v>1562859</v>
      </c>
      <c r="AZ18" s="369">
        <f>LARGE(Indicators!$L$5:$L$38,ROWS(Graphs!$AZ$3:$AZ18)-1)</f>
        <v>9089</v>
      </c>
      <c r="BA18" s="371"/>
      <c r="BB18" s="366" t="str">
        <f>PROPER(TRIM(INDEX('FR Y-15 Data'!$A$1:$A$36,MATCH(BC18,'FR Y-15 Data'!$C$1:$C$66,0))))</f>
        <v>Huntington Bancshares Incorporated</v>
      </c>
      <c r="BC18" s="367">
        <f t="array" ref="BC18">INDEX(Indicators!$C$5:$C$38,SMALL(IF(Indicators!$M$5:$M$38=Graphs!BD18,ROW(Indicators!$M$5:$M$38),""),COUNTIF(Graphs!$BD$4:BD18,Graphs!BD18))-ROW(Indicators!$M$5)+1,0)</f>
        <v>1068191</v>
      </c>
      <c r="BD18" s="369">
        <f>LARGE(Indicators!$M$5:$M$38,ROWS(Graphs!$BD$3:$BD18)-1)</f>
        <v>1568.2339999999999</v>
      </c>
      <c r="BE18" s="371"/>
      <c r="BF18" s="366" t="str">
        <f>PROPER(TRIM(INDEX('FR Y-15 Data'!$A$1:$A$36,MATCH(BG18,'FR Y-15 Data'!$C$1:$C$66,0))))</f>
        <v>Pnc Financial Services Group, Inc., The</v>
      </c>
      <c r="BG18" s="367">
        <f t="array" ref="BG18">INDEX(Indicators!$C$5:$C$38,SMALL(IF(Indicators!$N$5:$N$38=Graphs!BH18,ROW(Indicators!$N$5:$N$38),""),COUNTIF(Graphs!$BH$4:BH18,Graphs!BH18))-ROW(Indicators!$N$5)+1,0)</f>
        <v>1069778</v>
      </c>
      <c r="BH18" s="369">
        <f>LARGE(Indicators!$N$5:$N$38,ROWS(Graphs!$BH$3:$BH18)-1)</f>
        <v>5343</v>
      </c>
      <c r="BI18" s="371"/>
      <c r="BJ18" s="366" t="str">
        <f>PROPER(TRIM(INDEX('FR Y-15 Data'!$A$1:$A$36,MATCH(BK18,'FR Y-15 Data'!$C$1:$C$66,0))))</f>
        <v>Suntrust Banks, Inc.</v>
      </c>
      <c r="BK18" s="367">
        <f t="array" ref="BK18">INDEX(Indicators!$C$5:$C$38,SMALL(IF(Indicators!$O$5:$O$38=Graphs!BL18,ROW(Indicators!$O$5:$O$38),""),COUNTIF(Graphs!$BL$4:BL18,Graphs!BL18))-ROW(Indicators!$O$5)+1,0)</f>
        <v>1131787</v>
      </c>
      <c r="BL18" s="369">
        <f>LARGE(Indicators!$O$5:$O$38,ROWS(Graphs!$BL$3:$BL18)-1)</f>
        <v>2063.3510000000001</v>
      </c>
      <c r="BM18" s="371"/>
      <c r="BN18" s="366" t="str">
        <f>PROPER(TRIM(INDEX('FR Y-15 Data'!$A$1:$A$36,MATCH(BO18,'FR Y-15 Data'!$C$1:$C$66,0))))</f>
        <v>Fifth Third Bancorp</v>
      </c>
      <c r="BO18" s="367">
        <f t="array" ref="BO18">INDEX(Scores!$C$10:$C$43,SMALL(IF(Scores!$P$10:$P$43=Graphs!BP18,ROW(Scores!$P$10:$P$43),""),COUNTIF(Graphs!$BP$4:BP18,Graphs!BP18))-ROW(Scores!$P$10)+1,0)</f>
        <v>1070345</v>
      </c>
      <c r="BP18" s="372">
        <f>LARGE(Scores!$P$10:$P$64,ROWS($BP$3:$BP18)-1)</f>
        <v>0</v>
      </c>
      <c r="BQ18" s="55"/>
      <c r="BR18" s="55"/>
      <c r="BS18" s="55"/>
      <c r="BT18" s="55"/>
      <c r="BU18" s="55"/>
      <c r="BV18" s="55"/>
      <c r="BW18" s="55"/>
    </row>
    <row r="19" spans="2:75" ht="15" customHeight="1">
      <c r="R19" s="366" t="str">
        <f>PROPER(TRIM(INDEX('FR Y-15 Data'!$A$1:$A$36,MATCH(S19,'FR Y-15 Data'!$C$1:$C$66,0))))</f>
        <v>American Express Company</v>
      </c>
      <c r="S19" s="367">
        <f t="array" ref="S19">INDEX(Indicators!$C$5:$C$38,SMALL(IF(Indicators!$D$5:$D$38=Graphs!T19,ROW(Indicators!$D$5:$D$38),""),COUNTIF(Graphs!$T$4:T19,Graphs!T19))-ROW(Indicators!$D$5)+1,0)</f>
        <v>1275216</v>
      </c>
      <c r="T19" s="369">
        <f>LARGE(Indicators!$D$5:$D$38,ROWS(Graphs!$T$3:$T19)-1)</f>
        <v>184977.1</v>
      </c>
      <c r="U19" s="370"/>
      <c r="V19" s="366" t="str">
        <f>PROPER(TRIM(INDEX('FR Y-15 Data'!$A$1:$A$36,MATCH(W19,'FR Y-15 Data'!$C$1:$C$66,0))))</f>
        <v>Td Bank Us Holding Company</v>
      </c>
      <c r="W19" s="367">
        <f t="array" ref="W19">INDEX(Indicators!$C$5:$C$38,SMALL(IF(Indicators!$E$5:$E$38=Graphs!X19,ROW(Indicators!$E$5:$E$38),""),COUNTIF(Graphs!$X$4:X19,Graphs!X19))-ROW(Indicators!$E$5)+1,0)</f>
        <v>1249196</v>
      </c>
      <c r="X19" s="369">
        <f>LARGE(Indicators!$E$5:$E$38,ROWS(Graphs!$X$3:$X19)-1)</f>
        <v>12414.462</v>
      </c>
      <c r="Y19" s="370"/>
      <c r="Z19" s="366" t="str">
        <f>PROPER(TRIM(INDEX('FR Y-15 Data'!$A$1:$A$36,MATCH(AA19,'FR Y-15 Data'!$C$1:$C$66,0))))</f>
        <v>Santander Holdings Usa, Inc.</v>
      </c>
      <c r="AA19" s="367">
        <f t="array" ref="AA19">INDEX(Indicators!$C$5:$C$38,SMALL(IF(Indicators!$F$5:$F$38=Graphs!AB19,ROW(Indicators!$F$5:$F$38),""),COUNTIF(Graphs!$AB$4:AB19,Graphs!AB19))-ROW(Indicators!$F$5)+1,0)</f>
        <v>3981856</v>
      </c>
      <c r="AB19" s="369">
        <f>LARGE(Indicators!$F$5:$F$38,ROWS(Graphs!$AB$3:$AB19)-1)</f>
        <v>7289.9480000000003</v>
      </c>
      <c r="AC19" s="370"/>
      <c r="AD19" s="366" t="str">
        <f>PROPER(TRIM(INDEX('FR Y-15 Data'!$A$1:$A$36,MATCH(AE19,'FR Y-15 Data'!$C$1:$C$66,0))))</f>
        <v>Hsbc North America Holdings Inc.</v>
      </c>
      <c r="AE19" s="367">
        <f t="array" ref="AE19">INDEX(Indicators!$C$5:$C$38,SMALL(IF(Indicators!$G$5:$G$38=Graphs!AF19,ROW(Indicators!$G$5:$G$38),""),COUNTIF(Graphs!$AF$4:AF19,Graphs!AF19))-ROW(Indicators!$G$5)+1,0)</f>
        <v>3232316</v>
      </c>
      <c r="AF19" s="369">
        <f>LARGE(Indicators!$G$5:$G$38,ROWS(Graphs!$AF$3:$AF19)-1)</f>
        <v>54211.152999999998</v>
      </c>
      <c r="AG19" s="371"/>
      <c r="AH19" s="366" t="str">
        <f>PROPER(TRIM(INDEX('FR Y-15 Data'!$A$1:$A$36,MATCH(AI19,'FR Y-15 Data'!$C$1:$C$66,0))))</f>
        <v>Citizens Financial Group, Inc.</v>
      </c>
      <c r="AI19" s="367">
        <f t="array" ref="AI19">INDEX(Indicators!$C$5:$C$38,SMALL(IF(Indicators!$H$5:$H$38=Graphs!AJ19,ROW(Indicators!$H$5:$H$38),""),COUNTIF(Graphs!$AJ$4:AJ19,Graphs!AJ19))-ROW(Indicators!$H$5)+1,0)</f>
        <v>1132449</v>
      </c>
      <c r="AJ19" s="369">
        <f>LARGE(Indicators!$H$5:$H$38,ROWS(Graphs!$AJ$3:$AJ19)-1)</f>
        <v>1883787.997</v>
      </c>
      <c r="AK19" s="371"/>
      <c r="AL19" s="366" t="str">
        <f>PROPER(TRIM(INDEX('FR Y-15 Data'!$A$1:$A$36,MATCH(AM19,'FR Y-15 Data'!$C$1:$C$66,0))))</f>
        <v>Keycorp</v>
      </c>
      <c r="AM19" s="367">
        <f t="array" ref="AM19">INDEX(Indicators!$C$5:$C$38,SMALL(IF(Indicators!$I$5:$I$38=Graphs!AN19,ROW(Indicators!$I$5:$I$38),""),COUNTIF(Graphs!$AN$4:AN19,Graphs!AN19))-ROW(Indicators!$I$5)+1,0)</f>
        <v>1068025</v>
      </c>
      <c r="AN19" s="369">
        <f>LARGE(Indicators!$I$5:$I$38,ROWS(Graphs!$AN$3:$AN19)-1)</f>
        <v>89323.600999999995</v>
      </c>
      <c r="AO19" s="371"/>
      <c r="AP19" s="366" t="str">
        <f>PROPER(TRIM(INDEX('FR Y-15 Data'!$A$1:$A$36,MATCH(AQ19,'FR Y-15 Data'!$C$1:$C$66,0))))</f>
        <v>Bb&amp;T Corporation</v>
      </c>
      <c r="AQ19" s="367">
        <f t="array" ref="AQ19">INDEX(Indicators!$C$5:$C$38,SMALL(IF(Indicators!$J$5:$J$38=Graphs!AR19,ROW(Indicators!$J$5:$J$38),""),COUNTIF(Graphs!$AR$4:AR19,Graphs!AR19))-ROW(Indicators!$J$5)+1,0)</f>
        <v>1074156</v>
      </c>
      <c r="AR19" s="369">
        <f>LARGE(Indicators!$J$5:$J$38,ROWS(Graphs!$AR$3:$AR19)-1)</f>
        <v>5591.56</v>
      </c>
      <c r="AS19" s="371"/>
      <c r="AT19" s="366" t="str">
        <f>PROPER(TRIM(INDEX('FR Y-15 Data'!$A$1:$A$36,MATCH(AU19,'FR Y-15 Data'!$C$1:$C$66,0))))</f>
        <v>Regions Financial Corporation</v>
      </c>
      <c r="AU19" s="367">
        <f t="array" ref="AU19">INDEX(Indicators!$C$5:$C$38,SMALL(IF(Indicators!$K$5:$K$38=Graphs!AV19,ROW(Indicators!$K$5:$K$38),""),COUNTIF(Graphs!$AV$4:AV19,Graphs!AV19))-ROW(Indicators!$K$5)+1,0)</f>
        <v>3242838</v>
      </c>
      <c r="AV19" s="369">
        <f>LARGE(Indicators!$K$5:$K$38,ROWS(Graphs!$AV$3:$AV19)-1)</f>
        <v>79236.517999999996</v>
      </c>
      <c r="AW19" s="371"/>
      <c r="AX19" s="366" t="str">
        <f>PROPER(TRIM(INDEX('FR Y-15 Data'!$A$1:$A$36,MATCH(AY19,'FR Y-15 Data'!$C$1:$C$66,0))))</f>
        <v>Northern Trust Corporation</v>
      </c>
      <c r="AY19" s="367">
        <f t="array" ref="AY19">INDEX(Indicators!$C$5:$C$38,SMALL(IF(Indicators!$L$5:$L$38=Graphs!AZ19,ROW(Indicators!$L$5:$L$38),""),COUNTIF(Graphs!$AZ$4:AZ19,Graphs!AZ19))-ROW(Indicators!$L$5)+1,0)</f>
        <v>1199611</v>
      </c>
      <c r="AZ19" s="369">
        <f>LARGE(Indicators!$L$5:$L$38,ROWS(Graphs!$AZ$3:$AZ19)-1)</f>
        <v>7492.2380000000003</v>
      </c>
      <c r="BA19" s="371"/>
      <c r="BB19" s="366" t="str">
        <f>PROPER(TRIM(INDEX('FR Y-15 Data'!$A$1:$A$36,MATCH(BC19,'FR Y-15 Data'!$C$1:$C$66,0))))</f>
        <v>Capital One Financial Corporation</v>
      </c>
      <c r="BC19" s="367">
        <f t="array" ref="BC19">INDEX(Indicators!$C$5:$C$38,SMALL(IF(Indicators!$M$5:$M$38=Graphs!BD19,ROW(Indicators!$M$5:$M$38),""),COUNTIF(Graphs!$BD$4:BD19,Graphs!BD19))-ROW(Indicators!$M$5)+1,0)</f>
        <v>2277860</v>
      </c>
      <c r="BD19" s="369">
        <f>LARGE(Indicators!$M$5:$M$38,ROWS(Graphs!$BD$3:$BD19)-1)</f>
        <v>1545.268</v>
      </c>
      <c r="BE19" s="371"/>
      <c r="BF19" s="366" t="str">
        <f>PROPER(TRIM(INDEX('FR Y-15 Data'!$A$1:$A$36,MATCH(BG19,'FR Y-15 Data'!$C$1:$C$66,0))))</f>
        <v>Fifth Third Bancorp</v>
      </c>
      <c r="BG19" s="367">
        <f t="array" ref="BG19">INDEX(Indicators!$C$5:$C$38,SMALL(IF(Indicators!$N$5:$N$38=Graphs!BH19,ROW(Indicators!$N$5:$N$38),""),COUNTIF(Graphs!$BH$4:BH19,Graphs!BH19))-ROW(Indicators!$N$5)+1,0)</f>
        <v>1070345</v>
      </c>
      <c r="BH19" s="369">
        <f>LARGE(Indicators!$N$5:$N$38,ROWS(Graphs!$BH$3:$BH19)-1)</f>
        <v>4463</v>
      </c>
      <c r="BI19" s="371"/>
      <c r="BJ19" s="366" t="str">
        <f>PROPER(TRIM(INDEX('FR Y-15 Data'!$A$1:$A$36,MATCH(BK19,'FR Y-15 Data'!$C$1:$C$66,0))))</f>
        <v>Bbva Compass Bancshares, Inc.</v>
      </c>
      <c r="BK19" s="367">
        <f t="array" ref="BK19">INDEX(Indicators!$C$5:$C$38,SMALL(IF(Indicators!$O$5:$O$38=Graphs!BL19,ROW(Indicators!$O$5:$O$38),""),COUNTIF(Graphs!$BL$4:BL19,Graphs!BL19))-ROW(Indicators!$O$5)+1,0)</f>
        <v>1078529</v>
      </c>
      <c r="BL19" s="369">
        <f>LARGE(Indicators!$O$5:$O$38,ROWS(Graphs!$BL$3:$BL19)-1)</f>
        <v>1929</v>
      </c>
      <c r="BM19" s="371"/>
      <c r="BN19" s="366" t="str">
        <f>PROPER(TRIM(INDEX('FR Y-15 Data'!$A$1:$A$36,MATCH(BO19,'FR Y-15 Data'!$C$1:$C$66,0))))</f>
        <v>Goldman Sachs Group, Inc., The</v>
      </c>
      <c r="BO19" s="367">
        <f t="array" ref="BO19">INDEX(Scores!$C$10:$C$43,SMALL(IF(Scores!$P$10:$P$43=Graphs!BP19,ROW(Scores!$P$10:$P$43),""),COUNTIF(Graphs!$BP$4:BP19,Graphs!BP19))-ROW(Scores!$P$10)+1,0)</f>
        <v>2380443</v>
      </c>
      <c r="BP19" s="372">
        <f>LARGE(Scores!$P$10:$P$64,ROWS($BP$3:$BP19)-1)</f>
        <v>0</v>
      </c>
      <c r="BQ19" s="55"/>
      <c r="BR19" s="55"/>
      <c r="BS19" s="55"/>
      <c r="BT19" s="55"/>
      <c r="BU19" s="55"/>
      <c r="BV19" s="55"/>
      <c r="BW19" s="55"/>
    </row>
    <row r="20" spans="2:75" ht="15" customHeight="1">
      <c r="R20" s="366" t="str">
        <f>PROPER(TRIM(INDEX('FR Y-15 Data'!$A$1:$A$36,MATCH(S20,'FR Y-15 Data'!$C$1:$C$66,0))))</f>
        <v>Fifth Third Bancorp</v>
      </c>
      <c r="S20" s="367">
        <f t="array" ref="S20">INDEX(Indicators!$C$5:$C$38,SMALL(IF(Indicators!$D$5:$D$38=Graphs!T20,ROW(Indicators!$D$5:$D$38),""),COUNTIF(Graphs!$T$4:T20,Graphs!T20))-ROW(Indicators!$D$5)+1,0)</f>
        <v>1070345</v>
      </c>
      <c r="T20" s="369">
        <f>LARGE(Indicators!$D$5:$D$38,ROWS(Graphs!$T$3:$T20)-1)</f>
        <v>184945.58799999999</v>
      </c>
      <c r="U20" s="370"/>
      <c r="V20" s="366" t="str">
        <f>PROPER(TRIM(INDEX('FR Y-15 Data'!$A$1:$A$36,MATCH(W20,'FR Y-15 Data'!$C$1:$C$66,0))))</f>
        <v>Mufg Americas Holdings Corporation</v>
      </c>
      <c r="W20" s="367">
        <f t="array" ref="W20">INDEX(Indicators!$C$5:$C$38,SMALL(IF(Indicators!$E$5:$E$38=Graphs!X20,ROW(Indicators!$E$5:$E$38),""),COUNTIF(Graphs!$X$4:X20,Graphs!X20))-ROW(Indicators!$E$5)+1,0)</f>
        <v>1378434</v>
      </c>
      <c r="X20" s="369">
        <f>LARGE(Indicators!$E$5:$E$38,ROWS(Graphs!$X$3:$X20)-1)</f>
        <v>10971.438</v>
      </c>
      <c r="Y20" s="370"/>
      <c r="Z20" s="366" t="str">
        <f>PROPER(TRIM(INDEX('FR Y-15 Data'!$A$1:$A$36,MATCH(AA20,'FR Y-15 Data'!$C$1:$C$66,0))))</f>
        <v>Regions Financial Corporation</v>
      </c>
      <c r="AA20" s="367">
        <f t="array" ref="AA20">INDEX(Indicators!$C$5:$C$38,SMALL(IF(Indicators!$F$5:$F$38=Graphs!AB20,ROW(Indicators!$F$5:$F$38),""),COUNTIF(Graphs!$AB$4:AB20,Graphs!AB20))-ROW(Indicators!$F$5)+1,0)</f>
        <v>3242838</v>
      </c>
      <c r="AB20" s="369">
        <f>LARGE(Indicators!$F$5:$F$38,ROWS(Graphs!$AB$3:$AB20)-1)</f>
        <v>6831.84</v>
      </c>
      <c r="AC20" s="370"/>
      <c r="AD20" s="366" t="str">
        <f>PROPER(TRIM(INDEX('FR Y-15 Data'!$A$1:$A$36,MATCH(AE20,'FR Y-15 Data'!$C$1:$C$66,0))))</f>
        <v>Suntrust Banks, Inc.</v>
      </c>
      <c r="AE20" s="367">
        <f t="array" ref="AE20">INDEX(Indicators!$C$5:$C$38,SMALL(IF(Indicators!$G$5:$G$38=Graphs!AF20,ROW(Indicators!$G$5:$G$38),""),COUNTIF(Graphs!$AF$4:AF20,Graphs!AF20))-ROW(Indicators!$G$5)+1,0)</f>
        <v>1131787</v>
      </c>
      <c r="AF20" s="369">
        <f>LARGE(Indicators!$G$5:$G$38,ROWS(Graphs!$AF$3:$AF20)-1)</f>
        <v>51740.993000000002</v>
      </c>
      <c r="AG20" s="371"/>
      <c r="AH20" s="366" t="str">
        <f>PROPER(TRIM(INDEX('FR Y-15 Data'!$A$1:$A$36,MATCH(AI20,'FR Y-15 Data'!$C$1:$C$66,0))))</f>
        <v>M&amp;T Bank Corporation</v>
      </c>
      <c r="AI20" s="367">
        <f t="array" ref="AI20">INDEX(Indicators!$C$5:$C$38,SMALL(IF(Indicators!$H$5:$H$38=Graphs!AJ20,ROW(Indicators!$H$5:$H$38),""),COUNTIF(Graphs!$AJ$4:AJ20,Graphs!AJ20))-ROW(Indicators!$H$5)+1,0)</f>
        <v>1037003</v>
      </c>
      <c r="AJ20" s="369">
        <f>LARGE(Indicators!$H$5:$H$38,ROWS(Graphs!$AJ$3:$AJ20)-1)</f>
        <v>1546287.7309999999</v>
      </c>
      <c r="AK20" s="371"/>
      <c r="AL20" s="366" t="str">
        <f>PROPER(TRIM(INDEX('FR Y-15 Data'!$A$1:$A$36,MATCH(AM20,'FR Y-15 Data'!$C$1:$C$66,0))))</f>
        <v>Huntington Bancshares Incorporated</v>
      </c>
      <c r="AM20" s="367">
        <f t="array" ref="AM20">INDEX(Indicators!$C$5:$C$38,SMALL(IF(Indicators!$I$5:$I$38=Graphs!AN20,ROW(Indicators!$I$5:$I$38),""),COUNTIF(Graphs!$AN$4:AN20,Graphs!AN20))-ROW(Indicators!$I$5)+1,0)</f>
        <v>1068191</v>
      </c>
      <c r="AN20" s="369">
        <f>LARGE(Indicators!$I$5:$I$38,ROWS(Graphs!$AN$3:$AN20)-1)</f>
        <v>79217.167000000001</v>
      </c>
      <c r="AO20" s="371"/>
      <c r="AP20" s="366" t="str">
        <f>PROPER(TRIM(INDEX('FR Y-15 Data'!$A$1:$A$36,MATCH(AQ20,'FR Y-15 Data'!$C$1:$C$66,0))))</f>
        <v>Bank Of New York Mellon Corporation, The</v>
      </c>
      <c r="AQ20" s="367">
        <f t="array" ref="AQ20">INDEX(Indicators!$C$5:$C$38,SMALL(IF(Indicators!$J$5:$J$38=Graphs!AR20,ROW(Indicators!$J$5:$J$38),""),COUNTIF(Graphs!$AR$4:AR20,Graphs!AR20))-ROW(Indicators!$J$5)+1,0)</f>
        <v>3587146</v>
      </c>
      <c r="AR20" s="369">
        <f>LARGE(Indicators!$J$5:$J$38,ROWS(Graphs!$AR$3:$AR20)-1)</f>
        <v>4904</v>
      </c>
      <c r="AS20" s="371"/>
      <c r="AT20" s="366" t="str">
        <f>PROPER(TRIM(INDEX('FR Y-15 Data'!$A$1:$A$36,MATCH(AU20,'FR Y-15 Data'!$C$1:$C$66,0))))</f>
        <v>Mufg Americas Holdings Corporation</v>
      </c>
      <c r="AU20" s="367">
        <f t="array" ref="AU20">INDEX(Indicators!$C$5:$C$38,SMALL(IF(Indicators!$K$5:$K$38=Graphs!AV20,ROW(Indicators!$K$5:$K$38),""),COUNTIF(Graphs!$AV$4:AV20,Graphs!AV20))-ROW(Indicators!$K$5)+1,0)</f>
        <v>1378434</v>
      </c>
      <c r="AV20" s="369">
        <f>LARGE(Indicators!$K$5:$K$38,ROWS(Graphs!$AV$3:$AV20)-1)</f>
        <v>71678.107000000004</v>
      </c>
      <c r="AW20" s="371"/>
      <c r="AX20" s="366" t="str">
        <f>PROPER(TRIM(INDEX('FR Y-15 Data'!$A$1:$A$36,MATCH(AY20,'FR Y-15 Data'!$C$1:$C$66,0))))</f>
        <v>Mufg Americas Holdings Corporation</v>
      </c>
      <c r="AY20" s="367">
        <f t="array" ref="AY20">INDEX(Indicators!$C$5:$C$38,SMALL(IF(Indicators!$L$5:$L$38=Graphs!AZ20,ROW(Indicators!$L$5:$L$38),""),COUNTIF(Graphs!$AZ$4:AZ20,Graphs!AZ20))-ROW(Indicators!$L$5)+1,0)</f>
        <v>1378434</v>
      </c>
      <c r="AZ20" s="369">
        <f>LARGE(Indicators!$L$5:$L$38,ROWS(Graphs!$AZ$3:$AZ20)-1)</f>
        <v>7297.11</v>
      </c>
      <c r="BA20" s="371"/>
      <c r="BB20" s="366" t="str">
        <f>PROPER(TRIM(INDEX('FR Y-15 Data'!$A$1:$A$36,MATCH(BC20,'FR Y-15 Data'!$C$1:$C$66,0))))</f>
        <v>Td Bank Us Holding Company</v>
      </c>
      <c r="BC20" s="367">
        <f t="array" ref="BC20">INDEX(Indicators!$C$5:$C$38,SMALL(IF(Indicators!$M$5:$M$38=Graphs!BD20,ROW(Indicators!$M$5:$M$38),""),COUNTIF(Graphs!$BD$4:BD20,Graphs!BD20))-ROW(Indicators!$M$5)+1,0)</f>
        <v>1249196</v>
      </c>
      <c r="BD20" s="369">
        <f>LARGE(Indicators!$M$5:$M$38,ROWS(Graphs!$BD$3:$BD20)-1)</f>
        <v>1498.489</v>
      </c>
      <c r="BE20" s="371"/>
      <c r="BF20" s="366" t="str">
        <f>PROPER(TRIM(INDEX('FR Y-15 Data'!$A$1:$A$36,MATCH(BG20,'FR Y-15 Data'!$C$1:$C$66,0))))</f>
        <v>Mufg Americas Holdings Corporation</v>
      </c>
      <c r="BG20" s="367">
        <f t="array" ref="BG20">INDEX(Indicators!$C$5:$C$38,SMALL(IF(Indicators!$N$5:$N$38=Graphs!BH20,ROW(Indicators!$N$5:$N$38),""),COUNTIF(Graphs!$BH$4:BH20,Graphs!BH20))-ROW(Indicators!$N$5)+1,0)</f>
        <v>1378434</v>
      </c>
      <c r="BH20" s="369">
        <f>LARGE(Indicators!$N$5:$N$38,ROWS(Graphs!$BH$3:$BH20)-1)</f>
        <v>4097</v>
      </c>
      <c r="BI20" s="371"/>
      <c r="BJ20" s="366" t="str">
        <f>PROPER(TRIM(INDEX('FR Y-15 Data'!$A$1:$A$36,MATCH(BK20,'FR Y-15 Data'!$C$1:$C$66,0))))</f>
        <v>Td Bank Us Holding Company</v>
      </c>
      <c r="BK20" s="367">
        <f t="array" ref="BK20">INDEX(Indicators!$C$5:$C$38,SMALL(IF(Indicators!$O$5:$O$38=Graphs!BL20,ROW(Indicators!$O$5:$O$38),""),COUNTIF(Graphs!$BL$4:BL20,Graphs!BL20))-ROW(Indicators!$O$5)+1,0)</f>
        <v>1249196</v>
      </c>
      <c r="BL20" s="369">
        <f>LARGE(Indicators!$O$5:$O$38,ROWS(Graphs!$BL$3:$BL20)-1)</f>
        <v>1806</v>
      </c>
      <c r="BM20" s="371"/>
      <c r="BN20" s="366" t="str">
        <f>PROPER(TRIM(INDEX('FR Y-15 Data'!$A$1:$A$36,MATCH(BO20,'FR Y-15 Data'!$C$1:$C$66,0))))</f>
        <v>Hsbc North America Holdings Inc.</v>
      </c>
      <c r="BO20" s="367">
        <f t="array" ref="BO20">INDEX(Scores!$C$10:$C$43,SMALL(IF(Scores!$P$10:$P$43=Graphs!BP20,ROW(Scores!$P$10:$P$43),""),COUNTIF(Graphs!$BP$4:BP20,Graphs!BP20))-ROW(Scores!$P$10)+1,0)</f>
        <v>3232316</v>
      </c>
      <c r="BP20" s="372">
        <f>LARGE(Scores!$P$10:$P$64,ROWS($BP$3:$BP20)-1)</f>
        <v>0</v>
      </c>
      <c r="BQ20" s="55"/>
      <c r="BR20" s="55"/>
      <c r="BS20" s="55"/>
      <c r="BT20" s="55"/>
      <c r="BU20" s="55"/>
      <c r="BV20" s="55"/>
      <c r="BW20" s="55"/>
    </row>
    <row r="21" spans="2:75" ht="15" customHeight="1">
      <c r="R21" s="366" t="str">
        <f>PROPER(TRIM(INDEX('FR Y-15 Data'!$A$1:$A$36,MATCH(S21,'FR Y-15 Data'!$C$1:$C$66,0))))</f>
        <v>Citizens Financial Group, Inc.</v>
      </c>
      <c r="S21" s="367">
        <f t="array" ref="S21">INDEX(Indicators!$C$5:$C$38,SMALL(IF(Indicators!$D$5:$D$38=Graphs!T21,ROW(Indicators!$D$5:$D$38),""),COUNTIF(Graphs!$T$4:T21,Graphs!T21))-ROW(Indicators!$D$5)+1,0)</f>
        <v>1132449</v>
      </c>
      <c r="T21" s="369">
        <f>LARGE(Indicators!$D$5:$D$38,ROWS(Graphs!$T$3:$T21)-1)</f>
        <v>157363.598</v>
      </c>
      <c r="U21" s="370"/>
      <c r="V21" s="366" t="str">
        <f>PROPER(TRIM(INDEX('FR Y-15 Data'!$A$1:$A$36,MATCH(W21,'FR Y-15 Data'!$C$1:$C$66,0))))</f>
        <v>American Express Company</v>
      </c>
      <c r="W21" s="367">
        <f t="array" ref="W21">INDEX(Indicators!$C$5:$C$38,SMALL(IF(Indicators!$E$5:$E$38=Graphs!X21,ROW(Indicators!$E$5:$E$38),""),COUNTIF(Graphs!$X$4:X21,Graphs!X21))-ROW(Indicators!$E$5)+1,0)</f>
        <v>1275216</v>
      </c>
      <c r="X21" s="369">
        <f>LARGE(Indicators!$E$5:$E$38,ROWS(Graphs!$X$3:$X21)-1)</f>
        <v>8243</v>
      </c>
      <c r="Y21" s="370"/>
      <c r="Z21" s="366" t="str">
        <f>PROPER(TRIM(INDEX('FR Y-15 Data'!$A$1:$A$36,MATCH(AA21,'FR Y-15 Data'!$C$1:$C$66,0))))</f>
        <v>American Express Company</v>
      </c>
      <c r="AA21" s="367">
        <f t="array" ref="AA21">INDEX(Indicators!$C$5:$C$38,SMALL(IF(Indicators!$F$5:$F$38=Graphs!AB21,ROW(Indicators!$F$5:$F$38),""),COUNTIF(Graphs!$AB$4:AB21,Graphs!AB21))-ROW(Indicators!$F$5)+1,0)</f>
        <v>1275216</v>
      </c>
      <c r="AB21" s="369">
        <f>LARGE(Indicators!$F$5:$F$38,ROWS(Graphs!$AB$3:$AB21)-1)</f>
        <v>5794</v>
      </c>
      <c r="AC21" s="370"/>
      <c r="AD21" s="366" t="str">
        <f>PROPER(TRIM(INDEX('FR Y-15 Data'!$A$1:$A$36,MATCH(AE21,'FR Y-15 Data'!$C$1:$C$66,0))))</f>
        <v>Fifth Third Bancorp</v>
      </c>
      <c r="AE21" s="367">
        <f t="array" ref="AE21">INDEX(Indicators!$C$5:$C$38,SMALL(IF(Indicators!$G$5:$G$38=Graphs!AF21,ROW(Indicators!$G$5:$G$38),""),COUNTIF(Graphs!$AF$4:AF21,Graphs!AF21))-ROW(Indicators!$G$5)+1,0)</f>
        <v>1070345</v>
      </c>
      <c r="AF21" s="369">
        <f>LARGE(Indicators!$G$5:$G$38,ROWS(Graphs!$AF$3:$AF21)-1)</f>
        <v>38466.464</v>
      </c>
      <c r="AG21" s="371"/>
      <c r="AH21" s="366" t="str">
        <f>PROPER(TRIM(INDEX('FR Y-15 Data'!$A$1:$A$36,MATCH(AI21,'FR Y-15 Data'!$C$1:$C$66,0))))</f>
        <v>Fifth Third Bancorp</v>
      </c>
      <c r="AI21" s="367">
        <f t="array" ref="AI21">INDEX(Indicators!$C$5:$C$38,SMALL(IF(Indicators!$H$5:$H$38=Graphs!AJ21,ROW(Indicators!$H$5:$H$38),""),COUNTIF(Graphs!$AJ$4:AJ21,Graphs!AJ21))-ROW(Indicators!$H$5)+1,0)</f>
        <v>1070345</v>
      </c>
      <c r="AJ21" s="369">
        <f>LARGE(Indicators!$H$5:$H$38,ROWS(Graphs!$AJ$3:$AJ21)-1)</f>
        <v>1479898.463</v>
      </c>
      <c r="AK21" s="371"/>
      <c r="AL21" s="366" t="str">
        <f>PROPER(TRIM(INDEX('FR Y-15 Data'!$A$1:$A$36,MATCH(AM21,'FR Y-15 Data'!$C$1:$C$66,0))))</f>
        <v>Suntrust Banks, Inc.</v>
      </c>
      <c r="AM21" s="367">
        <f t="array" ref="AM21">INDEX(Indicators!$C$5:$C$38,SMALL(IF(Indicators!$I$5:$I$38=Graphs!AN21,ROW(Indicators!$I$5:$I$38),""),COUNTIF(Graphs!$AN$4:AN21,Graphs!AN21))-ROW(Indicators!$I$5)+1,0)</f>
        <v>1131787</v>
      </c>
      <c r="AN21" s="369">
        <f>LARGE(Indicators!$I$5:$I$38,ROWS(Graphs!$AN$3:$AN21)-1)</f>
        <v>58848.508999999998</v>
      </c>
      <c r="AO21" s="371"/>
      <c r="AP21" s="366" t="str">
        <f>PROPER(TRIM(INDEX('FR Y-15 Data'!$A$1:$A$36,MATCH(AQ21,'FR Y-15 Data'!$C$1:$C$66,0))))</f>
        <v>Capital One Financial Corporation</v>
      </c>
      <c r="AQ21" s="367">
        <f t="array" ref="AQ21">INDEX(Indicators!$C$5:$C$38,SMALL(IF(Indicators!$J$5:$J$38=Graphs!AR21,ROW(Indicators!$J$5:$J$38),""),COUNTIF(Graphs!$AR$4:AR21,Graphs!AR21))-ROW(Indicators!$J$5)+1,0)</f>
        <v>2277860</v>
      </c>
      <c r="AR21" s="369">
        <f>LARGE(Indicators!$J$5:$J$38,ROWS(Graphs!$AR$3:$AR21)-1)</f>
        <v>2414.2080000000001</v>
      </c>
      <c r="AS21" s="371"/>
      <c r="AT21" s="366" t="str">
        <f>PROPER(TRIM(INDEX('FR Y-15 Data'!$A$1:$A$36,MATCH(AU21,'FR Y-15 Data'!$C$1:$C$66,0))))</f>
        <v>Bb&amp;T Corporation</v>
      </c>
      <c r="AU21" s="367">
        <f t="array" ref="AU21">INDEX(Indicators!$C$5:$C$38,SMALL(IF(Indicators!$K$5:$K$38=Graphs!AV21,ROW(Indicators!$K$5:$K$38),""),COUNTIF(Graphs!$AV$4:AV21,Graphs!AV21))-ROW(Indicators!$K$5)+1,0)</f>
        <v>1074156</v>
      </c>
      <c r="AV21" s="369">
        <f>LARGE(Indicators!$K$5:$K$38,ROWS(Graphs!$AV$3:$AV21)-1)</f>
        <v>71581.834000000003</v>
      </c>
      <c r="AW21" s="371"/>
      <c r="AX21" s="366" t="str">
        <f>PROPER(TRIM(INDEX('FR Y-15 Data'!$A$1:$A$36,MATCH(AY21,'FR Y-15 Data'!$C$1:$C$66,0))))</f>
        <v>Bancwest Corporation</v>
      </c>
      <c r="AY21" s="367">
        <f t="array" ref="AY21">INDEX(Indicators!$C$5:$C$38,SMALL(IF(Indicators!$L$5:$L$38=Graphs!AZ21,ROW(Indicators!$L$5:$L$38),""),COUNTIF(Graphs!$AZ$4:AZ21,Graphs!AZ21))-ROW(Indicators!$L$5)+1,0)</f>
        <v>1025608</v>
      </c>
      <c r="AZ21" s="369">
        <f>LARGE(Indicators!$L$5:$L$38,ROWS(Graphs!$AZ$3:$AZ21)-1)</f>
        <v>7175.2730000000001</v>
      </c>
      <c r="BA21" s="371"/>
      <c r="BB21" s="366" t="str">
        <f>PROPER(TRIM(INDEX('FR Y-15 Data'!$A$1:$A$36,MATCH(BC21,'FR Y-15 Data'!$C$1:$C$66,0))))</f>
        <v>Keycorp</v>
      </c>
      <c r="BC21" s="367">
        <f t="array" ref="BC21">INDEX(Indicators!$C$5:$C$38,SMALL(IF(Indicators!$M$5:$M$38=Graphs!BD21,ROW(Indicators!$M$5:$M$38),""),COUNTIF(Graphs!$BD$4:BD21,Graphs!BD21))-ROW(Indicators!$M$5)+1,0)</f>
        <v>1068025</v>
      </c>
      <c r="BD21" s="369">
        <f>LARGE(Indicators!$M$5:$M$38,ROWS(Graphs!$BD$3:$BD21)-1)</f>
        <v>632.41700000000003</v>
      </c>
      <c r="BE21" s="371"/>
      <c r="BF21" s="366" t="str">
        <f>PROPER(TRIM(INDEX('FR Y-15 Data'!$A$1:$A$36,MATCH(BG21,'FR Y-15 Data'!$C$1:$C$66,0))))</f>
        <v>Santander Holdings Usa, Inc.</v>
      </c>
      <c r="BG21" s="367">
        <f t="array" ref="BG21">INDEX(Indicators!$C$5:$C$38,SMALL(IF(Indicators!$N$5:$N$38=Graphs!BH21,ROW(Indicators!$N$5:$N$38),""),COUNTIF(Graphs!$BH$4:BH21,Graphs!BH21))-ROW(Indicators!$N$5)+1,0)</f>
        <v>3981856</v>
      </c>
      <c r="BH21" s="369">
        <f>LARGE(Indicators!$N$5:$N$38,ROWS(Graphs!$BH$3:$BH21)-1)</f>
        <v>3785.125</v>
      </c>
      <c r="BI21" s="371"/>
      <c r="BJ21" s="366" t="str">
        <f>PROPER(TRIM(INDEX('FR Y-15 Data'!$A$1:$A$36,MATCH(BK21,'FR Y-15 Data'!$C$1:$C$66,0))))</f>
        <v>Comerica Incorporated</v>
      </c>
      <c r="BK21" s="367">
        <f t="array" ref="BK21">INDEX(Indicators!$C$5:$C$38,SMALL(IF(Indicators!$O$5:$O$38=Graphs!BL21,ROW(Indicators!$O$5:$O$38),""),COUNTIF(Graphs!$BL$4:BL21,Graphs!BL21))-ROW(Indicators!$O$5)+1,0)</f>
        <v>1199844</v>
      </c>
      <c r="BL21" s="369">
        <f>LARGE(Indicators!$O$5:$O$38,ROWS(Graphs!$BL$3:$BL21)-1)</f>
        <v>1662</v>
      </c>
      <c r="BM21" s="371"/>
      <c r="BN21" s="366" t="str">
        <f>PROPER(TRIM(INDEX('FR Y-15 Data'!$A$1:$A$36,MATCH(BO21,'FR Y-15 Data'!$C$1:$C$66,0))))</f>
        <v>Huntington Bancshares Incorporated</v>
      </c>
      <c r="BO21" s="367">
        <f t="array" ref="BO21">INDEX(Scores!$C$10:$C$43,SMALL(IF(Scores!$P$10:$P$43=Graphs!BP21,ROW(Scores!$P$10:$P$43),""),COUNTIF(Graphs!$BP$4:BP21,Graphs!BP21))-ROW(Scores!$P$10)+1,0)</f>
        <v>1068191</v>
      </c>
      <c r="BP21" s="372">
        <f>LARGE(Scores!$P$10:$P$64,ROWS($BP$3:$BP21)-1)</f>
        <v>0</v>
      </c>
      <c r="BQ21" s="55"/>
      <c r="BR21" s="55"/>
      <c r="BS21" s="55"/>
      <c r="BT21" s="55"/>
      <c r="BU21" s="55"/>
      <c r="BV21" s="55"/>
      <c r="BW21" s="55"/>
    </row>
    <row r="22" spans="2:75" ht="15" customHeight="1">
      <c r="R22" s="366" t="str">
        <f>PROPER(TRIM(INDEX('FR Y-15 Data'!$A$1:$A$36,MATCH(S22,'FR Y-15 Data'!$C$1:$C$66,0))))</f>
        <v>Bmo Financial Corp.</v>
      </c>
      <c r="S22" s="367">
        <f t="array" ref="S22">INDEX(Indicators!$C$5:$C$38,SMALL(IF(Indicators!$D$5:$D$38=Graphs!T22,ROW(Indicators!$D$5:$D$38),""),COUNTIF(Graphs!$T$4:T22,Graphs!T22))-ROW(Indicators!$D$5)+1,0)</f>
        <v>1245415</v>
      </c>
      <c r="T22" s="369">
        <f>LARGE(Indicators!$D$5:$D$38,ROWS(Graphs!$T$3:$T22)-1)</f>
        <v>155869.27799999999</v>
      </c>
      <c r="U22" s="370"/>
      <c r="V22" s="366" t="str">
        <f>PROPER(TRIM(INDEX('FR Y-15 Data'!$A$1:$A$36,MATCH(W22,'FR Y-15 Data'!$C$1:$C$66,0))))</f>
        <v>Discover Financial Services</v>
      </c>
      <c r="W22" s="367">
        <f t="array" ref="W22">INDEX(Indicators!$C$5:$C$38,SMALL(IF(Indicators!$E$5:$E$38=Graphs!X22,ROW(Indicators!$E$5:$E$38),""),COUNTIF(Graphs!$X$4:X22,Graphs!X22))-ROW(Indicators!$E$5)+1,0)</f>
        <v>3846375</v>
      </c>
      <c r="X22" s="369">
        <f>LARGE(Indicators!$E$5:$E$38,ROWS(Graphs!$X$3:$X22)-1)</f>
        <v>7507.7309999999998</v>
      </c>
      <c r="Y22" s="370"/>
      <c r="Z22" s="366" t="str">
        <f>PROPER(TRIM(INDEX('FR Y-15 Data'!$A$1:$A$36,MATCH(AA22,'FR Y-15 Data'!$C$1:$C$66,0))))</f>
        <v>Citizens Financial Group, Inc.</v>
      </c>
      <c r="AA22" s="367">
        <f t="array" ref="AA22">INDEX(Indicators!$C$5:$C$38,SMALL(IF(Indicators!$F$5:$F$38=Graphs!AB22,ROW(Indicators!$F$5:$F$38),""),COUNTIF(Graphs!$AB$4:AB22,Graphs!AB22))-ROW(Indicators!$F$5)+1,0)</f>
        <v>1132449</v>
      </c>
      <c r="AB22" s="369">
        <f>LARGE(Indicators!$F$5:$F$38,ROWS(Graphs!$AB$3:$AB22)-1)</f>
        <v>5785.5119999999997</v>
      </c>
      <c r="AC22" s="370"/>
      <c r="AD22" s="366" t="str">
        <f>PROPER(TRIM(INDEX('FR Y-15 Data'!$A$1:$A$36,MATCH(AE22,'FR Y-15 Data'!$C$1:$C$66,0))))</f>
        <v>Regions Financial Corporation</v>
      </c>
      <c r="AE22" s="367">
        <f t="array" ref="AE22">INDEX(Indicators!$C$5:$C$38,SMALL(IF(Indicators!$G$5:$G$38=Graphs!AF22,ROW(Indicators!$G$5:$G$38),""),COUNTIF(Graphs!$AF$4:AF22,Graphs!AF22))-ROW(Indicators!$G$5)+1,0)</f>
        <v>3242838</v>
      </c>
      <c r="AF22" s="369">
        <f>LARGE(Indicators!$G$5:$G$38,ROWS(Graphs!$AF$3:$AF22)-1)</f>
        <v>27305.881000000001</v>
      </c>
      <c r="AG22" s="371"/>
      <c r="AH22" s="366" t="str">
        <f>PROPER(TRIM(INDEX('FR Y-15 Data'!$A$1:$A$36,MATCH(AI22,'FR Y-15 Data'!$C$1:$C$66,0))))</f>
        <v>Mufg Americas Holdings Corporation</v>
      </c>
      <c r="AI22" s="367">
        <f t="array" ref="AI22">INDEX(Indicators!$C$5:$C$38,SMALL(IF(Indicators!$H$5:$H$38=Graphs!AJ22,ROW(Indicators!$H$5:$H$38),""),COUNTIF(Graphs!$AJ$4:AJ22,Graphs!AJ22))-ROW(Indicators!$H$5)+1,0)</f>
        <v>1378434</v>
      </c>
      <c r="AJ22" s="369">
        <f>LARGE(Indicators!$H$5:$H$38,ROWS(Graphs!$AJ$3:$AJ22)-1)</f>
        <v>947515.26899999997</v>
      </c>
      <c r="AK22" s="371"/>
      <c r="AL22" s="366" t="str">
        <f>PROPER(TRIM(INDEX('FR Y-15 Data'!$A$1:$A$36,MATCH(AM22,'FR Y-15 Data'!$C$1:$C$66,0))))</f>
        <v>Comerica Incorporated</v>
      </c>
      <c r="AM22" s="367">
        <f t="array" ref="AM22">INDEX(Indicators!$C$5:$C$38,SMALL(IF(Indicators!$I$5:$I$38=Graphs!AN22,ROW(Indicators!$I$5:$I$38),""),COUNTIF(Graphs!$AN$4:AN22,Graphs!AN22))-ROW(Indicators!$I$5)+1,0)</f>
        <v>1199844</v>
      </c>
      <c r="AN22" s="369">
        <f>LARGE(Indicators!$I$5:$I$38,ROWS(Graphs!$AN$3:$AN22)-1)</f>
        <v>55913.241999999998</v>
      </c>
      <c r="AO22" s="371"/>
      <c r="AP22" s="366" t="str">
        <f>PROPER(TRIM(INDEX('FR Y-15 Data'!$A$1:$A$36,MATCH(AQ22,'FR Y-15 Data'!$C$1:$C$66,0))))</f>
        <v>Comerica Incorporated</v>
      </c>
      <c r="AQ22" s="367">
        <f t="array" ref="AQ22">INDEX(Indicators!$C$5:$C$38,SMALL(IF(Indicators!$J$5:$J$38=Graphs!AR22,ROW(Indicators!$J$5:$J$38),""),COUNTIF(Graphs!$AR$4:AR22,Graphs!AR22))-ROW(Indicators!$J$5)+1,0)</f>
        <v>1199844</v>
      </c>
      <c r="AR22" s="369">
        <f>LARGE(Indicators!$J$5:$J$38,ROWS(Graphs!$AR$3:$AR22)-1)</f>
        <v>1556</v>
      </c>
      <c r="AS22" s="371"/>
      <c r="AT22" s="366" t="str">
        <f>PROPER(TRIM(INDEX('FR Y-15 Data'!$A$1:$A$36,MATCH(AU22,'FR Y-15 Data'!$C$1:$C$66,0))))</f>
        <v>Fifth Third Bancorp</v>
      </c>
      <c r="AU22" s="367">
        <f t="array" ref="AU22">INDEX(Indicators!$C$5:$C$38,SMALL(IF(Indicators!$K$5:$K$38=Graphs!AV22,ROW(Indicators!$K$5:$K$38),""),COUNTIF(Graphs!$AV$4:AV22,Graphs!AV22))-ROW(Indicators!$K$5)+1,0)</f>
        <v>1070345</v>
      </c>
      <c r="AV22" s="369">
        <f>LARGE(Indicators!$K$5:$K$38,ROWS(Graphs!$AV$3:$AV22)-1)</f>
        <v>62852.773000000001</v>
      </c>
      <c r="AW22" s="371"/>
      <c r="AX22" s="366" t="str">
        <f>PROPER(TRIM(INDEX('FR Y-15 Data'!$A$1:$A$36,MATCH(AY22,'FR Y-15 Data'!$C$1:$C$66,0))))</f>
        <v>Bmo Financial Corp.</v>
      </c>
      <c r="AY22" s="367">
        <f t="array" ref="AY22">INDEX(Indicators!$C$5:$C$38,SMALL(IF(Indicators!$L$5:$L$38=Graphs!AZ22,ROW(Indicators!$L$5:$L$38),""),COUNTIF(Graphs!$AZ$4:AZ22,Graphs!AZ22))-ROW(Indicators!$L$5)+1,0)</f>
        <v>1245415</v>
      </c>
      <c r="AZ22" s="369">
        <f>LARGE(Indicators!$L$5:$L$38,ROWS(Graphs!$AZ$3:$AZ22)-1)</f>
        <v>5567.1120000000001</v>
      </c>
      <c r="BA22" s="371"/>
      <c r="BB22" s="366" t="str">
        <f>PROPER(TRIM(INDEX('FR Y-15 Data'!$A$1:$A$36,MATCH(BC22,'FR Y-15 Data'!$C$1:$C$66,0))))</f>
        <v>Fifth Third Bancorp</v>
      </c>
      <c r="BC22" s="367">
        <f t="array" ref="BC22">INDEX(Indicators!$C$5:$C$38,SMALL(IF(Indicators!$M$5:$M$38=Graphs!BD22,ROW(Indicators!$M$5:$M$38),""),COUNTIF(Graphs!$BD$4:BD22,Graphs!BD22))-ROW(Indicators!$M$5)+1,0)</f>
        <v>1070345</v>
      </c>
      <c r="BD22" s="369">
        <f>LARGE(Indicators!$M$5:$M$38,ROWS(Graphs!$BD$3:$BD22)-1)</f>
        <v>535.39599999999996</v>
      </c>
      <c r="BE22" s="371"/>
      <c r="BF22" s="366" t="str">
        <f>PROPER(TRIM(INDEX('FR Y-15 Data'!$A$1:$A$36,MATCH(BG22,'FR Y-15 Data'!$C$1:$C$66,0))))</f>
        <v>U.S. Bancorp</v>
      </c>
      <c r="BG22" s="367">
        <f t="array" ref="BG22">INDEX(Indicators!$C$5:$C$38,SMALL(IF(Indicators!$N$5:$N$38=Graphs!BH22,ROW(Indicators!$N$5:$N$38),""),COUNTIF(Graphs!$BH$4:BH22,Graphs!BH22))-ROW(Indicators!$N$5)+1,0)</f>
        <v>1119794</v>
      </c>
      <c r="BH22" s="369">
        <f>LARGE(Indicators!$N$5:$N$38,ROWS(Graphs!$BH$3:$BH22)-1)</f>
        <v>3192</v>
      </c>
      <c r="BI22" s="371"/>
      <c r="BJ22" s="366" t="str">
        <f>PROPER(TRIM(INDEX('FR Y-15 Data'!$A$1:$A$36,MATCH(BK22,'FR Y-15 Data'!$C$1:$C$66,0))))</f>
        <v>Ally Financial Inc.</v>
      </c>
      <c r="BK22" s="367">
        <f t="array" ref="BK22">INDEX(Indicators!$C$5:$C$38,SMALL(IF(Indicators!$O$5:$O$38=Graphs!BL22,ROW(Indicators!$O$5:$O$38),""),COUNTIF(Graphs!$BL$4:BL22,Graphs!BL22))-ROW(Indicators!$O$5)+1,0)</f>
        <v>1562859</v>
      </c>
      <c r="BL22" s="369">
        <f>LARGE(Indicators!$O$5:$O$38,ROWS(Graphs!$BL$3:$BL22)-1)</f>
        <v>1622</v>
      </c>
      <c r="BM22" s="371"/>
      <c r="BN22" s="366" t="str">
        <f>PROPER(TRIM(INDEX('FR Y-15 Data'!$A$1:$A$36,MATCH(BO22,'FR Y-15 Data'!$C$1:$C$66,0))))</f>
        <v>Jpmorgan Chase &amp; Co.</v>
      </c>
      <c r="BO22" s="367">
        <f t="array" ref="BO22">INDEX(Scores!$C$10:$C$43,SMALL(IF(Scores!$P$10:$P$43=Graphs!BP22,ROW(Scores!$P$10:$P$43),""),COUNTIF(Graphs!$BP$4:BP22,Graphs!BP22))-ROW(Scores!$P$10)+1,0)</f>
        <v>1039502</v>
      </c>
      <c r="BP22" s="372">
        <f>LARGE(Scores!$P$10:$P$64,ROWS($BP$3:$BP22)-1)</f>
        <v>0</v>
      </c>
      <c r="BQ22" s="55"/>
      <c r="BR22" s="55"/>
      <c r="BS22" s="55"/>
      <c r="BT22" s="55"/>
      <c r="BU22" s="55"/>
      <c r="BV22" s="55"/>
      <c r="BW22" s="55"/>
    </row>
    <row r="23" spans="2:75" ht="15" customHeight="1">
      <c r="R23" s="366" t="str">
        <f>PROPER(TRIM(INDEX('FR Y-15 Data'!$A$1:$A$36,MATCH(S23,'FR Y-15 Data'!$C$1:$C$66,0))))</f>
        <v>Ally Financial Inc.</v>
      </c>
      <c r="S23" s="367">
        <f t="array" ref="S23">INDEX(Indicators!$C$5:$C$38,SMALL(IF(Indicators!$D$5:$D$38=Graphs!T23,ROW(Indicators!$D$5:$D$38),""),COUNTIF(Graphs!$T$4:T23,Graphs!T23))-ROW(Indicators!$D$5)+1,0)</f>
        <v>1562859</v>
      </c>
      <c r="T23" s="369">
        <f>LARGE(Indicators!$D$5:$D$38,ROWS(Graphs!$T$3:$T23)-1)</f>
        <v>154346.6</v>
      </c>
      <c r="U23" s="370"/>
      <c r="V23" s="366" t="str">
        <f>PROPER(TRIM(INDEX('FR Y-15 Data'!$A$1:$A$36,MATCH(W23,'FR Y-15 Data'!$C$1:$C$66,0))))</f>
        <v>Comerica Incorporated</v>
      </c>
      <c r="W23" s="367">
        <f t="array" ref="W23">INDEX(Indicators!$C$5:$C$38,SMALL(IF(Indicators!$E$5:$E$38=Graphs!X23,ROW(Indicators!$E$5:$E$38),""),COUNTIF(Graphs!$X$4:X23,Graphs!X23))-ROW(Indicators!$E$5)+1,0)</f>
        <v>1199844</v>
      </c>
      <c r="X23" s="369">
        <f>LARGE(Indicators!$E$5:$E$38,ROWS(Graphs!$X$3:$X23)-1)</f>
        <v>6057.5720000000001</v>
      </c>
      <c r="Y23" s="370"/>
      <c r="Z23" s="366" t="str">
        <f>PROPER(TRIM(INDEX('FR Y-15 Data'!$A$1:$A$36,MATCH(AA23,'FR Y-15 Data'!$C$1:$C$66,0))))</f>
        <v>Mufg Americas Holdings Corporation</v>
      </c>
      <c r="AA23" s="367">
        <f t="array" ref="AA23">INDEX(Indicators!$C$5:$C$38,SMALL(IF(Indicators!$F$5:$F$38=Graphs!AB23,ROW(Indicators!$F$5:$F$38),""),COUNTIF(Graphs!$AB$4:AB23,Graphs!AB23))-ROW(Indicators!$F$5)+1,0)</f>
        <v>1378434</v>
      </c>
      <c r="AB23" s="369">
        <f>LARGE(Indicators!$F$5:$F$38,ROWS(Graphs!$AB$3:$AB23)-1)</f>
        <v>5362.9380000000001</v>
      </c>
      <c r="AC23" s="370"/>
      <c r="AD23" s="366" t="str">
        <f>PROPER(TRIM(INDEX('FR Y-15 Data'!$A$1:$A$36,MATCH(AE23,'FR Y-15 Data'!$C$1:$C$66,0))))</f>
        <v>M&amp;T Bank Corporation</v>
      </c>
      <c r="AE23" s="367">
        <f t="array" ref="AE23">INDEX(Indicators!$C$5:$C$38,SMALL(IF(Indicators!$G$5:$G$38=Graphs!AF23,ROW(Indicators!$G$5:$G$38),""),COUNTIF(Graphs!$AF$4:AF23,Graphs!AF23))-ROW(Indicators!$G$5)+1,0)</f>
        <v>1037003</v>
      </c>
      <c r="AF23" s="369">
        <f>LARGE(Indicators!$G$5:$G$38,ROWS(Graphs!$AF$3:$AF23)-1)</f>
        <v>25803.718000000001</v>
      </c>
      <c r="AG23" s="371"/>
      <c r="AH23" s="366" t="str">
        <f>PROPER(TRIM(INDEX('FR Y-15 Data'!$A$1:$A$36,MATCH(AI23,'FR Y-15 Data'!$C$1:$C$66,0))))</f>
        <v>Keycorp</v>
      </c>
      <c r="AI23" s="367">
        <f t="array" ref="AI23">INDEX(Indicators!$C$5:$C$38,SMALL(IF(Indicators!$H$5:$H$38=Graphs!AJ23,ROW(Indicators!$H$5:$H$38),""),COUNTIF(Graphs!$AJ$4:AJ23,Graphs!AJ23))-ROW(Indicators!$H$5)+1,0)</f>
        <v>1068025</v>
      </c>
      <c r="AJ23" s="369">
        <f>LARGE(Indicators!$H$5:$H$38,ROWS(Graphs!$AJ$3:$AJ23)-1)</f>
        <v>945763.05200000003</v>
      </c>
      <c r="AK23" s="371"/>
      <c r="AL23" s="366" t="str">
        <f>PROPER(TRIM(INDEX('FR Y-15 Data'!$A$1:$A$36,MATCH(AM23,'FR Y-15 Data'!$C$1:$C$66,0))))</f>
        <v>Hsbc North America Holdings Inc.</v>
      </c>
      <c r="AM23" s="367">
        <f t="array" ref="AM23">INDEX(Indicators!$C$5:$C$38,SMALL(IF(Indicators!$I$5:$I$38=Graphs!AN23,ROW(Indicators!$I$5:$I$38),""),COUNTIF(Graphs!$AN$4:AN23,Graphs!AN23))-ROW(Indicators!$I$5)+1,0)</f>
        <v>3232316</v>
      </c>
      <c r="AN23" s="369">
        <f>LARGE(Indicators!$I$5:$I$38,ROWS(Graphs!$AN$3:$AN23)-1)</f>
        <v>39475.866000000002</v>
      </c>
      <c r="AO23" s="371"/>
      <c r="AP23" s="366" t="str">
        <f>PROPER(TRIM(INDEX('FR Y-15 Data'!$A$1:$A$36,MATCH(AQ23,'FR Y-15 Data'!$C$1:$C$66,0))))</f>
        <v>Regions Financial Corporation</v>
      </c>
      <c r="AQ23" s="367">
        <f t="array" ref="AQ23">INDEX(Indicators!$C$5:$C$38,SMALL(IF(Indicators!$J$5:$J$38=Graphs!AR23,ROW(Indicators!$J$5:$J$38),""),COUNTIF(Graphs!$AR$4:AR23,Graphs!AR23))-ROW(Indicators!$J$5)+1,0)</f>
        <v>3242838</v>
      </c>
      <c r="AR23" s="369">
        <f>LARGE(Indicators!$J$5:$J$38,ROWS(Graphs!$AR$3:$AR23)-1)</f>
        <v>1400.2049999999999</v>
      </c>
      <c r="AS23" s="371"/>
      <c r="AT23" s="366" t="str">
        <f>PROPER(TRIM(INDEX('FR Y-15 Data'!$A$1:$A$36,MATCH(AU23,'FR Y-15 Data'!$C$1:$C$66,0))))</f>
        <v>Ally Financial Inc.</v>
      </c>
      <c r="AU23" s="367">
        <f t="array" ref="AU23">INDEX(Indicators!$C$5:$C$38,SMALL(IF(Indicators!$K$5:$K$38=Graphs!AV23,ROW(Indicators!$K$5:$K$38),""),COUNTIF(Graphs!$AV$4:AV23,Graphs!AV23))-ROW(Indicators!$K$5)+1,0)</f>
        <v>1562859</v>
      </c>
      <c r="AV23" s="369">
        <f>LARGE(Indicators!$K$5:$K$38,ROWS(Graphs!$AV$3:$AV23)-1)</f>
        <v>62313</v>
      </c>
      <c r="AW23" s="371"/>
      <c r="AX23" s="366" t="str">
        <f>PROPER(TRIM(INDEX('FR Y-15 Data'!$A$1:$A$36,MATCH(AY23,'FR Y-15 Data'!$C$1:$C$66,0))))</f>
        <v>Fifth Third Bancorp</v>
      </c>
      <c r="AY23" s="367">
        <f t="array" ref="AY23">INDEX(Indicators!$C$5:$C$38,SMALL(IF(Indicators!$L$5:$L$38=Graphs!AZ23,ROW(Indicators!$L$5:$L$38),""),COUNTIF(Graphs!$AZ$4:AZ23,Graphs!AZ23))-ROW(Indicators!$L$5)+1,0)</f>
        <v>1070345</v>
      </c>
      <c r="AZ23" s="369">
        <f>LARGE(Indicators!$L$5:$L$38,ROWS(Graphs!$AZ$3:$AZ23)-1)</f>
        <v>5398.9290000000001</v>
      </c>
      <c r="BA23" s="371"/>
      <c r="BB23" s="366" t="str">
        <f>PROPER(TRIM(INDEX('FR Y-15 Data'!$A$1:$A$36,MATCH(BC23,'FR Y-15 Data'!$C$1:$C$66,0))))</f>
        <v>Zions Bancorporation</v>
      </c>
      <c r="BC23" s="367">
        <f t="array" ref="BC23">INDEX(Indicators!$C$5:$C$38,SMALL(IF(Indicators!$M$5:$M$38=Graphs!BD23,ROW(Indicators!$M$5:$M$38),""),COUNTIF(Graphs!$BD$4:BD23,Graphs!BD23))-ROW(Indicators!$M$5)+1,0)</f>
        <v>1027004</v>
      </c>
      <c r="BD23" s="369">
        <f>LARGE(Indicators!$M$5:$M$38,ROWS(Graphs!$BD$3:$BD23)-1)</f>
        <v>514.04899999999998</v>
      </c>
      <c r="BE23" s="371"/>
      <c r="BF23" s="366" t="str">
        <f>PROPER(TRIM(INDEX('FR Y-15 Data'!$A$1:$A$36,MATCH(BG23,'FR Y-15 Data'!$C$1:$C$66,0))))</f>
        <v>Comerica Incorporated</v>
      </c>
      <c r="BG23" s="367">
        <f t="array" ref="BG23">INDEX(Indicators!$C$5:$C$38,SMALL(IF(Indicators!$N$5:$N$38=Graphs!BH23,ROW(Indicators!$N$5:$N$38),""),COUNTIF(Graphs!$BH$4:BH23,Graphs!BH23))-ROW(Indicators!$N$5)+1,0)</f>
        <v>1199844</v>
      </c>
      <c r="BH23" s="369">
        <f>LARGE(Indicators!$N$5:$N$38,ROWS(Graphs!$BH$3:$BH23)-1)</f>
        <v>2051</v>
      </c>
      <c r="BI23" s="371"/>
      <c r="BJ23" s="366" t="str">
        <f>PROPER(TRIM(INDEX('FR Y-15 Data'!$A$1:$A$36,MATCH(BK23,'FR Y-15 Data'!$C$1:$C$66,0))))</f>
        <v>Bancwest Corporation</v>
      </c>
      <c r="BK23" s="367">
        <f t="array" ref="BK23">INDEX(Indicators!$C$5:$C$38,SMALL(IF(Indicators!$O$5:$O$38=Graphs!BL23,ROW(Indicators!$O$5:$O$38),""),COUNTIF(Graphs!$BL$4:BL23,Graphs!BL23))-ROW(Indicators!$O$5)+1,0)</f>
        <v>1025608</v>
      </c>
      <c r="BL23" s="369">
        <f>LARGE(Indicators!$O$5:$O$38,ROWS(Graphs!$BL$3:$BL23)-1)</f>
        <v>1548.1379999999999</v>
      </c>
      <c r="BM23" s="371"/>
      <c r="BN23" s="366" t="str">
        <f>PROPER(TRIM(INDEX('FR Y-15 Data'!$A$1:$A$36,MATCH(BO23,'FR Y-15 Data'!$C$1:$C$66,0))))</f>
        <v>Keycorp</v>
      </c>
      <c r="BO23" s="367">
        <f t="array" ref="BO23">INDEX(Scores!$C$10:$C$43,SMALL(IF(Scores!$P$10:$P$43=Graphs!BP23,ROW(Scores!$P$10:$P$43),""),COUNTIF(Graphs!$BP$4:BP23,Graphs!BP23))-ROW(Scores!$P$10)+1,0)</f>
        <v>1068025</v>
      </c>
      <c r="BP23" s="372">
        <f>LARGE(Scores!$P$10:$P$64,ROWS($BP$3:$BP23)-1)</f>
        <v>0</v>
      </c>
      <c r="BQ23" s="55"/>
      <c r="BR23" s="55"/>
      <c r="BS23" s="55"/>
      <c r="BT23" s="55"/>
      <c r="BU23" s="55"/>
      <c r="BV23" s="55"/>
      <c r="BW23" s="55"/>
    </row>
    <row r="24" spans="2:75" ht="15" customHeight="1">
      <c r="R24" s="366" t="str">
        <f>PROPER(TRIM(INDEX('FR Y-15 Data'!$A$1:$A$36,MATCH(S24,'FR Y-15 Data'!$C$1:$C$66,0))))</f>
        <v>Mufg Americas Holdings Corporation</v>
      </c>
      <c r="S24" s="367">
        <f t="array" ref="S24">INDEX(Indicators!$C$5:$C$38,SMALL(IF(Indicators!$D$5:$D$38=Graphs!T24,ROW(Indicators!$D$5:$D$38),""),COUNTIF(Graphs!$T$4:T24,Graphs!T24))-ROW(Indicators!$D$5)+1,0)</f>
        <v>1378434</v>
      </c>
      <c r="T24" s="369">
        <f>LARGE(Indicators!$D$5:$D$38,ROWS(Graphs!$T$3:$T24)-1)</f>
        <v>153901.38399999999</v>
      </c>
      <c r="U24" s="370"/>
      <c r="V24" s="366" t="str">
        <f>PROPER(TRIM(INDEX('FR Y-15 Data'!$A$1:$A$36,MATCH(W24,'FR Y-15 Data'!$C$1:$C$66,0))))</f>
        <v>Keycorp</v>
      </c>
      <c r="W24" s="367">
        <f t="array" ref="W24">INDEX(Indicators!$C$5:$C$38,SMALL(IF(Indicators!$E$5:$E$38=Graphs!X24,ROW(Indicators!$E$5:$E$38),""),COUNTIF(Graphs!$X$4:X24,Graphs!X24))-ROW(Indicators!$E$5)+1,0)</f>
        <v>1068025</v>
      </c>
      <c r="X24" s="369">
        <f>LARGE(Indicators!$E$5:$E$38,ROWS(Graphs!$X$3:$X24)-1)</f>
        <v>5423.3310000000001</v>
      </c>
      <c r="Y24" s="370"/>
      <c r="Z24" s="366" t="str">
        <f>PROPER(TRIM(INDEX('FR Y-15 Data'!$A$1:$A$36,MATCH(AA24,'FR Y-15 Data'!$C$1:$C$66,0))))</f>
        <v>M&amp;T Bank Corporation</v>
      </c>
      <c r="AA24" s="367">
        <f t="array" ref="AA24">INDEX(Indicators!$C$5:$C$38,SMALL(IF(Indicators!$F$5:$F$38=Graphs!AB24,ROW(Indicators!$F$5:$F$38),""),COUNTIF(Graphs!$AB$4:AB24,Graphs!AB24))-ROW(Indicators!$F$5)+1,0)</f>
        <v>1037003</v>
      </c>
      <c r="AB24" s="369">
        <f>LARGE(Indicators!$F$5:$F$38,ROWS(Graphs!$AB$3:$AB24)-1)</f>
        <v>5014.0479999999998</v>
      </c>
      <c r="AC24" s="370"/>
      <c r="AD24" s="366" t="str">
        <f>PROPER(TRIM(INDEX('FR Y-15 Data'!$A$1:$A$36,MATCH(AE24,'FR Y-15 Data'!$C$1:$C$66,0))))</f>
        <v>Keycorp</v>
      </c>
      <c r="AE24" s="367">
        <f t="array" ref="AE24">INDEX(Indicators!$C$5:$C$38,SMALL(IF(Indicators!$G$5:$G$38=Graphs!AF24,ROW(Indicators!$G$5:$G$38),""),COUNTIF(Graphs!$AF$4:AF24,Graphs!AF24))-ROW(Indicators!$G$5)+1,0)</f>
        <v>1068025</v>
      </c>
      <c r="AF24" s="369">
        <f>LARGE(Indicators!$G$5:$G$38,ROWS(Graphs!$AF$3:$AF24)-1)</f>
        <v>25397.323</v>
      </c>
      <c r="AG24" s="371"/>
      <c r="AH24" s="366" t="str">
        <f>PROPER(TRIM(INDEX('FR Y-15 Data'!$A$1:$A$36,MATCH(AI24,'FR Y-15 Data'!$C$1:$C$66,0))))</f>
        <v>Bb&amp;T Corporation</v>
      </c>
      <c r="AI24" s="367">
        <f t="array" ref="AI24">INDEX(Indicators!$C$5:$C$38,SMALL(IF(Indicators!$H$5:$H$38=Graphs!AJ24,ROW(Indicators!$H$5:$H$38),""),COUNTIF(Graphs!$AJ$4:AJ24,Graphs!AJ24))-ROW(Indicators!$H$5)+1,0)</f>
        <v>1074156</v>
      </c>
      <c r="AJ24" s="369">
        <f>LARGE(Indicators!$H$5:$H$38,ROWS(Graphs!$AJ$3:$AJ24)-1)</f>
        <v>811414.35400000005</v>
      </c>
      <c r="AK24" s="371"/>
      <c r="AL24" s="366" t="str">
        <f>PROPER(TRIM(INDEX('FR Y-15 Data'!$A$1:$A$36,MATCH(AM24,'FR Y-15 Data'!$C$1:$C$66,0))))</f>
        <v>Bb&amp;T Corporation</v>
      </c>
      <c r="AM24" s="367">
        <f t="array" ref="AM24">INDEX(Indicators!$C$5:$C$38,SMALL(IF(Indicators!$I$5:$I$38=Graphs!AN24,ROW(Indicators!$I$5:$I$38),""),COUNTIF(Graphs!$AN$4:AN24,Graphs!AN24))-ROW(Indicators!$I$5)+1,0)</f>
        <v>1074156</v>
      </c>
      <c r="AN24" s="369">
        <f>LARGE(Indicators!$I$5:$I$38,ROWS(Graphs!$AN$3:$AN24)-1)</f>
        <v>38953.095999999998</v>
      </c>
      <c r="AO24" s="371"/>
      <c r="AP24" s="366" t="str">
        <f>PROPER(TRIM(INDEX('FR Y-15 Data'!$A$1:$A$36,MATCH(AQ24,'FR Y-15 Data'!$C$1:$C$66,0))))</f>
        <v>Huntington Bancshares Incorporated</v>
      </c>
      <c r="AQ24" s="367">
        <f t="array" ref="AQ24">INDEX(Indicators!$C$5:$C$38,SMALL(IF(Indicators!$J$5:$J$38=Graphs!AR24,ROW(Indicators!$J$5:$J$38),""),COUNTIF(Graphs!$AR$4:AR24,Graphs!AR24))-ROW(Indicators!$J$5)+1,0)</f>
        <v>1068191</v>
      </c>
      <c r="AR24" s="369">
        <f>LARGE(Indicators!$J$5:$J$38,ROWS(Graphs!$AR$3:$AR24)-1)</f>
        <v>1142.4849999999999</v>
      </c>
      <c r="AS24" s="371"/>
      <c r="AT24" s="366" t="str">
        <f>PROPER(TRIM(INDEX('FR Y-15 Data'!$A$1:$A$36,MATCH(AU24,'FR Y-15 Data'!$C$1:$C$66,0))))</f>
        <v>Keycorp</v>
      </c>
      <c r="AU24" s="367">
        <f t="array" ref="AU24">INDEX(Indicators!$C$5:$C$38,SMALL(IF(Indicators!$K$5:$K$38=Graphs!AV24,ROW(Indicators!$K$5:$K$38),""),COUNTIF(Graphs!$AV$4:AV24,Graphs!AV24))-ROW(Indicators!$K$5)+1,0)</f>
        <v>1068025</v>
      </c>
      <c r="AV24" s="369">
        <f>LARGE(Indicators!$K$5:$K$38,ROWS(Graphs!$AV$3:$AV24)-1)</f>
        <v>55642.767999999996</v>
      </c>
      <c r="AW24" s="371"/>
      <c r="AX24" s="366" t="str">
        <f>PROPER(TRIM(INDEX('FR Y-15 Data'!$A$1:$A$36,MATCH(AY24,'FR Y-15 Data'!$C$1:$C$66,0))))</f>
        <v>Regions Financial Corporation</v>
      </c>
      <c r="AY24" s="367">
        <f t="array" ref="AY24">INDEX(Indicators!$C$5:$C$38,SMALL(IF(Indicators!$L$5:$L$38=Graphs!AZ24,ROW(Indicators!$L$5:$L$38),""),COUNTIF(Graphs!$AZ$4:AZ24,Graphs!AZ24))-ROW(Indicators!$L$5)+1,0)</f>
        <v>3242838</v>
      </c>
      <c r="AZ24" s="369">
        <f>LARGE(Indicators!$L$5:$L$38,ROWS(Graphs!$AZ$3:$AZ24)-1)</f>
        <v>4813.7709999999997</v>
      </c>
      <c r="BA24" s="371"/>
      <c r="BB24" s="366" t="str">
        <f>PROPER(TRIM(INDEX('FR Y-15 Data'!$A$1:$A$36,MATCH(BC24,'FR Y-15 Data'!$C$1:$C$66,0))))</f>
        <v>Regions Financial Corporation</v>
      </c>
      <c r="BC24" s="367">
        <f t="array" ref="BC24">INDEX(Indicators!$C$5:$C$38,SMALL(IF(Indicators!$M$5:$M$38=Graphs!BD24,ROW(Indicators!$M$5:$M$38),""),COUNTIF(Graphs!$BD$4:BD24,Graphs!BD24))-ROW(Indicators!$M$5)+1,0)</f>
        <v>3242838</v>
      </c>
      <c r="BD24" s="369">
        <f>LARGE(Indicators!$M$5:$M$38,ROWS(Graphs!$BD$3:$BD24)-1)</f>
        <v>275.71300000000002</v>
      </c>
      <c r="BE24" s="371"/>
      <c r="BF24" s="366" t="str">
        <f>PROPER(TRIM(INDEX('FR Y-15 Data'!$A$1:$A$36,MATCH(BG24,'FR Y-15 Data'!$C$1:$C$66,0))))</f>
        <v>Suntrust Banks, Inc.</v>
      </c>
      <c r="BG24" s="367">
        <f t="array" ref="BG24">INDEX(Indicators!$C$5:$C$38,SMALL(IF(Indicators!$N$5:$N$38=Graphs!BH24,ROW(Indicators!$N$5:$N$38),""),COUNTIF(Graphs!$BH$4:BH24,Graphs!BH24))-ROW(Indicators!$N$5)+1,0)</f>
        <v>1131787</v>
      </c>
      <c r="BH24" s="369">
        <f>LARGE(Indicators!$N$5:$N$38,ROWS(Graphs!$BH$3:$BH24)-1)</f>
        <v>1963</v>
      </c>
      <c r="BI24" s="371"/>
      <c r="BJ24" s="366" t="str">
        <f>PROPER(TRIM(INDEX('FR Y-15 Data'!$A$1:$A$36,MATCH(BK24,'FR Y-15 Data'!$C$1:$C$66,0))))</f>
        <v>Bb&amp;T Corporation</v>
      </c>
      <c r="BK24" s="367">
        <f t="array" ref="BK24">INDEX(Indicators!$C$5:$C$38,SMALL(IF(Indicators!$O$5:$O$38=Graphs!BL24,ROW(Indicators!$O$5:$O$38),""),COUNTIF(Graphs!$BL$4:BL24,Graphs!BL24))-ROW(Indicators!$O$5)+1,0)</f>
        <v>1074156</v>
      </c>
      <c r="BL24" s="369">
        <f>LARGE(Indicators!$O$5:$O$38,ROWS(Graphs!$BL$3:$BL24)-1)</f>
        <v>1059</v>
      </c>
      <c r="BM24" s="371"/>
      <c r="BN24" s="366" t="str">
        <f>PROPER(TRIM(INDEX('FR Y-15 Data'!$A$1:$A$36,MATCH(BO24,'FR Y-15 Data'!$C$1:$C$66,0))))</f>
        <v>M&amp;T Bank Corporation</v>
      </c>
      <c r="BO24" s="367">
        <f t="array" ref="BO24">INDEX(Scores!$C$10:$C$43,SMALL(IF(Scores!$P$10:$P$43=Graphs!BP24,ROW(Scores!$P$10:$P$43),""),COUNTIF(Graphs!$BP$4:BP24,Graphs!BP24))-ROW(Scores!$P$10)+1,0)</f>
        <v>1037003</v>
      </c>
      <c r="BP24" s="372">
        <f>LARGE(Scores!$P$10:$P$64,ROWS($BP$3:$BP24)-1)</f>
        <v>0</v>
      </c>
      <c r="BQ24" s="55"/>
      <c r="BR24" s="55"/>
      <c r="BS24" s="55"/>
      <c r="BT24" s="55"/>
      <c r="BU24" s="55"/>
      <c r="BV24" s="55"/>
      <c r="BW24" s="55"/>
    </row>
    <row r="25" spans="2:75" ht="15" customHeight="1">
      <c r="R25" s="366" t="str">
        <f>PROPER(TRIM(INDEX('FR Y-15 Data'!$A$1:$A$36,MATCH(S25,'FR Y-15 Data'!$C$1:$C$66,0))))</f>
        <v>Northern Trust Corporation</v>
      </c>
      <c r="S25" s="367">
        <f t="array" ref="S25">INDEX(Indicators!$C$5:$C$38,SMALL(IF(Indicators!$D$5:$D$38=Graphs!T25,ROW(Indicators!$D$5:$D$38),""),COUNTIF(Graphs!$T$4:T25,Graphs!T25))-ROW(Indicators!$D$5)+1,0)</f>
        <v>1199611</v>
      </c>
      <c r="T25" s="369">
        <f>LARGE(Indicators!$D$5:$D$38,ROWS(Graphs!$T$3:$T25)-1)</f>
        <v>151569.46599999999</v>
      </c>
      <c r="U25" s="370"/>
      <c r="V25" s="366" t="str">
        <f>PROPER(TRIM(INDEX('FR Y-15 Data'!$A$1:$A$36,MATCH(W25,'FR Y-15 Data'!$C$1:$C$66,0))))</f>
        <v>Ally Financial Inc.</v>
      </c>
      <c r="W25" s="367">
        <f t="array" ref="W25">INDEX(Indicators!$C$5:$C$38,SMALL(IF(Indicators!$E$5:$E$38=Graphs!X25,ROW(Indicators!$E$5:$E$38),""),COUNTIF(Graphs!$X$4:X25,Graphs!X25))-ROW(Indicators!$E$5)+1,0)</f>
        <v>1562859</v>
      </c>
      <c r="X25" s="369">
        <f>LARGE(Indicators!$E$5:$E$38,ROWS(Graphs!$X$3:$X25)-1)</f>
        <v>5416</v>
      </c>
      <c r="Y25" s="370"/>
      <c r="Z25" s="366" t="str">
        <f>PROPER(TRIM(INDEX('FR Y-15 Data'!$A$1:$A$36,MATCH(AA25,'FR Y-15 Data'!$C$1:$C$66,0))))</f>
        <v>Comerica Incorporated</v>
      </c>
      <c r="AA25" s="367">
        <f t="array" ref="AA25">INDEX(Indicators!$C$5:$C$38,SMALL(IF(Indicators!$F$5:$F$38=Graphs!AB25,ROW(Indicators!$F$5:$F$38),""),COUNTIF(Graphs!$AB$4:AB25,Graphs!AB25))-ROW(Indicators!$F$5)+1,0)</f>
        <v>1199844</v>
      </c>
      <c r="AB25" s="369">
        <f>LARGE(Indicators!$F$5:$F$38,ROWS(Graphs!$AB$3:$AB25)-1)</f>
        <v>4756.9089999999997</v>
      </c>
      <c r="AC25" s="370"/>
      <c r="AD25" s="366" t="str">
        <f>PROPER(TRIM(INDEX('FR Y-15 Data'!$A$1:$A$36,MATCH(AE25,'FR Y-15 Data'!$C$1:$C$66,0))))</f>
        <v>Santander Holdings Usa, Inc.</v>
      </c>
      <c r="AE25" s="367">
        <f t="array" ref="AE25">INDEX(Indicators!$C$5:$C$38,SMALL(IF(Indicators!$G$5:$G$38=Graphs!AF25,ROW(Indicators!$G$5:$G$38),""),COUNTIF(Graphs!$AF$4:AF25,Graphs!AF25))-ROW(Indicators!$G$5)+1,0)</f>
        <v>3981856</v>
      </c>
      <c r="AF25" s="369">
        <f>LARGE(Indicators!$G$5:$G$38,ROWS(Graphs!$AF$3:$AF25)-1)</f>
        <v>21681.932000000001</v>
      </c>
      <c r="AG25" s="371"/>
      <c r="AH25" s="366" t="str">
        <f>PROPER(TRIM(INDEX('FR Y-15 Data'!$A$1:$A$36,MATCH(AI25,'FR Y-15 Data'!$C$1:$C$66,0))))</f>
        <v>Regions Financial Corporation</v>
      </c>
      <c r="AI25" s="367">
        <f t="array" ref="AI25">INDEX(Indicators!$C$5:$C$38,SMALL(IF(Indicators!$H$5:$H$38=Graphs!AJ25,ROW(Indicators!$H$5:$H$38),""),COUNTIF(Graphs!$AJ$4:AJ25,Graphs!AJ25))-ROW(Indicators!$H$5)+1,0)</f>
        <v>3242838</v>
      </c>
      <c r="AJ25" s="369">
        <f>LARGE(Indicators!$H$5:$H$38,ROWS(Graphs!$AJ$3:$AJ25)-1)</f>
        <v>800829.83799999999</v>
      </c>
      <c r="AK25" s="371"/>
      <c r="AL25" s="366" t="str">
        <f>PROPER(TRIM(INDEX('FR Y-15 Data'!$A$1:$A$36,MATCH(AM25,'FR Y-15 Data'!$C$1:$C$66,0))))</f>
        <v>Regions Financial Corporation</v>
      </c>
      <c r="AM25" s="367">
        <f t="array" ref="AM25">INDEX(Indicators!$C$5:$C$38,SMALL(IF(Indicators!$I$5:$I$38=Graphs!AN25,ROW(Indicators!$I$5:$I$38),""),COUNTIF(Graphs!$AN$4:AN25,Graphs!AN25))-ROW(Indicators!$I$5)+1,0)</f>
        <v>3242838</v>
      </c>
      <c r="AN25" s="369">
        <f>LARGE(Indicators!$I$5:$I$38,ROWS(Graphs!$AN$3:$AN25)-1)</f>
        <v>17108.381000000001</v>
      </c>
      <c r="AO25" s="371"/>
      <c r="AP25" s="366" t="str">
        <f>PROPER(TRIM(INDEX('FR Y-15 Data'!$A$1:$A$36,MATCH(AQ25,'FR Y-15 Data'!$C$1:$C$66,0))))</f>
        <v>Zions Bancorporation</v>
      </c>
      <c r="AQ25" s="367">
        <f t="array" ref="AQ25">INDEX(Indicators!$C$5:$C$38,SMALL(IF(Indicators!$J$5:$J$38=Graphs!AR25,ROW(Indicators!$J$5:$J$38),""),COUNTIF(Graphs!$AR$4:AR25,Graphs!AR25))-ROW(Indicators!$J$5)+1,0)</f>
        <v>1027004</v>
      </c>
      <c r="AR25" s="369">
        <f>LARGE(Indicators!$J$5:$J$38,ROWS(Graphs!$AR$3:$AR25)-1)</f>
        <v>155.17500000000001</v>
      </c>
      <c r="AS25" s="371"/>
      <c r="AT25" s="366" t="str">
        <f>PROPER(TRIM(INDEX('FR Y-15 Data'!$A$1:$A$36,MATCH(AU25,'FR Y-15 Data'!$C$1:$C$66,0))))</f>
        <v>Santander Holdings Usa, Inc.</v>
      </c>
      <c r="AU25" s="367">
        <f t="array" ref="AU25">INDEX(Indicators!$C$5:$C$38,SMALL(IF(Indicators!$K$5:$K$38=Graphs!AV25,ROW(Indicators!$K$5:$K$38),""),COUNTIF(Graphs!$AV$4:AV25,Graphs!AV25))-ROW(Indicators!$K$5)+1,0)</f>
        <v>3981856</v>
      </c>
      <c r="AV25" s="369">
        <f>LARGE(Indicators!$K$5:$K$38,ROWS(Graphs!$AV$3:$AV25)-1)</f>
        <v>49005.497000000003</v>
      </c>
      <c r="AW25" s="371"/>
      <c r="AX25" s="366" t="str">
        <f>PROPER(TRIM(INDEX('FR Y-15 Data'!$A$1:$A$36,MATCH(AY25,'FR Y-15 Data'!$C$1:$C$66,0))))</f>
        <v>Bb&amp;T Corporation</v>
      </c>
      <c r="AY25" s="367">
        <f t="array" ref="AY25">INDEX(Indicators!$C$5:$C$38,SMALL(IF(Indicators!$L$5:$L$38=Graphs!AZ25,ROW(Indicators!$L$5:$L$38),""),COUNTIF(Graphs!$AZ$4:AZ25,Graphs!AZ25))-ROW(Indicators!$L$5)+1,0)</f>
        <v>1074156</v>
      </c>
      <c r="AZ25" s="369">
        <f>LARGE(Indicators!$L$5:$L$38,ROWS(Graphs!$AZ$3:$AZ25)-1)</f>
        <v>4558.1450000000004</v>
      </c>
      <c r="BA25" s="371"/>
      <c r="BB25" s="366" t="str">
        <f>PROPER(TRIM(INDEX('FR Y-15 Data'!$A$1:$A$36,MATCH(BC25,'FR Y-15 Data'!$C$1:$C$66,0))))</f>
        <v>Comerica Incorporated</v>
      </c>
      <c r="BC25" s="367">
        <f t="array" ref="BC25">INDEX(Indicators!$C$5:$C$38,SMALL(IF(Indicators!$M$5:$M$38=Graphs!BD25,ROW(Indicators!$M$5:$M$38),""),COUNTIF(Graphs!$BD$4:BD25,Graphs!BD25))-ROW(Indicators!$M$5)+1,0)</f>
        <v>1199844</v>
      </c>
      <c r="BD25" s="369">
        <f>LARGE(Indicators!$M$5:$M$38,ROWS(Graphs!$BD$3:$BD25)-1)</f>
        <v>138.553</v>
      </c>
      <c r="BE25" s="371"/>
      <c r="BF25" s="366" t="str">
        <f>PROPER(TRIM(INDEX('FR Y-15 Data'!$A$1:$A$36,MATCH(BG25,'FR Y-15 Data'!$C$1:$C$66,0))))</f>
        <v>Keycorp</v>
      </c>
      <c r="BG25" s="367">
        <f t="array" ref="BG25">INDEX(Indicators!$C$5:$C$38,SMALL(IF(Indicators!$N$5:$N$38=Graphs!BH25,ROW(Indicators!$N$5:$N$38),""),COUNTIF(Graphs!$BH$4:BH25,Graphs!BH25))-ROW(Indicators!$N$5)+1,0)</f>
        <v>1068025</v>
      </c>
      <c r="BH25" s="369">
        <f>LARGE(Indicators!$N$5:$N$38,ROWS(Graphs!$BH$3:$BH25)-1)</f>
        <v>1903</v>
      </c>
      <c r="BI25" s="371"/>
      <c r="BJ25" s="366" t="str">
        <f>PROPER(TRIM(INDEX('FR Y-15 Data'!$A$1:$A$36,MATCH(BK25,'FR Y-15 Data'!$C$1:$C$66,0))))</f>
        <v>Citizens Financial Group, Inc.</v>
      </c>
      <c r="BK25" s="367">
        <f t="array" ref="BK25">INDEX(Indicators!$C$5:$C$38,SMALL(IF(Indicators!$O$5:$O$38=Graphs!BL25,ROW(Indicators!$O$5:$O$38),""),COUNTIF(Graphs!$BL$4:BL25,Graphs!BL25))-ROW(Indicators!$O$5)+1,0)</f>
        <v>1132449</v>
      </c>
      <c r="BL25" s="369">
        <f>LARGE(Indicators!$O$5:$O$38,ROWS(Graphs!$BL$3:$BL25)-1)</f>
        <v>947</v>
      </c>
      <c r="BM25" s="371"/>
      <c r="BN25" s="366" t="str">
        <f>PROPER(TRIM(INDEX('FR Y-15 Data'!$A$1:$A$36,MATCH(BO25,'FR Y-15 Data'!$C$1:$C$66,0))))</f>
        <v>Morgan Stanley</v>
      </c>
      <c r="BO25" s="367">
        <f t="array" ref="BO25">INDEX(Scores!$C$10:$C$43,SMALL(IF(Scores!$P$10:$P$43=Graphs!BP25,ROW(Scores!$P$10:$P$43),""),COUNTIF(Graphs!$BP$4:BP25,Graphs!BP25))-ROW(Scores!$P$10)+1,0)</f>
        <v>2162966</v>
      </c>
      <c r="BP25" s="372">
        <f>LARGE(Scores!$P$10:$P$64,ROWS($BP$3:$BP25)-1)</f>
        <v>0</v>
      </c>
      <c r="BQ25" s="55"/>
      <c r="BR25" s="55"/>
      <c r="BS25" s="55"/>
      <c r="BT25" s="55"/>
      <c r="BU25" s="55"/>
      <c r="BV25" s="55"/>
      <c r="BW25" s="55"/>
    </row>
    <row r="26" spans="2:75" ht="15" customHeight="1">
      <c r="R26" s="366" t="str">
        <f>PROPER(TRIM(INDEX('FR Y-15 Data'!$A$1:$A$36,MATCH(S26,'FR Y-15 Data'!$C$1:$C$66,0))))</f>
        <v>Regions Financial Corporation</v>
      </c>
      <c r="S26" s="367">
        <f t="array" ref="S26">INDEX(Indicators!$C$5:$C$38,SMALL(IF(Indicators!$D$5:$D$38=Graphs!T26,ROW(Indicators!$D$5:$D$38),""),COUNTIF(Graphs!$T$4:T26,Graphs!T26))-ROW(Indicators!$D$5)+1,0)</f>
        <v>3242838</v>
      </c>
      <c r="T26" s="369">
        <f>LARGE(Indicators!$D$5:$D$38,ROWS(Graphs!$T$3:$T26)-1)</f>
        <v>151156.76300000001</v>
      </c>
      <c r="U26" s="370"/>
      <c r="V26" s="366" t="str">
        <f>PROPER(TRIM(INDEX('FR Y-15 Data'!$A$1:$A$36,MATCH(W26,'FR Y-15 Data'!$C$1:$C$66,0))))</f>
        <v>Citizens Financial Group, Inc.</v>
      </c>
      <c r="W26" s="367">
        <f t="array" ref="W26">INDEX(Indicators!$C$5:$C$38,SMALL(IF(Indicators!$E$5:$E$38=Graphs!X26,ROW(Indicators!$E$5:$E$38),""),COUNTIF(Graphs!$X$4:X26,Graphs!X26))-ROW(Indicators!$E$5)+1,0)</f>
        <v>1132449</v>
      </c>
      <c r="X26" s="369">
        <f>LARGE(Indicators!$E$5:$E$38,ROWS(Graphs!$X$3:$X26)-1)</f>
        <v>4738.5550000000003</v>
      </c>
      <c r="Y26" s="370"/>
      <c r="Z26" s="366" t="str">
        <f>PROPER(TRIM(INDEX('FR Y-15 Data'!$A$1:$A$36,MATCH(AA26,'FR Y-15 Data'!$C$1:$C$66,0))))</f>
        <v>Bb&amp;T Corporation</v>
      </c>
      <c r="AA26" s="367">
        <f t="array" ref="AA26">INDEX(Indicators!$C$5:$C$38,SMALL(IF(Indicators!$F$5:$F$38=Graphs!AB26,ROW(Indicators!$F$5:$F$38),""),COUNTIF(Graphs!$AB$4:AB26,Graphs!AB26))-ROW(Indicators!$F$5)+1,0)</f>
        <v>1074156</v>
      </c>
      <c r="AB26" s="369">
        <f>LARGE(Indicators!$F$5:$F$38,ROWS(Graphs!$AB$3:$AB26)-1)</f>
        <v>4558.3810000000003</v>
      </c>
      <c r="AC26" s="370"/>
      <c r="AD26" s="366" t="str">
        <f>PROPER(TRIM(INDEX('FR Y-15 Data'!$A$1:$A$36,MATCH(AE26,'FR Y-15 Data'!$C$1:$C$66,0))))</f>
        <v>Bmo Financial Corp.</v>
      </c>
      <c r="AE26" s="367">
        <f t="array" ref="AE26">INDEX(Indicators!$C$5:$C$38,SMALL(IF(Indicators!$G$5:$G$38=Graphs!AF26,ROW(Indicators!$G$5:$G$38),""),COUNTIF(Graphs!$AF$4:AF26,Graphs!AF26))-ROW(Indicators!$G$5)+1,0)</f>
        <v>1245415</v>
      </c>
      <c r="AF26" s="369">
        <f>LARGE(Indicators!$G$5:$G$38,ROWS(Graphs!$AF$3:$AF26)-1)</f>
        <v>20465.563999999998</v>
      </c>
      <c r="AG26" s="371"/>
      <c r="AH26" s="366" t="str">
        <f>PROPER(TRIM(INDEX('FR Y-15 Data'!$A$1:$A$36,MATCH(AI26,'FR Y-15 Data'!$C$1:$C$66,0))))</f>
        <v>Suntrust Banks, Inc.</v>
      </c>
      <c r="AI26" s="367">
        <f t="array" ref="AI26">INDEX(Indicators!$C$5:$C$38,SMALL(IF(Indicators!$H$5:$H$38=Graphs!AJ26,ROW(Indicators!$H$5:$H$38),""),COUNTIF(Graphs!$AJ$4:AJ26,Graphs!AJ26))-ROW(Indicators!$H$5)+1,0)</f>
        <v>1131787</v>
      </c>
      <c r="AJ26" s="369">
        <f>LARGE(Indicators!$H$5:$H$38,ROWS(Graphs!$AJ$3:$AJ26)-1)</f>
        <v>781719.61499999999</v>
      </c>
      <c r="AK26" s="371"/>
      <c r="AL26" s="366" t="str">
        <f>PROPER(TRIM(INDEX('FR Y-15 Data'!$A$1:$A$36,MATCH(AM26,'FR Y-15 Data'!$C$1:$C$66,0))))</f>
        <v>Td Bank Us Holding Company</v>
      </c>
      <c r="AM26" s="367">
        <f t="array" ref="AM26">INDEX(Indicators!$C$5:$C$38,SMALL(IF(Indicators!$I$5:$I$38=Graphs!AN26,ROW(Indicators!$I$5:$I$38),""),COUNTIF(Graphs!$AN$4:AN26,Graphs!AN26))-ROW(Indicators!$I$5)+1,0)</f>
        <v>1249196</v>
      </c>
      <c r="AN26" s="369">
        <f>LARGE(Indicators!$I$5:$I$38,ROWS(Graphs!$AN$3:$AN26)-1)</f>
        <v>9512.5759999999991</v>
      </c>
      <c r="AO26" s="371"/>
      <c r="AP26" s="366" t="str">
        <f>PROPER(TRIM(INDEX('FR Y-15 Data'!$A$1:$A$36,MATCH(AQ26,'FR Y-15 Data'!$C$1:$C$66,0))))</f>
        <v>Ally Financial Inc.</v>
      </c>
      <c r="AQ26" s="367">
        <f t="array" ref="AQ26">INDEX(Indicators!$C$5:$C$38,SMALL(IF(Indicators!$J$5:$J$38=Graphs!AR26,ROW(Indicators!$J$5:$J$38),""),COUNTIF(Graphs!$AR$4:AR26,Graphs!AR26))-ROW(Indicators!$J$5)+1,0)</f>
        <v>1562859</v>
      </c>
      <c r="AR26" s="369">
        <f>LARGE(Indicators!$J$5:$J$38,ROWS(Graphs!$AR$3:$AR26)-1)</f>
        <v>0</v>
      </c>
      <c r="AS26" s="371"/>
      <c r="AT26" s="366" t="str">
        <f>PROPER(TRIM(INDEX('FR Y-15 Data'!$A$1:$A$36,MATCH(AU26,'FR Y-15 Data'!$C$1:$C$66,0))))</f>
        <v>American Express Company</v>
      </c>
      <c r="AU26" s="367">
        <f t="array" ref="AU26">INDEX(Indicators!$C$5:$C$38,SMALL(IF(Indicators!$K$5:$K$38=Graphs!AV26,ROW(Indicators!$K$5:$K$38),""),COUNTIF(Graphs!$AV$4:AV26,Graphs!AV26))-ROW(Indicators!$K$5)+1,0)</f>
        <v>1275216</v>
      </c>
      <c r="AV26" s="369">
        <f>LARGE(Indicators!$K$5:$K$38,ROWS(Graphs!$AV$3:$AV26)-1)</f>
        <v>47644</v>
      </c>
      <c r="AW26" s="371"/>
      <c r="AX26" s="366" t="str">
        <f>PROPER(TRIM(INDEX('FR Y-15 Data'!$A$1:$A$36,MATCH(AY26,'FR Y-15 Data'!$C$1:$C$66,0))))</f>
        <v>American Express Company</v>
      </c>
      <c r="AY26" s="367">
        <f t="array" ref="AY26">INDEX(Indicators!$C$5:$C$38,SMALL(IF(Indicators!$L$5:$L$38=Graphs!AZ26,ROW(Indicators!$L$5:$L$38),""),COUNTIF(Graphs!$AZ$4:AZ26,Graphs!AZ26))-ROW(Indicators!$L$5)+1,0)</f>
        <v>1275216</v>
      </c>
      <c r="AZ26" s="369">
        <f>LARGE(Indicators!$L$5:$L$38,ROWS(Graphs!$AZ$3:$AZ26)-1)</f>
        <v>3733</v>
      </c>
      <c r="BA26" s="371"/>
      <c r="BB26" s="366" t="str">
        <f>PROPER(TRIM(INDEX('FR Y-15 Data'!$A$1:$A$36,MATCH(BC26,'FR Y-15 Data'!$C$1:$C$66,0))))</f>
        <v>Bancwest Corporation</v>
      </c>
      <c r="BC26" s="367">
        <f t="array" ref="BC26">INDEX(Indicators!$C$5:$C$38,SMALL(IF(Indicators!$M$5:$M$38=Graphs!BD26,ROW(Indicators!$M$5:$M$38),""),COUNTIF(Graphs!$BD$4:BD26,Graphs!BD26))-ROW(Indicators!$M$5)+1,0)</f>
        <v>1025608</v>
      </c>
      <c r="BD26" s="369">
        <f>LARGE(Indicators!$M$5:$M$38,ROWS(Graphs!$BD$3:$BD26)-1)</f>
        <v>104.505</v>
      </c>
      <c r="BE26" s="371"/>
      <c r="BF26" s="366" t="str">
        <f>PROPER(TRIM(INDEX('FR Y-15 Data'!$A$1:$A$36,MATCH(BG26,'FR Y-15 Data'!$C$1:$C$66,0))))</f>
        <v>Ally Financial Inc.</v>
      </c>
      <c r="BG26" s="367">
        <f t="array" ref="BG26">INDEX(Indicators!$C$5:$C$38,SMALL(IF(Indicators!$N$5:$N$38=Graphs!BH26,ROW(Indicators!$N$5:$N$38),""),COUNTIF(Graphs!$BH$4:BH26,Graphs!BH26))-ROW(Indicators!$N$5)+1,0)</f>
        <v>1562859</v>
      </c>
      <c r="BH26" s="369">
        <f>LARGE(Indicators!$N$5:$N$38,ROWS(Graphs!$BH$3:$BH26)-1)</f>
        <v>1843</v>
      </c>
      <c r="BI26" s="371"/>
      <c r="BJ26" s="366" t="str">
        <f>PROPER(TRIM(INDEX('FR Y-15 Data'!$A$1:$A$36,MATCH(BK26,'FR Y-15 Data'!$C$1:$C$66,0))))</f>
        <v>Zions Bancorporation</v>
      </c>
      <c r="BK26" s="367">
        <f t="array" ref="BK26">INDEX(Indicators!$C$5:$C$38,SMALL(IF(Indicators!$O$5:$O$38=Graphs!BL26,ROW(Indicators!$O$5:$O$38),""),COUNTIF(Graphs!$BL$4:BL26,Graphs!BL26))-ROW(Indicators!$O$5)+1,0)</f>
        <v>1027004</v>
      </c>
      <c r="BL26" s="369">
        <f>LARGE(Indicators!$O$5:$O$38,ROWS(Graphs!$BL$3:$BL26)-1)</f>
        <v>629.23</v>
      </c>
      <c r="BM26" s="371"/>
      <c r="BN26" s="366" t="str">
        <f>PROPER(TRIM(INDEX('FR Y-15 Data'!$A$1:$A$36,MATCH(BO26,'FR Y-15 Data'!$C$1:$C$66,0))))</f>
        <v>Mufg Americas Holdings Corporation</v>
      </c>
      <c r="BO26" s="367">
        <f t="array" ref="BO26">INDEX(Scores!$C$10:$C$43,SMALL(IF(Scores!$P$10:$P$43=Graphs!BP26,ROW(Scores!$P$10:$P$43),""),COUNTIF(Graphs!$BP$4:BP26,Graphs!BP26))-ROW(Scores!$P$10)+1,0)</f>
        <v>1378434</v>
      </c>
      <c r="BP26" s="372">
        <f>LARGE(Scores!$P$10:$P$64,ROWS($BP$3:$BP26)-1)</f>
        <v>0</v>
      </c>
      <c r="BQ26" s="55"/>
      <c r="BR26" s="55"/>
      <c r="BS26" s="55"/>
      <c r="BT26" s="55"/>
      <c r="BU26" s="55"/>
      <c r="BV26" s="55"/>
      <c r="BW26" s="55"/>
    </row>
    <row r="27" spans="2:75" ht="15" customHeight="1">
      <c r="R27" s="366" t="str">
        <f>PROPER(TRIM(INDEX('FR Y-15 Data'!$A$1:$A$36,MATCH(S27,'FR Y-15 Data'!$C$1:$C$66,0))))</f>
        <v>Santander Holdings Usa, Inc.</v>
      </c>
      <c r="S27" s="367">
        <f t="array" ref="S27">INDEX(Indicators!$C$5:$C$38,SMALL(IF(Indicators!$D$5:$D$38=Graphs!T27,ROW(Indicators!$D$5:$D$38),""),COUNTIF(Graphs!$T$4:T27,Graphs!T27))-ROW(Indicators!$D$5)+1,0)</f>
        <v>3981856</v>
      </c>
      <c r="T27" s="369">
        <f>LARGE(Indicators!$D$5:$D$38,ROWS(Graphs!$T$3:$T27)-1)</f>
        <v>146358.35699999999</v>
      </c>
      <c r="U27" s="370"/>
      <c r="V27" s="366" t="str">
        <f>PROPER(TRIM(INDEX('FR Y-15 Data'!$A$1:$A$36,MATCH(W27,'FR Y-15 Data'!$C$1:$C$66,0))))</f>
        <v>Bbva Compass Bancshares, Inc.</v>
      </c>
      <c r="W27" s="367">
        <f t="array" ref="W27">INDEX(Indicators!$C$5:$C$38,SMALL(IF(Indicators!$E$5:$E$38=Graphs!X27,ROW(Indicators!$E$5:$E$38),""),COUNTIF(Graphs!$X$4:X27,Graphs!X27))-ROW(Indicators!$E$5)+1,0)</f>
        <v>1078529</v>
      </c>
      <c r="X27" s="369">
        <f>LARGE(Indicators!$E$5:$E$38,ROWS(Graphs!$X$3:$X27)-1)</f>
        <v>3897.0120000000002</v>
      </c>
      <c r="Y27" s="370"/>
      <c r="Z27" s="366" t="str">
        <f>PROPER(TRIM(INDEX('FR Y-15 Data'!$A$1:$A$36,MATCH(AA27,'FR Y-15 Data'!$C$1:$C$66,0))))</f>
        <v>Td Bank Us Holding Company</v>
      </c>
      <c r="AA27" s="367">
        <f t="array" ref="AA27">INDEX(Indicators!$C$5:$C$38,SMALL(IF(Indicators!$F$5:$F$38=Graphs!AB27,ROW(Indicators!$F$5:$F$38),""),COUNTIF(Graphs!$AB$4:AB27,Graphs!AB27))-ROW(Indicators!$F$5)+1,0)</f>
        <v>1249196</v>
      </c>
      <c r="AB27" s="369">
        <f>LARGE(Indicators!$F$5:$F$38,ROWS(Graphs!$AB$3:$AB27)-1)</f>
        <v>4472.2439999999997</v>
      </c>
      <c r="AC27" s="370"/>
      <c r="AD27" s="366" t="str">
        <f>PROPER(TRIM(INDEX('FR Y-15 Data'!$A$1:$A$36,MATCH(AE27,'FR Y-15 Data'!$C$1:$C$66,0))))</f>
        <v>Mufg Americas Holdings Corporation</v>
      </c>
      <c r="AE27" s="367">
        <f t="array" ref="AE27">INDEX(Indicators!$C$5:$C$38,SMALL(IF(Indicators!$G$5:$G$38=Graphs!AF27,ROW(Indicators!$G$5:$G$38),""),COUNTIF(Graphs!$AF$4:AF27,Graphs!AF27))-ROW(Indicators!$G$5)+1,0)</f>
        <v>1378434</v>
      </c>
      <c r="AF27" s="369">
        <f>LARGE(Indicators!$G$5:$G$38,ROWS(Graphs!$AF$3:$AF27)-1)</f>
        <v>18188.98</v>
      </c>
      <c r="AG27" s="371"/>
      <c r="AH27" s="366" t="str">
        <f>PROPER(TRIM(INDEX('FR Y-15 Data'!$A$1:$A$36,MATCH(AI27,'FR Y-15 Data'!$C$1:$C$66,0))))</f>
        <v>Capital One Financial Corporation</v>
      </c>
      <c r="AI27" s="367">
        <f t="array" ref="AI27">INDEX(Indicators!$C$5:$C$38,SMALL(IF(Indicators!$H$5:$H$38=Graphs!AJ27,ROW(Indicators!$H$5:$H$38),""),COUNTIF(Graphs!$AJ$4:AJ27,Graphs!AJ27))-ROW(Indicators!$H$5)+1,0)</f>
        <v>2277860</v>
      </c>
      <c r="AJ27" s="369">
        <f>LARGE(Indicators!$H$5:$H$38,ROWS(Graphs!$AJ$3:$AJ27)-1)</f>
        <v>772586.03799999994</v>
      </c>
      <c r="AK27" s="371"/>
      <c r="AL27" s="366" t="str">
        <f>PROPER(TRIM(INDEX('FR Y-15 Data'!$A$1:$A$36,MATCH(AM27,'FR Y-15 Data'!$C$1:$C$66,0))))</f>
        <v>Capital One Financial Corporation</v>
      </c>
      <c r="AM27" s="367">
        <f t="array" ref="AM27">INDEX(Indicators!$C$5:$C$38,SMALL(IF(Indicators!$I$5:$I$38=Graphs!AN27,ROW(Indicators!$I$5:$I$38),""),COUNTIF(Graphs!$AN$4:AN27,Graphs!AN27))-ROW(Indicators!$I$5)+1,0)</f>
        <v>2277860</v>
      </c>
      <c r="AN27" s="369">
        <f>LARGE(Indicators!$I$5:$I$38,ROWS(Graphs!$AN$3:$AN27)-1)</f>
        <v>4396.4110000000001</v>
      </c>
      <c r="AO27" s="371"/>
      <c r="AP27" s="366" t="str">
        <f>PROPER(TRIM(INDEX('FR Y-15 Data'!$A$1:$A$36,MATCH(AQ27,'FR Y-15 Data'!$C$1:$C$66,0))))</f>
        <v>American Express Company</v>
      </c>
      <c r="AQ27" s="367">
        <f t="array" ref="AQ27">INDEX(Indicators!$C$5:$C$38,SMALL(IF(Indicators!$J$5:$J$38=Graphs!AR27,ROW(Indicators!$J$5:$J$38),""),COUNTIF(Graphs!$AR$4:AR27,Graphs!AR27))-ROW(Indicators!$J$5)+1,0)</f>
        <v>1275216</v>
      </c>
      <c r="AR27" s="369">
        <f>LARGE(Indicators!$J$5:$J$38,ROWS(Graphs!$AR$3:$AR27)-1)</f>
        <v>0</v>
      </c>
      <c r="AS27" s="371"/>
      <c r="AT27" s="366" t="str">
        <f>PROPER(TRIM(INDEX('FR Y-15 Data'!$A$1:$A$36,MATCH(AU27,'FR Y-15 Data'!$C$1:$C$66,0))))</f>
        <v>Citizens Financial Group, Inc.</v>
      </c>
      <c r="AU27" s="367">
        <f t="array" ref="AU27">INDEX(Indicators!$C$5:$C$38,SMALL(IF(Indicators!$K$5:$K$38=Graphs!AV27,ROW(Indicators!$K$5:$K$38),""),COUNTIF(Graphs!$AV$4:AV27,Graphs!AV27))-ROW(Indicators!$K$5)+1,0)</f>
        <v>1132449</v>
      </c>
      <c r="AV27" s="369">
        <f>LARGE(Indicators!$K$5:$K$38,ROWS(Graphs!$AV$3:$AV27)-1)</f>
        <v>46638.853000000003</v>
      </c>
      <c r="AW27" s="371"/>
      <c r="AX27" s="366" t="str">
        <f>PROPER(TRIM(INDEX('FR Y-15 Data'!$A$1:$A$36,MATCH(AY27,'FR Y-15 Data'!$C$1:$C$66,0))))</f>
        <v>Huntington Bancshares Incorporated</v>
      </c>
      <c r="AY27" s="367">
        <f t="array" ref="AY27">INDEX(Indicators!$C$5:$C$38,SMALL(IF(Indicators!$L$5:$L$38=Graphs!AZ27,ROW(Indicators!$L$5:$L$38),""),COUNTIF(Graphs!$AZ$4:AZ27,Graphs!AZ27))-ROW(Indicators!$L$5)+1,0)</f>
        <v>1068191</v>
      </c>
      <c r="AZ27" s="369">
        <f>LARGE(Indicators!$L$5:$L$38,ROWS(Graphs!$AZ$3:$AZ27)-1)</f>
        <v>3693.1309999999999</v>
      </c>
      <c r="BA27" s="371"/>
      <c r="BB27" s="366" t="str">
        <f>PROPER(TRIM(INDEX('FR Y-15 Data'!$A$1:$A$36,MATCH(BC27,'FR Y-15 Data'!$C$1:$C$66,0))))</f>
        <v>Bank Of New York Mellon Corporation, The</v>
      </c>
      <c r="BC27" s="367">
        <f t="array" ref="BC27">INDEX(Indicators!$C$5:$C$38,SMALL(IF(Indicators!$M$5:$M$38=Graphs!BD27,ROW(Indicators!$M$5:$M$38),""),COUNTIF(Graphs!$BD$4:BD27,Graphs!BD27))-ROW(Indicators!$M$5)+1,0)</f>
        <v>3587146</v>
      </c>
      <c r="BD27" s="369">
        <f>LARGE(Indicators!$M$5:$M$38,ROWS(Graphs!$BD$3:$BD27)-1)</f>
        <v>90</v>
      </c>
      <c r="BE27" s="371"/>
      <c r="BF27" s="366" t="str">
        <f>PROPER(TRIM(INDEX('FR Y-15 Data'!$A$1:$A$36,MATCH(BG27,'FR Y-15 Data'!$C$1:$C$66,0))))</f>
        <v>Citizens Financial Group, Inc.</v>
      </c>
      <c r="BG27" s="367">
        <f t="array" ref="BG27">INDEX(Indicators!$C$5:$C$38,SMALL(IF(Indicators!$N$5:$N$38=Graphs!BH27,ROW(Indicators!$N$5:$N$38),""),COUNTIF(Graphs!$BH$4:BH27,Graphs!BH27))-ROW(Indicators!$N$5)+1,0)</f>
        <v>1132449</v>
      </c>
      <c r="BH27" s="369">
        <f>LARGE(Indicators!$N$5:$N$38,ROWS(Graphs!$BH$3:$BH27)-1)</f>
        <v>1550</v>
      </c>
      <c r="BI27" s="371"/>
      <c r="BJ27" s="366" t="str">
        <f>PROPER(TRIM(INDEX('FR Y-15 Data'!$A$1:$A$36,MATCH(BK27,'FR Y-15 Data'!$C$1:$C$66,0))))</f>
        <v>Fifth Third Bancorp</v>
      </c>
      <c r="BK27" s="367">
        <f t="array" ref="BK27">INDEX(Indicators!$C$5:$C$38,SMALL(IF(Indicators!$O$5:$O$38=Graphs!BL27,ROW(Indicators!$O$5:$O$38),""),COUNTIF(Graphs!$BL$4:BL27,Graphs!BL27))-ROW(Indicators!$O$5)+1,0)</f>
        <v>1070345</v>
      </c>
      <c r="BL27" s="369">
        <f>LARGE(Indicators!$O$5:$O$38,ROWS(Graphs!$BL$3:$BL27)-1)</f>
        <v>593</v>
      </c>
      <c r="BM27" s="371"/>
      <c r="BN27" s="366" t="str">
        <f>PROPER(TRIM(INDEX('FR Y-15 Data'!$A$1:$A$36,MATCH(BO27,'FR Y-15 Data'!$C$1:$C$66,0))))</f>
        <v>Northern Trust Corporation</v>
      </c>
      <c r="BO27" s="367">
        <f t="array" ref="BO27">INDEX(Scores!$C$10:$C$43,SMALL(IF(Scores!$P$10:$P$43=Graphs!BP27,ROW(Scores!$P$10:$P$43),""),COUNTIF(Graphs!$BP$4:BP27,Graphs!BP27))-ROW(Scores!$P$10)+1,0)</f>
        <v>1199611</v>
      </c>
      <c r="BP27" s="372">
        <f>LARGE(Scores!$P$10:$P$64,ROWS($BP$3:$BP27)-1)</f>
        <v>0</v>
      </c>
      <c r="BQ27" s="55"/>
      <c r="BR27" s="55"/>
      <c r="BS27" s="55"/>
      <c r="BT27" s="55"/>
      <c r="BU27" s="55"/>
      <c r="BV27" s="55"/>
      <c r="BW27" s="55"/>
    </row>
    <row r="28" spans="2:75" ht="15" customHeight="1">
      <c r="B28" s="398" t="str">
        <f>V2</f>
        <v>Graph 2: Intra-Financial System Assets (millions of USD)</v>
      </c>
      <c r="C28" s="398"/>
      <c r="D28" s="398"/>
      <c r="E28" s="398"/>
      <c r="F28" s="398"/>
      <c r="G28" s="398"/>
      <c r="H28" s="398"/>
      <c r="I28" s="398"/>
      <c r="J28" s="398"/>
      <c r="K28" s="398"/>
      <c r="L28" s="398"/>
      <c r="M28" s="398"/>
      <c r="N28" s="398"/>
      <c r="O28" s="398"/>
      <c r="R28" s="366" t="str">
        <f>PROPER(TRIM(INDEX('FR Y-15 Data'!$A$1:$A$36,MATCH(S28,'FR Y-15 Data'!$C$1:$C$66,0))))</f>
        <v>Keycorp</v>
      </c>
      <c r="S28" s="367">
        <f t="array" ref="S28">INDEX(Indicators!$C$5:$C$38,SMALL(IF(Indicators!$D$5:$D$38=Graphs!T28,ROW(Indicators!$D$5:$D$38),""),COUNTIF(Graphs!$T$4:T28,Graphs!T28))-ROW(Indicators!$D$5)+1,0)</f>
        <v>1068025</v>
      </c>
      <c r="T28" s="369">
        <f>LARGE(Indicators!$D$5:$D$38,ROWS(Graphs!$T$3:$T28)-1)</f>
        <v>140421.22899999999</v>
      </c>
      <c r="U28" s="370"/>
      <c r="V28" s="366" t="str">
        <f>PROPER(TRIM(INDEX('FR Y-15 Data'!$A$1:$A$36,MATCH(W28,'FR Y-15 Data'!$C$1:$C$66,0))))</f>
        <v>Santander Holdings Usa, Inc.</v>
      </c>
      <c r="W28" s="367">
        <f t="array" ref="W28">INDEX(Indicators!$C$5:$C$38,SMALL(IF(Indicators!$E$5:$E$38=Graphs!X28,ROW(Indicators!$E$5:$E$38),""),COUNTIF(Graphs!$X$4:X28,Graphs!X28))-ROW(Indicators!$E$5)+1,0)</f>
        <v>3981856</v>
      </c>
      <c r="X28" s="369">
        <f>LARGE(Indicators!$E$5:$E$38,ROWS(Graphs!$X$3:$X28)-1)</f>
        <v>3821.355</v>
      </c>
      <c r="Y28" s="370"/>
      <c r="Z28" s="366" t="str">
        <f>PROPER(TRIM(INDEX('FR Y-15 Data'!$A$1:$A$36,MATCH(AA28,'FR Y-15 Data'!$C$1:$C$66,0))))</f>
        <v>Fifth Third Bancorp</v>
      </c>
      <c r="AA28" s="367">
        <f t="array" ref="AA28">INDEX(Indicators!$C$5:$C$38,SMALL(IF(Indicators!$F$5:$F$38=Graphs!AB28,ROW(Indicators!$F$5:$F$38),""),COUNTIF(Graphs!$AB$4:AB28,Graphs!AB28))-ROW(Indicators!$F$5)+1,0)</f>
        <v>1070345</v>
      </c>
      <c r="AB28" s="369">
        <f>LARGE(Indicators!$F$5:$F$38,ROWS(Graphs!$AB$3:$AB28)-1)</f>
        <v>3231.8560000000002</v>
      </c>
      <c r="AC28" s="370"/>
      <c r="AD28" s="366" t="str">
        <f>PROPER(TRIM(INDEX('FR Y-15 Data'!$A$1:$A$36,MATCH(AE28,'FR Y-15 Data'!$C$1:$C$66,0))))</f>
        <v>Northern Trust Corporation</v>
      </c>
      <c r="AE28" s="367">
        <f t="array" ref="AE28">INDEX(Indicators!$C$5:$C$38,SMALL(IF(Indicators!$G$5:$G$38=Graphs!AF28,ROW(Indicators!$G$5:$G$38),""),COUNTIF(Graphs!$AF$4:AF28,Graphs!AF28))-ROW(Indicators!$G$5)+1,0)</f>
        <v>1199611</v>
      </c>
      <c r="AF28" s="369">
        <f>LARGE(Indicators!$G$5:$G$38,ROWS(Graphs!$AF$3:$AF28)-1)</f>
        <v>16212.311</v>
      </c>
      <c r="AG28" s="371"/>
      <c r="AH28" s="366" t="str">
        <f>PROPER(TRIM(INDEX('FR Y-15 Data'!$A$1:$A$36,MATCH(AI28,'FR Y-15 Data'!$C$1:$C$66,0))))</f>
        <v>Bancwest Corporation</v>
      </c>
      <c r="AI28" s="367">
        <f t="array" ref="AI28">INDEX(Indicators!$C$5:$C$38,SMALL(IF(Indicators!$H$5:$H$38=Graphs!AJ28,ROW(Indicators!$H$5:$H$38),""),COUNTIF(Graphs!$AJ$4:AJ28,Graphs!AJ28))-ROW(Indicators!$H$5)+1,0)</f>
        <v>1025608</v>
      </c>
      <c r="AJ28" s="369">
        <f>LARGE(Indicators!$H$5:$H$38,ROWS(Graphs!$AJ$3:$AJ28)-1)</f>
        <v>485680.10200000001</v>
      </c>
      <c r="AK28" s="371"/>
      <c r="AL28" s="366" t="str">
        <f>PROPER(TRIM(INDEX('FR Y-15 Data'!$A$1:$A$36,MATCH(AM28,'FR Y-15 Data'!$C$1:$C$66,0))))</f>
        <v>Citizens Financial Group, Inc.</v>
      </c>
      <c r="AM28" s="367">
        <f t="array" ref="AM28">INDEX(Indicators!$C$5:$C$38,SMALL(IF(Indicators!$I$5:$I$38=Graphs!AN28,ROW(Indicators!$I$5:$I$38),""),COUNTIF(Graphs!$AN$4:AN28,Graphs!AN28))-ROW(Indicators!$I$5)+1,0)</f>
        <v>1132449</v>
      </c>
      <c r="AN28" s="369">
        <f>LARGE(Indicators!$I$5:$I$38,ROWS(Graphs!$AN$3:$AN28)-1)</f>
        <v>3912.6950000000002</v>
      </c>
      <c r="AO28" s="371"/>
      <c r="AP28" s="366" t="str">
        <f>PROPER(TRIM(INDEX('FR Y-15 Data'!$A$1:$A$36,MATCH(AQ28,'FR Y-15 Data'!$C$1:$C$66,0))))</f>
        <v>Bancwest Corporation</v>
      </c>
      <c r="AQ28" s="367">
        <f t="array" ref="AQ28">INDEX(Indicators!$C$5:$C$38,SMALL(IF(Indicators!$J$5:$J$38=Graphs!AR28,ROW(Indicators!$J$5:$J$38),""),COUNTIF(Graphs!$AR$4:AR28,Graphs!AR28))-ROW(Indicators!$J$5)+1,0)</f>
        <v>1025608</v>
      </c>
      <c r="AR28" s="369">
        <f>LARGE(Indicators!$J$5:$J$38,ROWS(Graphs!$AR$3:$AR28)-1)</f>
        <v>0</v>
      </c>
      <c r="AS28" s="371"/>
      <c r="AT28" s="366" t="str">
        <f>PROPER(TRIM(INDEX('FR Y-15 Data'!$A$1:$A$36,MATCH(AU28,'FR Y-15 Data'!$C$1:$C$66,0))))</f>
        <v>Huntington Bancshares Incorporated</v>
      </c>
      <c r="AU28" s="367">
        <f t="array" ref="AU28">INDEX(Indicators!$C$5:$C$38,SMALL(IF(Indicators!$K$5:$K$38=Graphs!AV28,ROW(Indicators!$K$5:$K$38),""),COUNTIF(Graphs!$AV$4:AV28,Graphs!AV28))-ROW(Indicators!$K$5)+1,0)</f>
        <v>1068191</v>
      </c>
      <c r="AV28" s="369">
        <f>LARGE(Indicators!$K$5:$K$38,ROWS(Graphs!$AV$3:$AV28)-1)</f>
        <v>29096.081999999999</v>
      </c>
      <c r="AW28" s="371"/>
      <c r="AX28" s="366" t="str">
        <f>PROPER(TRIM(INDEX('FR Y-15 Data'!$A$1:$A$36,MATCH(AY28,'FR Y-15 Data'!$C$1:$C$66,0))))</f>
        <v>Suntrust Banks, Inc.</v>
      </c>
      <c r="AY28" s="367">
        <f t="array" ref="AY28">INDEX(Indicators!$C$5:$C$38,SMALL(IF(Indicators!$L$5:$L$38=Graphs!AZ28,ROW(Indicators!$L$5:$L$38),""),COUNTIF(Graphs!$AZ$4:AZ28,Graphs!AZ28))-ROW(Indicators!$L$5)+1,0)</f>
        <v>1131787</v>
      </c>
      <c r="AZ28" s="369">
        <f>LARGE(Indicators!$L$5:$L$38,ROWS(Graphs!$AZ$3:$AZ28)-1)</f>
        <v>3331.768</v>
      </c>
      <c r="BA28" s="371"/>
      <c r="BB28" s="366" t="str">
        <f>PROPER(TRIM(INDEX('FR Y-15 Data'!$A$1:$A$36,MATCH(BC28,'FR Y-15 Data'!$C$1:$C$66,0))))</f>
        <v>Deutsche Bank Trust Corporation</v>
      </c>
      <c r="BC28" s="367">
        <f t="array" ref="BC28">INDEX(Indicators!$C$5:$C$38,SMALL(IF(Indicators!$M$5:$M$38=Graphs!BD28,ROW(Indicators!$M$5:$M$38),""),COUNTIF(Graphs!$BD$4:BD28,Graphs!BD28))-ROW(Indicators!$M$5)+1,0)</f>
        <v>1032473</v>
      </c>
      <c r="BD28" s="369">
        <f>LARGE(Indicators!$M$5:$M$38,ROWS(Graphs!$BD$3:$BD28)-1)</f>
        <v>83</v>
      </c>
      <c r="BE28" s="371"/>
      <c r="BF28" s="366" t="str">
        <f>PROPER(TRIM(INDEX('FR Y-15 Data'!$A$1:$A$36,MATCH(BG28,'FR Y-15 Data'!$C$1:$C$66,0))))</f>
        <v>Huntington Bancshares Incorporated</v>
      </c>
      <c r="BG28" s="367">
        <f t="array" ref="BG28">INDEX(Indicators!$C$5:$C$38,SMALL(IF(Indicators!$N$5:$N$38=Graphs!BH28,ROW(Indicators!$N$5:$N$38),""),COUNTIF(Graphs!$BH$4:BH28,Graphs!BH28))-ROW(Indicators!$N$5)+1,0)</f>
        <v>1068191</v>
      </c>
      <c r="BH28" s="369">
        <f>LARGE(Indicators!$N$5:$N$38,ROWS(Graphs!$BH$3:$BH28)-1)</f>
        <v>1529</v>
      </c>
      <c r="BI28" s="371"/>
      <c r="BJ28" s="366" t="str">
        <f>PROPER(TRIM(INDEX('FR Y-15 Data'!$A$1:$A$36,MATCH(BK28,'FR Y-15 Data'!$C$1:$C$66,0))))</f>
        <v>Santander Holdings Usa, Inc.</v>
      </c>
      <c r="BK28" s="367">
        <f t="array" ref="BK28">INDEX(Indicators!$C$5:$C$38,SMALL(IF(Indicators!$O$5:$O$38=Graphs!BL28,ROW(Indicators!$O$5:$O$38),""),COUNTIF(Graphs!$BL$4:BL28,Graphs!BL28))-ROW(Indicators!$O$5)+1,0)</f>
        <v>3981856</v>
      </c>
      <c r="BL28" s="369">
        <f>LARGE(Indicators!$O$5:$O$38,ROWS(Graphs!$BL$3:$BL28)-1)</f>
        <v>574.06899999999996</v>
      </c>
      <c r="BM28" s="371"/>
      <c r="BN28" s="366" t="str">
        <f>PROPER(TRIM(INDEX('FR Y-15 Data'!$A$1:$A$36,MATCH(BO28,'FR Y-15 Data'!$C$1:$C$66,0))))</f>
        <v>Pnc Financial Services Group, Inc., The</v>
      </c>
      <c r="BO28" s="367">
        <f t="array" ref="BO28">INDEX(Scores!$C$10:$C$43,SMALL(IF(Scores!$P$10:$P$43=Graphs!BP28,ROW(Scores!$P$10:$P$43),""),COUNTIF(Graphs!$BP$4:BP28,Graphs!BP28))-ROW(Scores!$P$10)+1,0)</f>
        <v>1069778</v>
      </c>
      <c r="BP28" s="372">
        <f>LARGE(Scores!$P$10:$P$64,ROWS($BP$3:$BP28)-1)</f>
        <v>0</v>
      </c>
      <c r="BQ28" s="55"/>
      <c r="BR28" s="55"/>
      <c r="BS28" s="55"/>
      <c r="BT28" s="55"/>
      <c r="BU28" s="55"/>
      <c r="BV28" s="55"/>
      <c r="BW28" s="55"/>
    </row>
    <row r="29" spans="2:75" ht="15" customHeight="1">
      <c r="R29" s="366" t="str">
        <f>PROPER(TRIM(INDEX('FR Y-15 Data'!$A$1:$A$36,MATCH(S29,'FR Y-15 Data'!$C$1:$C$66,0))))</f>
        <v>M&amp;T Bank Corporation</v>
      </c>
      <c r="S29" s="367">
        <f t="array" ref="S29">INDEX(Indicators!$C$5:$C$38,SMALL(IF(Indicators!$D$5:$D$38=Graphs!T29,ROW(Indicators!$D$5:$D$38),""),COUNTIF(Graphs!$T$4:T29,Graphs!T29))-ROW(Indicators!$D$5)+1,0)</f>
        <v>1037003</v>
      </c>
      <c r="T29" s="369">
        <f>LARGE(Indicators!$D$5:$D$38,ROWS(Graphs!$T$3:$T29)-1)</f>
        <v>119589.791</v>
      </c>
      <c r="U29" s="370"/>
      <c r="V29" s="366" t="str">
        <f>PROPER(TRIM(INDEX('FR Y-15 Data'!$A$1:$A$36,MATCH(W29,'FR Y-15 Data'!$C$1:$C$66,0))))</f>
        <v>Suntrust Banks, Inc.</v>
      </c>
      <c r="W29" s="367">
        <f t="array" ref="W29">INDEX(Indicators!$C$5:$C$38,SMALL(IF(Indicators!$E$5:$E$38=Graphs!X29,ROW(Indicators!$E$5:$E$38),""),COUNTIF(Graphs!$X$4:X29,Graphs!X29))-ROW(Indicators!$E$5)+1,0)</f>
        <v>1131787</v>
      </c>
      <c r="X29" s="369">
        <f>LARGE(Indicators!$E$5:$E$38,ROWS(Graphs!$X$3:$X29)-1)</f>
        <v>3520.1979999999999</v>
      </c>
      <c r="Y29" s="370"/>
      <c r="Z29" s="366" t="str">
        <f>PROPER(TRIM(INDEX('FR Y-15 Data'!$A$1:$A$36,MATCH(AA29,'FR Y-15 Data'!$C$1:$C$66,0))))</f>
        <v>Zions Bancorporation</v>
      </c>
      <c r="AA29" s="367">
        <f t="array" ref="AA29">INDEX(Indicators!$C$5:$C$38,SMALL(IF(Indicators!$F$5:$F$38=Graphs!AB29,ROW(Indicators!$F$5:$F$38),""),COUNTIF(Graphs!$AB$4:AB29,Graphs!AB29))-ROW(Indicators!$F$5)+1,0)</f>
        <v>1027004</v>
      </c>
      <c r="AB29" s="369">
        <f>LARGE(Indicators!$F$5:$F$38,ROWS(Graphs!$AB$3:$AB29)-1)</f>
        <v>2713.3409999999999</v>
      </c>
      <c r="AC29" s="370"/>
      <c r="AD29" s="366" t="str">
        <f>PROPER(TRIM(INDEX('FR Y-15 Data'!$A$1:$A$36,MATCH(AE29,'FR Y-15 Data'!$C$1:$C$66,0))))</f>
        <v>Huntington Bancshares Incorporated</v>
      </c>
      <c r="AE29" s="367">
        <f t="array" ref="AE29">INDEX(Indicators!$C$5:$C$38,SMALL(IF(Indicators!$G$5:$G$38=Graphs!AF29,ROW(Indicators!$G$5:$G$38),""),COUNTIF(Graphs!$AF$4:AF29,Graphs!AF29))-ROW(Indicators!$G$5)+1,0)</f>
        <v>1068191</v>
      </c>
      <c r="AF29" s="369">
        <f>LARGE(Indicators!$G$5:$G$38,ROWS(Graphs!$AF$3:$AF29)-1)</f>
        <v>16114.478999999999</v>
      </c>
      <c r="AG29" s="371"/>
      <c r="AH29" s="366" t="str">
        <f>PROPER(TRIM(INDEX('FR Y-15 Data'!$A$1:$A$36,MATCH(AI29,'FR Y-15 Data'!$C$1:$C$66,0))))</f>
        <v>Huntington Bancshares Incorporated</v>
      </c>
      <c r="AI29" s="367">
        <f t="array" ref="AI29">INDEX(Indicators!$C$5:$C$38,SMALL(IF(Indicators!$H$5:$H$38=Graphs!AJ29,ROW(Indicators!$H$5:$H$38),""),COUNTIF(Graphs!$AJ$4:AJ29,Graphs!AJ29))-ROW(Indicators!$H$5)+1,0)</f>
        <v>1068191</v>
      </c>
      <c r="AJ29" s="369">
        <f>LARGE(Indicators!$H$5:$H$38,ROWS(Graphs!$AJ$3:$AJ29)-1)</f>
        <v>431901.65399999998</v>
      </c>
      <c r="AK29" s="371"/>
      <c r="AL29" s="366" t="str">
        <f>PROPER(TRIM(INDEX('FR Y-15 Data'!$A$1:$A$36,MATCH(AM29,'FR Y-15 Data'!$C$1:$C$66,0))))</f>
        <v>Zions Bancorporation</v>
      </c>
      <c r="AM29" s="367">
        <f t="array" ref="AM29">INDEX(Indicators!$C$5:$C$38,SMALL(IF(Indicators!$I$5:$I$38=Graphs!AN29,ROW(Indicators!$I$5:$I$38),""),COUNTIF(Graphs!$AN$4:AN29,Graphs!AN29))-ROW(Indicators!$I$5)+1,0)</f>
        <v>1027004</v>
      </c>
      <c r="AN29" s="369">
        <f>LARGE(Indicators!$I$5:$I$38,ROWS(Graphs!$AN$3:$AN29)-1)</f>
        <v>3580.7449999999999</v>
      </c>
      <c r="AO29" s="371"/>
      <c r="AP29" s="366" t="str">
        <f>PROPER(TRIM(INDEX('FR Y-15 Data'!$A$1:$A$36,MATCH(AQ29,'FR Y-15 Data'!$C$1:$C$66,0))))</f>
        <v>Citizens Financial Group, Inc.</v>
      </c>
      <c r="AQ29" s="367">
        <f t="array" ref="AQ29">INDEX(Indicators!$C$5:$C$38,SMALL(IF(Indicators!$J$5:$J$38=Graphs!AR29,ROW(Indicators!$J$5:$J$38),""),COUNTIF(Graphs!$AR$4:AR29,Graphs!AR29))-ROW(Indicators!$J$5)+1,0)</f>
        <v>1132449</v>
      </c>
      <c r="AR29" s="369">
        <f>LARGE(Indicators!$J$5:$J$38,ROWS(Graphs!$AR$3:$AR29)-1)</f>
        <v>0</v>
      </c>
      <c r="AS29" s="371"/>
      <c r="AT29" s="366" t="str">
        <f>PROPER(TRIM(INDEX('FR Y-15 Data'!$A$1:$A$36,MATCH(AU29,'FR Y-15 Data'!$C$1:$C$66,0))))</f>
        <v>Bmo Financial Corp.</v>
      </c>
      <c r="AU29" s="367">
        <f t="array" ref="AU29">INDEX(Indicators!$C$5:$C$38,SMALL(IF(Indicators!$K$5:$K$38=Graphs!AV29,ROW(Indicators!$K$5:$K$38),""),COUNTIF(Graphs!$AV$4:AV29,Graphs!AV29))-ROW(Indicators!$K$5)+1,0)</f>
        <v>1245415</v>
      </c>
      <c r="AV29" s="369">
        <f>LARGE(Indicators!$K$5:$K$38,ROWS(Graphs!$AV$3:$AV29)-1)</f>
        <v>27762.685000000001</v>
      </c>
      <c r="AW29" s="371"/>
      <c r="AX29" s="366" t="str">
        <f>PROPER(TRIM(INDEX('FR Y-15 Data'!$A$1:$A$36,MATCH(AY29,'FR Y-15 Data'!$C$1:$C$66,0))))</f>
        <v>Zions Bancorporation</v>
      </c>
      <c r="AY29" s="367">
        <f t="array" ref="AY29">INDEX(Indicators!$C$5:$C$38,SMALL(IF(Indicators!$L$5:$L$38=Graphs!AZ29,ROW(Indicators!$L$5:$L$38),""),COUNTIF(Graphs!$AZ$4:AZ29,Graphs!AZ29))-ROW(Indicators!$L$5)+1,0)</f>
        <v>1027004</v>
      </c>
      <c r="AZ29" s="369">
        <f>LARGE(Indicators!$L$5:$L$38,ROWS(Graphs!$AZ$3:$AZ29)-1)</f>
        <v>1640.664</v>
      </c>
      <c r="BA29" s="371"/>
      <c r="BB29" s="366" t="str">
        <f>PROPER(TRIM(INDEX('FR Y-15 Data'!$A$1:$A$36,MATCH(BC29,'FR Y-15 Data'!$C$1:$C$66,0))))</f>
        <v>Bmo Financial Corp.</v>
      </c>
      <c r="BC29" s="367">
        <f t="array" ref="BC29">INDEX(Indicators!$C$5:$C$38,SMALL(IF(Indicators!$M$5:$M$38=Graphs!BD29,ROW(Indicators!$M$5:$M$38),""),COUNTIF(Graphs!$BD$4:BD29,Graphs!BD29))-ROW(Indicators!$M$5)+1,0)</f>
        <v>1245415</v>
      </c>
      <c r="BD29" s="369">
        <f>LARGE(Indicators!$M$5:$M$38,ROWS(Graphs!$BD$3:$BD29)-1)</f>
        <v>78.019000000000005</v>
      </c>
      <c r="BE29" s="371"/>
      <c r="BF29" s="366" t="str">
        <f>PROPER(TRIM(INDEX('FR Y-15 Data'!$A$1:$A$36,MATCH(BG29,'FR Y-15 Data'!$C$1:$C$66,0))))</f>
        <v>Bbva Compass Bancshares, Inc.</v>
      </c>
      <c r="BG29" s="367">
        <f t="array" ref="BG29">INDEX(Indicators!$C$5:$C$38,SMALL(IF(Indicators!$N$5:$N$38=Graphs!BH29,ROW(Indicators!$N$5:$N$38),""),COUNTIF(Graphs!$BH$4:BH29,Graphs!BH29))-ROW(Indicators!$N$5)+1,0)</f>
        <v>1078529</v>
      </c>
      <c r="BH29" s="369">
        <f>LARGE(Indicators!$N$5:$N$38,ROWS(Graphs!$BH$3:$BH29)-1)</f>
        <v>1509</v>
      </c>
      <c r="BI29" s="371"/>
      <c r="BJ29" s="366" t="str">
        <f>PROPER(TRIM(INDEX('FR Y-15 Data'!$A$1:$A$36,MATCH(BK29,'FR Y-15 Data'!$C$1:$C$66,0))))</f>
        <v>Regions Financial Corporation</v>
      </c>
      <c r="BK29" s="367">
        <f t="array" ref="BK29">INDEX(Indicators!$C$5:$C$38,SMALL(IF(Indicators!$O$5:$O$38=Graphs!BL29,ROW(Indicators!$O$5:$O$38),""),COUNTIF(Graphs!$BL$4:BL29,Graphs!BL29))-ROW(Indicators!$O$5)+1,0)</f>
        <v>3242838</v>
      </c>
      <c r="BL29" s="369">
        <f>LARGE(Indicators!$O$5:$O$38,ROWS(Graphs!$BL$3:$BL29)-1)</f>
        <v>483</v>
      </c>
      <c r="BM29" s="371"/>
      <c r="BN29" s="366" t="str">
        <f>PROPER(TRIM(INDEX('FR Y-15 Data'!$A$1:$A$36,MATCH(BO29,'FR Y-15 Data'!$C$1:$C$66,0))))</f>
        <v>Regions Financial Corporation</v>
      </c>
      <c r="BO29" s="367">
        <f t="array" ref="BO29">INDEX(Scores!$C$10:$C$43,SMALL(IF(Scores!$P$10:$P$43=Graphs!BP29,ROW(Scores!$P$10:$P$43),""),COUNTIF(Graphs!$BP$4:BP29,Graphs!BP29))-ROW(Scores!$P$10)+1,0)</f>
        <v>3242838</v>
      </c>
      <c r="BP29" s="372">
        <f>LARGE(Scores!$P$10:$P$64,ROWS($BP$3:$BP29)-1)</f>
        <v>0</v>
      </c>
      <c r="BQ29" s="55"/>
      <c r="BR29" s="55"/>
      <c r="BS29" s="55"/>
      <c r="BT29" s="55"/>
      <c r="BU29" s="55"/>
      <c r="BV29" s="55"/>
      <c r="BW29" s="55"/>
    </row>
    <row r="30" spans="2:75" ht="15" customHeight="1">
      <c r="R30" s="366" t="str">
        <f>PROPER(TRIM(INDEX('FR Y-15 Data'!$A$1:$A$36,MATCH(S30,'FR Y-15 Data'!$C$1:$C$66,0))))</f>
        <v>Bancwest Corporation</v>
      </c>
      <c r="S30" s="367">
        <f t="array" ref="S30">INDEX(Indicators!$C$5:$C$38,SMALL(IF(Indicators!$D$5:$D$38=Graphs!T30,ROW(Indicators!$D$5:$D$38),""),COUNTIF(Graphs!$T$4:T30,Graphs!T30))-ROW(Indicators!$D$5)+1,0)</f>
        <v>1025608</v>
      </c>
      <c r="T30" s="369">
        <f>LARGE(Indicators!$D$5:$D$38,ROWS(Graphs!$T$3:$T30)-1)</f>
        <v>111924.474</v>
      </c>
      <c r="U30" s="370"/>
      <c r="V30" s="366" t="str">
        <f>PROPER(TRIM(INDEX('FR Y-15 Data'!$A$1:$A$36,MATCH(W30,'FR Y-15 Data'!$C$1:$C$66,0))))</f>
        <v>Fifth Third Bancorp</v>
      </c>
      <c r="W30" s="367">
        <f t="array" ref="W30">INDEX(Indicators!$C$5:$C$38,SMALL(IF(Indicators!$E$5:$E$38=Graphs!X30,ROW(Indicators!$E$5:$E$38),""),COUNTIF(Graphs!$X$4:X30,Graphs!X30))-ROW(Indicators!$E$5)+1,0)</f>
        <v>1070345</v>
      </c>
      <c r="X30" s="369">
        <f>LARGE(Indicators!$E$5:$E$38,ROWS(Graphs!$X$3:$X30)-1)</f>
        <v>3247.5880000000002</v>
      </c>
      <c r="Y30" s="370"/>
      <c r="Z30" s="366" t="str">
        <f>PROPER(TRIM(INDEX('FR Y-15 Data'!$A$1:$A$36,MATCH(AA30,'FR Y-15 Data'!$C$1:$C$66,0))))</f>
        <v>Bbva Compass Bancshares, Inc.</v>
      </c>
      <c r="AA30" s="367">
        <f t="array" ref="AA30">INDEX(Indicators!$C$5:$C$38,SMALL(IF(Indicators!$F$5:$F$38=Graphs!AB30,ROW(Indicators!$F$5:$F$38),""),COUNTIF(Graphs!$AB$4:AB30,Graphs!AB30))-ROW(Indicators!$F$5)+1,0)</f>
        <v>1078529</v>
      </c>
      <c r="AB30" s="369">
        <f>LARGE(Indicators!$F$5:$F$38,ROWS(Graphs!$AB$3:$AB30)-1)</f>
        <v>2656.66</v>
      </c>
      <c r="AC30" s="370"/>
      <c r="AD30" s="366" t="str">
        <f>PROPER(TRIM(INDEX('FR Y-15 Data'!$A$1:$A$36,MATCH(AE30,'FR Y-15 Data'!$C$1:$C$66,0))))</f>
        <v>Comerica Incorporated</v>
      </c>
      <c r="AE30" s="367">
        <f t="array" ref="AE30">INDEX(Indicators!$C$5:$C$38,SMALL(IF(Indicators!$G$5:$G$38=Graphs!AF30,ROW(Indicators!$G$5:$G$38),""),COUNTIF(Graphs!$AF$4:AF30,Graphs!AF30))-ROW(Indicators!$G$5)+1,0)</f>
        <v>1199844</v>
      </c>
      <c r="AF30" s="369">
        <f>LARGE(Indicators!$G$5:$G$38,ROWS(Graphs!$AF$3:$AF30)-1)</f>
        <v>15463.120999999999</v>
      </c>
      <c r="AG30" s="371"/>
      <c r="AH30" s="366" t="str">
        <f>PROPER(TRIM(INDEX('FR Y-15 Data'!$A$1:$A$36,MATCH(AI30,'FR Y-15 Data'!$C$1:$C$66,0))))</f>
        <v>Zions Bancorporation</v>
      </c>
      <c r="AI30" s="367">
        <f t="array" ref="AI30">INDEX(Indicators!$C$5:$C$38,SMALL(IF(Indicators!$H$5:$H$38=Graphs!AJ30,ROW(Indicators!$H$5:$H$38),""),COUNTIF(Graphs!$AJ$4:AJ30,Graphs!AJ30))-ROW(Indicators!$H$5)+1,0)</f>
        <v>1027004</v>
      </c>
      <c r="AJ30" s="369">
        <f>LARGE(Indicators!$H$5:$H$38,ROWS(Graphs!$AJ$3:$AJ30)-1)</f>
        <v>417119.391</v>
      </c>
      <c r="AK30" s="371"/>
      <c r="AL30" s="366" t="str">
        <f>PROPER(TRIM(INDEX('FR Y-15 Data'!$A$1:$A$36,MATCH(AM30,'FR Y-15 Data'!$C$1:$C$66,0))))</f>
        <v>Bancwest Corporation</v>
      </c>
      <c r="AM30" s="367">
        <f t="array" ref="AM30">INDEX(Indicators!$C$5:$C$38,SMALL(IF(Indicators!$I$5:$I$38=Graphs!AN30,ROW(Indicators!$I$5:$I$38),""),COUNTIF(Graphs!$AN$4:AN30,Graphs!AN30))-ROW(Indicators!$I$5)+1,0)</f>
        <v>1025608</v>
      </c>
      <c r="AN30" s="369">
        <f>LARGE(Indicators!$I$5:$I$38,ROWS(Graphs!$AN$3:$AN30)-1)</f>
        <v>2798.9459999999999</v>
      </c>
      <c r="AO30" s="371"/>
      <c r="AP30" s="366" t="str">
        <f>PROPER(TRIM(INDEX('FR Y-15 Data'!$A$1:$A$36,MATCH(AQ30,'FR Y-15 Data'!$C$1:$C$66,0))))</f>
        <v>Deutsche Bank Trust Corporation</v>
      </c>
      <c r="AQ30" s="367">
        <f t="array" ref="AQ30">INDEX(Indicators!$C$5:$C$38,SMALL(IF(Indicators!$J$5:$J$38=Graphs!AR30,ROW(Indicators!$J$5:$J$38),""),COUNTIF(Graphs!$AR$4:AR30,Graphs!AR30))-ROW(Indicators!$J$5)+1,0)</f>
        <v>1032473</v>
      </c>
      <c r="AR30" s="369">
        <f>LARGE(Indicators!$J$5:$J$38,ROWS(Graphs!$AR$3:$AR30)-1)</f>
        <v>0</v>
      </c>
      <c r="AS30" s="371"/>
      <c r="AT30" s="366" t="str">
        <f>PROPER(TRIM(INDEX('FR Y-15 Data'!$A$1:$A$36,MATCH(AU30,'FR Y-15 Data'!$C$1:$C$66,0))))</f>
        <v>Bbva Compass Bancshares, Inc.</v>
      </c>
      <c r="AU30" s="367">
        <f t="array" ref="AU30">INDEX(Indicators!$C$5:$C$38,SMALL(IF(Indicators!$K$5:$K$38=Graphs!AV30,ROW(Indicators!$K$5:$K$38),""),COUNTIF(Graphs!$AV$4:AV30,Graphs!AV30))-ROW(Indicators!$K$5)+1,0)</f>
        <v>1078529</v>
      </c>
      <c r="AV30" s="369">
        <f>LARGE(Indicators!$K$5:$K$38,ROWS(Graphs!$AV$3:$AV30)-1)</f>
        <v>25000.098000000002</v>
      </c>
      <c r="AW30" s="371"/>
      <c r="AX30" s="366" t="str">
        <f>PROPER(TRIM(INDEX('FR Y-15 Data'!$A$1:$A$36,MATCH(AY30,'FR Y-15 Data'!$C$1:$C$66,0))))</f>
        <v>Keycorp</v>
      </c>
      <c r="AY30" s="367">
        <f t="array" ref="AY30">INDEX(Indicators!$C$5:$C$38,SMALL(IF(Indicators!$L$5:$L$38=Graphs!AZ30,ROW(Indicators!$L$5:$L$38),""),COUNTIF(Graphs!$AZ$4:AZ30,Graphs!AZ30))-ROW(Indicators!$L$5)+1,0)</f>
        <v>1068025</v>
      </c>
      <c r="AZ30" s="369">
        <f>LARGE(Indicators!$L$5:$L$38,ROWS(Graphs!$AZ$3:$AZ30)-1)</f>
        <v>1371.9390000000001</v>
      </c>
      <c r="BA30" s="371"/>
      <c r="BB30" s="366" t="str">
        <f>PROPER(TRIM(INDEX('FR Y-15 Data'!$A$1:$A$36,MATCH(BC30,'FR Y-15 Data'!$C$1:$C$66,0))))</f>
        <v>M&amp;T Bank Corporation</v>
      </c>
      <c r="BC30" s="367">
        <f t="array" ref="BC30">INDEX(Indicators!$C$5:$C$38,SMALL(IF(Indicators!$M$5:$M$38=Graphs!BD30,ROW(Indicators!$M$5:$M$38),""),COUNTIF(Graphs!$BD$4:BD30,Graphs!BD30))-ROW(Indicators!$M$5)+1,0)</f>
        <v>1037003</v>
      </c>
      <c r="BD30" s="369">
        <f>LARGE(Indicators!$M$5:$M$38,ROWS(Graphs!$BD$3:$BD30)-1)</f>
        <v>68.364999999999995</v>
      </c>
      <c r="BE30" s="371"/>
      <c r="BF30" s="366" t="str">
        <f>PROPER(TRIM(INDEX('FR Y-15 Data'!$A$1:$A$36,MATCH(BG30,'FR Y-15 Data'!$C$1:$C$66,0))))</f>
        <v>Deutsche Bank Trust Corporation</v>
      </c>
      <c r="BG30" s="367">
        <f t="array" ref="BG30">INDEX(Indicators!$C$5:$C$38,SMALL(IF(Indicators!$N$5:$N$38=Graphs!BH30,ROW(Indicators!$N$5:$N$38),""),COUNTIF(Graphs!$BH$4:BH30,Graphs!BH30))-ROW(Indicators!$N$5)+1,0)</f>
        <v>1032473</v>
      </c>
      <c r="BH30" s="369">
        <f>LARGE(Indicators!$N$5:$N$38,ROWS(Graphs!$BH$3:$BH30)-1)</f>
        <v>1074</v>
      </c>
      <c r="BI30" s="371"/>
      <c r="BJ30" s="366" t="str">
        <f>PROPER(TRIM(INDEX('FR Y-15 Data'!$A$1:$A$36,MATCH(BK30,'FR Y-15 Data'!$C$1:$C$66,0))))</f>
        <v>Capital One Financial Corporation</v>
      </c>
      <c r="BK30" s="367">
        <f t="array" ref="BK30">INDEX(Indicators!$C$5:$C$38,SMALL(IF(Indicators!$O$5:$O$38=Graphs!BL30,ROW(Indicators!$O$5:$O$38),""),COUNTIF(Graphs!$BL$4:BL30,Graphs!BL30))-ROW(Indicators!$O$5)+1,0)</f>
        <v>2277860</v>
      </c>
      <c r="BL30" s="369">
        <f>LARGE(Indicators!$O$5:$O$38,ROWS(Graphs!$BL$3:$BL30)-1)</f>
        <v>469.49799999999999</v>
      </c>
      <c r="BM30" s="371"/>
      <c r="BN30" s="366" t="str">
        <f>PROPER(TRIM(INDEX('FR Y-15 Data'!$A$1:$A$36,MATCH(BO30,'FR Y-15 Data'!$C$1:$C$66,0))))</f>
        <v>Santander Holdings Usa, Inc.</v>
      </c>
      <c r="BO30" s="367">
        <f t="array" ref="BO30">INDEX(Scores!$C$10:$C$43,SMALL(IF(Scores!$P$10:$P$43=Graphs!BP30,ROW(Scores!$P$10:$P$43),""),COUNTIF(Graphs!$BP$4:BP30,Graphs!BP30))-ROW(Scores!$P$10)+1,0)</f>
        <v>3981856</v>
      </c>
      <c r="BP30" s="372">
        <f>LARGE(Scores!$P$10:$P$64,ROWS($BP$3:$BP30)-1)</f>
        <v>0</v>
      </c>
      <c r="BQ30" s="55"/>
      <c r="BR30" s="55"/>
      <c r="BS30" s="55"/>
      <c r="BT30" s="55"/>
      <c r="BU30" s="55"/>
      <c r="BV30" s="55"/>
      <c r="BW30" s="55"/>
    </row>
    <row r="31" spans="2:75" ht="15" customHeight="1">
      <c r="R31" s="366" t="str">
        <f>PROPER(TRIM(INDEX('FR Y-15 Data'!$A$1:$A$36,MATCH(S31,'FR Y-15 Data'!$C$1:$C$66,0))))</f>
        <v>Bbva Compass Bancshares, Inc.</v>
      </c>
      <c r="S31" s="367">
        <f t="array" ref="S31">INDEX(Indicators!$C$5:$C$38,SMALL(IF(Indicators!$D$5:$D$38=Graphs!T31,ROW(Indicators!$D$5:$D$38),""),COUNTIF(Graphs!$T$4:T31,Graphs!T31))-ROW(Indicators!$D$5)+1,0)</f>
        <v>1078529</v>
      </c>
      <c r="T31" s="369">
        <f>LARGE(Indicators!$D$5:$D$38,ROWS(Graphs!$T$3:$T31)-1)</f>
        <v>107580.046</v>
      </c>
      <c r="U31" s="370"/>
      <c r="V31" s="366" t="str">
        <f>PROPER(TRIM(INDEX('FR Y-15 Data'!$A$1:$A$36,MATCH(W31,'FR Y-15 Data'!$C$1:$C$66,0))))</f>
        <v>Huntington Bancshares Incorporated</v>
      </c>
      <c r="W31" s="367">
        <f t="array" ref="W31">INDEX(Indicators!$C$5:$C$38,SMALL(IF(Indicators!$E$5:$E$38=Graphs!X31,ROW(Indicators!$E$5:$E$38),""),COUNTIF(Graphs!$X$4:X31,Graphs!X31))-ROW(Indicators!$E$5)+1,0)</f>
        <v>1068191</v>
      </c>
      <c r="X31" s="369">
        <f>LARGE(Indicators!$E$5:$E$38,ROWS(Graphs!$X$3:$X31)-1)</f>
        <v>2270.14</v>
      </c>
      <c r="Y31" s="370"/>
      <c r="Z31" s="366" t="str">
        <f>PROPER(TRIM(INDEX('FR Y-15 Data'!$A$1:$A$36,MATCH(AA31,'FR Y-15 Data'!$C$1:$C$66,0))))</f>
        <v>Keycorp</v>
      </c>
      <c r="AA31" s="367">
        <f t="array" ref="AA31">INDEX(Indicators!$C$5:$C$38,SMALL(IF(Indicators!$F$5:$F$38=Graphs!AB31,ROW(Indicators!$F$5:$F$38),""),COUNTIF(Graphs!$AB$4:AB31,Graphs!AB31))-ROW(Indicators!$F$5)+1,0)</f>
        <v>1068025</v>
      </c>
      <c r="AB31" s="369">
        <f>LARGE(Indicators!$F$5:$F$38,ROWS(Graphs!$AB$3:$AB31)-1)</f>
        <v>2139.61</v>
      </c>
      <c r="AC31" s="370"/>
      <c r="AD31" s="366" t="str">
        <f>PROPER(TRIM(INDEX('FR Y-15 Data'!$A$1:$A$36,MATCH(AE31,'FR Y-15 Data'!$C$1:$C$66,0))))</f>
        <v>Bbva Compass Bancshares, Inc.</v>
      </c>
      <c r="AE31" s="367">
        <f t="array" ref="AE31">INDEX(Indicators!$C$5:$C$38,SMALL(IF(Indicators!$G$5:$G$38=Graphs!AF31,ROW(Indicators!$G$5:$G$38),""),COUNTIF(Graphs!$AF$4:AF31,Graphs!AF31))-ROW(Indicators!$G$5)+1,0)</f>
        <v>1078529</v>
      </c>
      <c r="AF31" s="369">
        <f>LARGE(Indicators!$G$5:$G$38,ROWS(Graphs!$AF$3:$AF31)-1)</f>
        <v>14487.727999999999</v>
      </c>
      <c r="AG31" s="371"/>
      <c r="AH31" s="366" t="str">
        <f>PROPER(TRIM(INDEX('FR Y-15 Data'!$A$1:$A$36,MATCH(AI31,'FR Y-15 Data'!$C$1:$C$66,0))))</f>
        <v>Discover Financial Services</v>
      </c>
      <c r="AI31" s="367">
        <f t="array" ref="AI31">INDEX(Indicators!$C$5:$C$38,SMALL(IF(Indicators!$H$5:$H$38=Graphs!AJ31,ROW(Indicators!$H$5:$H$38),""),COUNTIF(Graphs!$AJ$4:AJ31,Graphs!AJ31))-ROW(Indicators!$H$5)+1,0)</f>
        <v>3846375</v>
      </c>
      <c r="AJ31" s="369">
        <f>LARGE(Indicators!$H$5:$H$38,ROWS(Graphs!$AJ$3:$AJ31)-1)</f>
        <v>321440.96299999999</v>
      </c>
      <c r="AK31" s="371"/>
      <c r="AL31" s="366" t="str">
        <f>PROPER(TRIM(INDEX('FR Y-15 Data'!$A$1:$A$36,MATCH(AM31,'FR Y-15 Data'!$C$1:$C$66,0))))</f>
        <v>Bbva Compass Bancshares, Inc.</v>
      </c>
      <c r="AM31" s="367">
        <f t="array" ref="AM31">INDEX(Indicators!$C$5:$C$38,SMALL(IF(Indicators!$I$5:$I$38=Graphs!AN31,ROW(Indicators!$I$5:$I$38),""),COUNTIF(Graphs!$AN$4:AN31,Graphs!AN31))-ROW(Indicators!$I$5)+1,0)</f>
        <v>1078529</v>
      </c>
      <c r="AN31" s="369">
        <f>LARGE(Indicators!$I$5:$I$38,ROWS(Graphs!$AN$3:$AN31)-1)</f>
        <v>2616.6170000000002</v>
      </c>
      <c r="AO31" s="371"/>
      <c r="AP31" s="366" t="str">
        <f>PROPER(TRIM(INDEX('FR Y-15 Data'!$A$1:$A$36,MATCH(AQ31,'FR Y-15 Data'!$C$1:$C$66,0))))</f>
        <v>Discover Financial Services</v>
      </c>
      <c r="AQ31" s="367">
        <f t="array" ref="AQ31">INDEX(Indicators!$C$5:$C$38,SMALL(IF(Indicators!$J$5:$J$38=Graphs!AR31,ROW(Indicators!$J$5:$J$38),""),COUNTIF(Graphs!$AR$4:AR31,Graphs!AR31))-ROW(Indicators!$J$5)+1,0)</f>
        <v>3846375</v>
      </c>
      <c r="AR31" s="369">
        <f>LARGE(Indicators!$J$5:$J$38,ROWS(Graphs!$AR$3:$AR31)-1)</f>
        <v>0</v>
      </c>
      <c r="AS31" s="371"/>
      <c r="AT31" s="366" t="str">
        <f>PROPER(TRIM(INDEX('FR Y-15 Data'!$A$1:$A$36,MATCH(AU31,'FR Y-15 Data'!$C$1:$C$66,0))))</f>
        <v>M&amp;T Bank Corporation</v>
      </c>
      <c r="AU31" s="367">
        <f t="array" ref="AU31">INDEX(Indicators!$C$5:$C$38,SMALL(IF(Indicators!$K$5:$K$38=Graphs!AV31,ROW(Indicators!$K$5:$K$38),""),COUNTIF(Graphs!$AV$4:AV31,Graphs!AV31))-ROW(Indicators!$K$5)+1,0)</f>
        <v>1037003</v>
      </c>
      <c r="AV31" s="369">
        <f>LARGE(Indicators!$K$5:$K$38,ROWS(Graphs!$AV$3:$AV31)-1)</f>
        <v>22149.042000000001</v>
      </c>
      <c r="AW31" s="371"/>
      <c r="AX31" s="366" t="str">
        <f>PROPER(TRIM(INDEX('FR Y-15 Data'!$A$1:$A$36,MATCH(AY31,'FR Y-15 Data'!$C$1:$C$66,0))))</f>
        <v>Comerica Incorporated</v>
      </c>
      <c r="AY31" s="367">
        <f t="array" ref="AY31">INDEX(Indicators!$C$5:$C$38,SMALL(IF(Indicators!$L$5:$L$38=Graphs!AZ31,ROW(Indicators!$L$5:$L$38),""),COUNTIF(Graphs!$AZ$4:AZ31,Graphs!AZ31))-ROW(Indicators!$L$5)+1,0)</f>
        <v>1199844</v>
      </c>
      <c r="AZ31" s="369">
        <f>LARGE(Indicators!$L$5:$L$38,ROWS(Graphs!$AZ$3:$AZ31)-1)</f>
        <v>1333.855</v>
      </c>
      <c r="BA31" s="371"/>
      <c r="BB31" s="366" t="str">
        <f>PROPER(TRIM(INDEX('FR Y-15 Data'!$A$1:$A$36,MATCH(BC31,'FR Y-15 Data'!$C$1:$C$66,0))))</f>
        <v>Ally Financial Inc.</v>
      </c>
      <c r="BC31" s="367">
        <f t="array" ref="BC31">INDEX(Indicators!$C$5:$C$38,SMALL(IF(Indicators!$M$5:$M$38=Graphs!BD31,ROW(Indicators!$M$5:$M$38),""),COUNTIF(Graphs!$BD$4:BD31,Graphs!BD31))-ROW(Indicators!$M$5)+1,0)</f>
        <v>1562859</v>
      </c>
      <c r="BD31" s="369">
        <f>LARGE(Indicators!$M$5:$M$38,ROWS(Graphs!$BD$3:$BD31)-1)</f>
        <v>50</v>
      </c>
      <c r="BE31" s="371"/>
      <c r="BF31" s="366" t="str">
        <f>PROPER(TRIM(INDEX('FR Y-15 Data'!$A$1:$A$36,MATCH(BG31,'FR Y-15 Data'!$C$1:$C$66,0))))</f>
        <v>Regions Financial Corporation</v>
      </c>
      <c r="BG31" s="367">
        <f t="array" ref="BG31">INDEX(Indicators!$C$5:$C$38,SMALL(IF(Indicators!$N$5:$N$38=Graphs!BH31,ROW(Indicators!$N$5:$N$38),""),COUNTIF(Graphs!$BH$4:BH31,Graphs!BH31))-ROW(Indicators!$N$5)+1,0)</f>
        <v>3242838</v>
      </c>
      <c r="BH31" s="369">
        <f>LARGE(Indicators!$N$5:$N$38,ROWS(Graphs!$BH$3:$BH31)-1)</f>
        <v>937</v>
      </c>
      <c r="BI31" s="371"/>
      <c r="BJ31" s="366" t="str">
        <f>PROPER(TRIM(INDEX('FR Y-15 Data'!$A$1:$A$36,MATCH(BK31,'FR Y-15 Data'!$C$1:$C$66,0))))</f>
        <v>M&amp;T Bank Corporation</v>
      </c>
      <c r="BK31" s="367">
        <f t="array" ref="BK31">INDEX(Indicators!$C$5:$C$38,SMALL(IF(Indicators!$O$5:$O$38=Graphs!BL31,ROW(Indicators!$O$5:$O$38),""),COUNTIF(Graphs!$BL$4:BL31,Graphs!BL31))-ROW(Indicators!$O$5)+1,0)</f>
        <v>1037003</v>
      </c>
      <c r="BL31" s="369">
        <f>LARGE(Indicators!$O$5:$O$38,ROWS(Graphs!$BL$3:$BL31)-1)</f>
        <v>36.478000000000002</v>
      </c>
      <c r="BM31" s="371"/>
      <c r="BN31" s="366" t="str">
        <f>PROPER(TRIM(INDEX('FR Y-15 Data'!$A$1:$A$36,MATCH(BO31,'FR Y-15 Data'!$C$1:$C$66,0))))</f>
        <v>State Street Corporation</v>
      </c>
      <c r="BO31" s="367">
        <f t="array" ref="BO31">INDEX(Scores!$C$10:$C$43,SMALL(IF(Scores!$P$10:$P$43=Graphs!BP31,ROW(Scores!$P$10:$P$43),""),COUNTIF(Graphs!$BP$4:BP31,Graphs!BP31))-ROW(Scores!$P$10)+1,0)</f>
        <v>1111435</v>
      </c>
      <c r="BP31" s="372">
        <f>LARGE(Scores!$P$10:$P$64,ROWS($BP$3:$BP31)-1)</f>
        <v>0</v>
      </c>
      <c r="BQ31" s="55"/>
      <c r="BR31" s="55"/>
      <c r="BS31" s="55"/>
      <c r="BT31" s="55"/>
      <c r="BU31" s="55"/>
      <c r="BV31" s="55"/>
      <c r="BW31" s="55"/>
    </row>
    <row r="32" spans="2:75" ht="15" customHeight="1">
      <c r="R32" s="366" t="str">
        <f>PROPER(TRIM(INDEX('FR Y-15 Data'!$A$1:$A$36,MATCH(S32,'FR Y-15 Data'!$C$1:$C$66,0))))</f>
        <v>Comerica Incorporated</v>
      </c>
      <c r="S32" s="367">
        <f t="array" ref="S32">INDEX(Indicators!$C$5:$C$38,SMALL(IF(Indicators!$D$5:$D$38=Graphs!T32,ROW(Indicators!$D$5:$D$38),""),COUNTIF(Graphs!$T$4:T32,Graphs!T32))-ROW(Indicators!$D$5)+1,0)</f>
        <v>1199844</v>
      </c>
      <c r="T32" s="369">
        <f>LARGE(Indicators!$D$5:$D$38,ROWS(Graphs!$T$3:$T32)-1)</f>
        <v>102554.103</v>
      </c>
      <c r="U32" s="370"/>
      <c r="V32" s="366" t="str">
        <f>PROPER(TRIM(INDEX('FR Y-15 Data'!$A$1:$A$36,MATCH(W32,'FR Y-15 Data'!$C$1:$C$66,0))))</f>
        <v>M&amp;T Bank Corporation</v>
      </c>
      <c r="W32" s="367">
        <f t="array" ref="W32">INDEX(Indicators!$C$5:$C$38,SMALL(IF(Indicators!$E$5:$E$38=Graphs!X32,ROW(Indicators!$E$5:$E$38),""),COUNTIF(Graphs!$X$4:X32,Graphs!X32))-ROW(Indicators!$E$5)+1,0)</f>
        <v>1037003</v>
      </c>
      <c r="X32" s="369">
        <f>LARGE(Indicators!$E$5:$E$38,ROWS(Graphs!$X$3:$X32)-1)</f>
        <v>2260.067</v>
      </c>
      <c r="Y32" s="370"/>
      <c r="Z32" s="366" t="str">
        <f>PROPER(TRIM(INDEX('FR Y-15 Data'!$A$1:$A$36,MATCH(AA32,'FR Y-15 Data'!$C$1:$C$66,0))))</f>
        <v>Capital One Financial Corporation</v>
      </c>
      <c r="AA32" s="367">
        <f t="array" ref="AA32">INDEX(Indicators!$C$5:$C$38,SMALL(IF(Indicators!$F$5:$F$38=Graphs!AB32,ROW(Indicators!$F$5:$F$38),""),COUNTIF(Graphs!$AB$4:AB32,Graphs!AB32))-ROW(Indicators!$F$5)+1,0)</f>
        <v>2277860</v>
      </c>
      <c r="AB32" s="369">
        <f>LARGE(Indicators!$F$5:$F$38,ROWS(Graphs!$AB$3:$AB32)-1)</f>
        <v>1682.001</v>
      </c>
      <c r="AC32" s="370"/>
      <c r="AD32" s="366" t="str">
        <f>PROPER(TRIM(INDEX('FR Y-15 Data'!$A$1:$A$36,MATCH(AE32,'FR Y-15 Data'!$C$1:$C$66,0))))</f>
        <v>Bancwest Corporation</v>
      </c>
      <c r="AE32" s="367">
        <f t="array" ref="AE32">INDEX(Indicators!$C$5:$C$38,SMALL(IF(Indicators!$G$5:$G$38=Graphs!AF32,ROW(Indicators!$G$5:$G$38),""),COUNTIF(Graphs!$AF$4:AF32,Graphs!AF32))-ROW(Indicators!$G$5)+1,0)</f>
        <v>1025608</v>
      </c>
      <c r="AF32" s="369">
        <f>LARGE(Indicators!$G$5:$G$38,ROWS(Graphs!$AF$3:$AF32)-1)</f>
        <v>12027.017</v>
      </c>
      <c r="AG32" s="371"/>
      <c r="AH32" s="366" t="str">
        <f>PROPER(TRIM(INDEX('FR Y-15 Data'!$A$1:$A$36,MATCH(AI32,'FR Y-15 Data'!$C$1:$C$66,0))))</f>
        <v>Comerica Incorporated</v>
      </c>
      <c r="AI32" s="367">
        <f t="array" ref="AI32">INDEX(Indicators!$C$5:$C$38,SMALL(IF(Indicators!$H$5:$H$38=Graphs!AJ32,ROW(Indicators!$H$5:$H$38),""),COUNTIF(Graphs!$AJ$4:AJ32,Graphs!AJ32))-ROW(Indicators!$H$5)+1,0)</f>
        <v>1199844</v>
      </c>
      <c r="AJ32" s="369">
        <f>LARGE(Indicators!$H$5:$H$38,ROWS(Graphs!$AJ$3:$AJ32)-1)</f>
        <v>250361.02</v>
      </c>
      <c r="AK32" s="371"/>
      <c r="AL32" s="366" t="str">
        <f>PROPER(TRIM(INDEX('FR Y-15 Data'!$A$1:$A$36,MATCH(AM32,'FR Y-15 Data'!$C$1:$C$66,0))))</f>
        <v>Ally Financial Inc.</v>
      </c>
      <c r="AM32" s="367">
        <f t="array" ref="AM32">INDEX(Indicators!$C$5:$C$38,SMALL(IF(Indicators!$I$5:$I$38=Graphs!AN32,ROW(Indicators!$I$5:$I$38),""),COUNTIF(Graphs!$AN$4:AN32,Graphs!AN32))-ROW(Indicators!$I$5)+1,0)</f>
        <v>1562859</v>
      </c>
      <c r="AN32" s="369">
        <f>LARGE(Indicators!$I$5:$I$38,ROWS(Graphs!$AN$3:$AN32)-1)</f>
        <v>0</v>
      </c>
      <c r="AO32" s="371"/>
      <c r="AP32" s="366" t="str">
        <f>PROPER(TRIM(INDEX('FR Y-15 Data'!$A$1:$A$36,MATCH(AQ32,'FR Y-15 Data'!$C$1:$C$66,0))))</f>
        <v>Mufg Americas Holdings Corporation</v>
      </c>
      <c r="AQ32" s="367">
        <f t="array" ref="AQ32">INDEX(Indicators!$C$5:$C$38,SMALL(IF(Indicators!$J$5:$J$38=Graphs!AR32,ROW(Indicators!$J$5:$J$38),""),COUNTIF(Graphs!$AR$4:AR32,Graphs!AR32))-ROW(Indicators!$J$5)+1,0)</f>
        <v>1378434</v>
      </c>
      <c r="AR32" s="369">
        <f>LARGE(Indicators!$J$5:$J$38,ROWS(Graphs!$AR$3:$AR32)-1)</f>
        <v>0</v>
      </c>
      <c r="AS32" s="371"/>
      <c r="AT32" s="366" t="str">
        <f>PROPER(TRIM(INDEX('FR Y-15 Data'!$A$1:$A$36,MATCH(AU32,'FR Y-15 Data'!$C$1:$C$66,0))))</f>
        <v>Comerica Incorporated</v>
      </c>
      <c r="AU32" s="367">
        <f t="array" ref="AU32">INDEX(Indicators!$C$5:$C$38,SMALL(IF(Indicators!$K$5:$K$38=Graphs!AV32,ROW(Indicators!$K$5:$K$38),""),COUNTIF(Graphs!$AV$4:AV32,Graphs!AV32))-ROW(Indicators!$K$5)+1,0)</f>
        <v>1199844</v>
      </c>
      <c r="AV32" s="369">
        <f>LARGE(Indicators!$K$5:$K$38,ROWS(Graphs!$AV$3:$AV32)-1)</f>
        <v>21561.311000000002</v>
      </c>
      <c r="AW32" s="371"/>
      <c r="AX32" s="366" t="str">
        <f>PROPER(TRIM(INDEX('FR Y-15 Data'!$A$1:$A$36,MATCH(AY32,'FR Y-15 Data'!$C$1:$C$66,0))))</f>
        <v>M&amp;T Bank Corporation</v>
      </c>
      <c r="AY32" s="367">
        <f t="array" ref="AY32">INDEX(Indicators!$C$5:$C$38,SMALL(IF(Indicators!$L$5:$L$38=Graphs!AZ32,ROW(Indicators!$L$5:$L$38),""),COUNTIF(Graphs!$AZ$4:AZ32,Graphs!AZ32))-ROW(Indicators!$L$5)+1,0)</f>
        <v>1037003</v>
      </c>
      <c r="AZ32" s="369">
        <f>LARGE(Indicators!$L$5:$L$38,ROWS(Graphs!$AZ$3:$AZ32)-1)</f>
        <v>1118.271</v>
      </c>
      <c r="BA32" s="371"/>
      <c r="BB32" s="366" t="str">
        <f>PROPER(TRIM(INDEX('FR Y-15 Data'!$A$1:$A$36,MATCH(BC32,'FR Y-15 Data'!$C$1:$C$66,0))))</f>
        <v>Bbva Compass Bancshares, Inc.</v>
      </c>
      <c r="BC32" s="367">
        <f t="array" ref="BC32">INDEX(Indicators!$C$5:$C$38,SMALL(IF(Indicators!$M$5:$M$38=Graphs!BD32,ROW(Indicators!$M$5:$M$38),""),COUNTIF(Graphs!$BD$4:BD32,Graphs!BD32))-ROW(Indicators!$M$5)+1,0)</f>
        <v>1078529</v>
      </c>
      <c r="BD32" s="369">
        <f>LARGE(Indicators!$M$5:$M$38,ROWS(Graphs!$BD$3:$BD32)-1)</f>
        <v>39.401000000000003</v>
      </c>
      <c r="BE32" s="371"/>
      <c r="BF32" s="366" t="str">
        <f>PROPER(TRIM(INDEX('FR Y-15 Data'!$A$1:$A$36,MATCH(BG32,'FR Y-15 Data'!$C$1:$C$66,0))))</f>
        <v>Bb&amp;T Corporation</v>
      </c>
      <c r="BG32" s="367">
        <f t="array" ref="BG32">INDEX(Indicators!$C$5:$C$38,SMALL(IF(Indicators!$N$5:$N$38=Graphs!BH32,ROW(Indicators!$N$5:$N$38),""),COUNTIF(Graphs!$BH$4:BH32,Graphs!BH32))-ROW(Indicators!$N$5)+1,0)</f>
        <v>1074156</v>
      </c>
      <c r="BH32" s="369">
        <f>LARGE(Indicators!$N$5:$N$38,ROWS(Graphs!$BH$3:$BH32)-1)</f>
        <v>851</v>
      </c>
      <c r="BI32" s="371"/>
      <c r="BJ32" s="366" t="str">
        <f>PROPER(TRIM(INDEX('FR Y-15 Data'!$A$1:$A$36,MATCH(BK32,'FR Y-15 Data'!$C$1:$C$66,0))))</f>
        <v>Discover Financial Services</v>
      </c>
      <c r="BK32" s="367">
        <f t="array" ref="BK32">INDEX(Indicators!$C$5:$C$38,SMALL(IF(Indicators!$O$5:$O$38=Graphs!BL32,ROW(Indicators!$O$5:$O$38),""),COUNTIF(Graphs!$BL$4:BL32,Graphs!BL32))-ROW(Indicators!$O$5)+1,0)</f>
        <v>3846375</v>
      </c>
      <c r="BL32" s="369">
        <f>LARGE(Indicators!$O$5:$O$38,ROWS(Graphs!$BL$3:$BL32)-1)</f>
        <v>18</v>
      </c>
      <c r="BM32" s="371"/>
      <c r="BN32" s="366" t="str">
        <f>PROPER(TRIM(INDEX('FR Y-15 Data'!$A$1:$A$36,MATCH(BO32,'FR Y-15 Data'!$C$1:$C$66,0))))</f>
        <v>Suntrust Banks, Inc.</v>
      </c>
      <c r="BO32" s="367">
        <f t="array" ref="BO32">INDEX(Scores!$C$10:$C$43,SMALL(IF(Scores!$P$10:$P$43=Graphs!BP32,ROW(Scores!$P$10:$P$43),""),COUNTIF(Graphs!$BP$4:BP32,Graphs!BP32))-ROW(Scores!$P$10)+1,0)</f>
        <v>1131787</v>
      </c>
      <c r="BP32" s="372">
        <f>LARGE(Scores!$P$10:$P$64,ROWS($BP$3:$BP32)-1)</f>
        <v>0</v>
      </c>
      <c r="BQ32" s="55"/>
      <c r="BR32" s="55"/>
      <c r="BS32" s="55"/>
      <c r="BT32" s="55"/>
      <c r="BU32" s="55"/>
      <c r="BV32" s="55"/>
      <c r="BW32" s="55"/>
    </row>
    <row r="33" spans="18:75" ht="15" customHeight="1">
      <c r="R33" s="366" t="str">
        <f>PROPER(TRIM(INDEX('FR Y-15 Data'!$A$1:$A$36,MATCH(S33,'FR Y-15 Data'!$C$1:$C$66,0))))</f>
        <v>Discover Financial Services</v>
      </c>
      <c r="S33" s="367">
        <f t="array" ref="S33">INDEX(Indicators!$C$5:$C$38,SMALL(IF(Indicators!$D$5:$D$38=Graphs!T33,ROW(Indicators!$D$5:$D$38),""),COUNTIF(Graphs!$T$4:T33,Graphs!T33))-ROW(Indicators!$D$5)+1,0)</f>
        <v>3846375</v>
      </c>
      <c r="T33" s="369">
        <f>LARGE(Indicators!$D$5:$D$38,ROWS(Graphs!$T$3:$T33)-1)</f>
        <v>100186.019</v>
      </c>
      <c r="U33" s="370"/>
      <c r="V33" s="366" t="str">
        <f>PROPER(TRIM(INDEX('FR Y-15 Data'!$A$1:$A$36,MATCH(W33,'FR Y-15 Data'!$C$1:$C$66,0))))</f>
        <v>Zions Bancorporation</v>
      </c>
      <c r="W33" s="367">
        <f t="array" ref="W33">INDEX(Indicators!$C$5:$C$38,SMALL(IF(Indicators!$E$5:$E$38=Graphs!X33,ROW(Indicators!$E$5:$E$38),""),COUNTIF(Graphs!$X$4:X33,Graphs!X33))-ROW(Indicators!$E$5)+1,0)</f>
        <v>1027004</v>
      </c>
      <c r="X33" s="369">
        <f>LARGE(Indicators!$E$5:$E$38,ROWS(Graphs!$X$3:$X33)-1)</f>
        <v>1745.942</v>
      </c>
      <c r="Y33" s="370"/>
      <c r="Z33" s="366" t="str">
        <f>PROPER(TRIM(INDEX('FR Y-15 Data'!$A$1:$A$36,MATCH(AA33,'FR Y-15 Data'!$C$1:$C$66,0))))</f>
        <v>Suntrust Banks, Inc.</v>
      </c>
      <c r="AA33" s="367">
        <f t="array" ref="AA33">INDEX(Indicators!$C$5:$C$38,SMALL(IF(Indicators!$F$5:$F$38=Graphs!AB33,ROW(Indicators!$F$5:$F$38),""),COUNTIF(Graphs!$AB$4:AB33,Graphs!AB33))-ROW(Indicators!$F$5)+1,0)</f>
        <v>1131787</v>
      </c>
      <c r="AB33" s="369">
        <f>LARGE(Indicators!$F$5:$F$38,ROWS(Graphs!$AB$3:$AB33)-1)</f>
        <v>1281.693</v>
      </c>
      <c r="AC33" s="370"/>
      <c r="AD33" s="366" t="str">
        <f>PROPER(TRIM(INDEX('FR Y-15 Data'!$A$1:$A$36,MATCH(AE33,'FR Y-15 Data'!$C$1:$C$66,0))))</f>
        <v>Zions Bancorporation</v>
      </c>
      <c r="AE33" s="367">
        <f t="array" ref="AE33">INDEX(Indicators!$C$5:$C$38,SMALL(IF(Indicators!$G$5:$G$38=Graphs!AF33,ROW(Indicators!$G$5:$G$38),""),COUNTIF(Graphs!$AF$4:AF33,Graphs!AF33))-ROW(Indicators!$G$5)+1,0)</f>
        <v>1027004</v>
      </c>
      <c r="AF33" s="369">
        <f>LARGE(Indicators!$G$5:$G$38,ROWS(Graphs!$AF$3:$AF33)-1)</f>
        <v>9868.09</v>
      </c>
      <c r="AG33" s="371"/>
      <c r="AH33" s="366" t="str">
        <f>PROPER(TRIM(INDEX('FR Y-15 Data'!$A$1:$A$36,MATCH(AI33,'FR Y-15 Data'!$C$1:$C$66,0))))</f>
        <v>Bbva Compass Bancshares, Inc.</v>
      </c>
      <c r="AI33" s="367">
        <f t="array" ref="AI33">INDEX(Indicators!$C$5:$C$38,SMALL(IF(Indicators!$H$5:$H$38=Graphs!AJ33,ROW(Indicators!$H$5:$H$38),""),COUNTIF(Graphs!$AJ$4:AJ33,Graphs!AJ33))-ROW(Indicators!$H$5)+1,0)</f>
        <v>1078529</v>
      </c>
      <c r="AJ33" s="369">
        <f>LARGE(Indicators!$H$5:$H$38,ROWS(Graphs!$AJ$3:$AJ33)-1)</f>
        <v>245028.01199999999</v>
      </c>
      <c r="AK33" s="371"/>
      <c r="AL33" s="366" t="str">
        <f>PROPER(TRIM(INDEX('FR Y-15 Data'!$A$1:$A$36,MATCH(AM33,'FR Y-15 Data'!$C$1:$C$66,0))))</f>
        <v>American Express Company</v>
      </c>
      <c r="AM33" s="367">
        <f t="array" ref="AM33">INDEX(Indicators!$C$5:$C$38,SMALL(IF(Indicators!$I$5:$I$38=Graphs!AN33,ROW(Indicators!$I$5:$I$38),""),COUNTIF(Graphs!$AN$4:AN33,Graphs!AN33))-ROW(Indicators!$I$5)+1,0)</f>
        <v>1275216</v>
      </c>
      <c r="AN33" s="369">
        <f>LARGE(Indicators!$I$5:$I$38,ROWS(Graphs!$AN$3:$AN33)-1)</f>
        <v>0</v>
      </c>
      <c r="AO33" s="371"/>
      <c r="AP33" s="366" t="str">
        <f>PROPER(TRIM(INDEX('FR Y-15 Data'!$A$1:$A$36,MATCH(AQ33,'FR Y-15 Data'!$C$1:$C$66,0))))</f>
        <v>Northern Trust Corporation</v>
      </c>
      <c r="AQ33" s="367">
        <f t="array" ref="AQ33">INDEX(Indicators!$C$5:$C$38,SMALL(IF(Indicators!$J$5:$J$38=Graphs!AR33,ROW(Indicators!$J$5:$J$38),""),COUNTIF(Graphs!$AR$4:AR33,Graphs!AR33))-ROW(Indicators!$J$5)+1,0)</f>
        <v>1199611</v>
      </c>
      <c r="AR33" s="369">
        <f>LARGE(Indicators!$J$5:$J$38,ROWS(Graphs!$AR$3:$AR33)-1)</f>
        <v>0</v>
      </c>
      <c r="AS33" s="371"/>
      <c r="AT33" s="366" t="str">
        <f>PROPER(TRIM(INDEX('FR Y-15 Data'!$A$1:$A$36,MATCH(AU33,'FR Y-15 Data'!$C$1:$C$66,0))))</f>
        <v>Bancwest Corporation</v>
      </c>
      <c r="AU33" s="367">
        <f t="array" ref="AU33">INDEX(Indicators!$C$5:$C$38,SMALL(IF(Indicators!$K$5:$K$38=Graphs!AV33,ROW(Indicators!$K$5:$K$38),""),COUNTIF(Graphs!$AV$4:AV33,Graphs!AV33))-ROW(Indicators!$K$5)+1,0)</f>
        <v>1025608</v>
      </c>
      <c r="AV33" s="369">
        <f>LARGE(Indicators!$K$5:$K$38,ROWS(Graphs!$AV$3:$AV33)-1)</f>
        <v>18211.094000000001</v>
      </c>
      <c r="AW33" s="371"/>
      <c r="AX33" s="366" t="str">
        <f>PROPER(TRIM(INDEX('FR Y-15 Data'!$A$1:$A$36,MATCH(AY33,'FR Y-15 Data'!$C$1:$C$66,0))))</f>
        <v>Citizens Financial Group, Inc.</v>
      </c>
      <c r="AY33" s="367">
        <f t="array" ref="AY33">INDEX(Indicators!$C$5:$C$38,SMALL(IF(Indicators!$L$5:$L$38=Graphs!AZ33,ROW(Indicators!$L$5:$L$38),""),COUNTIF(Graphs!$AZ$4:AZ33,Graphs!AZ33))-ROW(Indicators!$L$5)+1,0)</f>
        <v>1132449</v>
      </c>
      <c r="AZ33" s="369">
        <f>LARGE(Indicators!$L$5:$L$38,ROWS(Graphs!$AZ$3:$AZ33)-1)</f>
        <v>936.702</v>
      </c>
      <c r="BA33" s="371"/>
      <c r="BB33" s="366" t="str">
        <f>PROPER(TRIM(INDEX('FR Y-15 Data'!$A$1:$A$36,MATCH(BC33,'FR Y-15 Data'!$C$1:$C$66,0))))</f>
        <v>Northern Trust Corporation</v>
      </c>
      <c r="BC33" s="367">
        <f t="array" ref="BC33">INDEX(Indicators!$C$5:$C$38,SMALL(IF(Indicators!$M$5:$M$38=Graphs!BD33,ROW(Indicators!$M$5:$M$38),""),COUNTIF(Graphs!$BD$4:BD33,Graphs!BD33))-ROW(Indicators!$M$5)+1,0)</f>
        <v>1199611</v>
      </c>
      <c r="BD33" s="369">
        <f>LARGE(Indicators!$M$5:$M$38,ROWS(Graphs!$BD$3:$BD33)-1)</f>
        <v>18.109000000000002</v>
      </c>
      <c r="BE33" s="371"/>
      <c r="BF33" s="366" t="str">
        <f>PROPER(TRIM(INDEX('FR Y-15 Data'!$A$1:$A$36,MATCH(BG33,'FR Y-15 Data'!$C$1:$C$66,0))))</f>
        <v>Bancwest Corporation</v>
      </c>
      <c r="BG33" s="367">
        <f t="array" ref="BG33">INDEX(Indicators!$C$5:$C$38,SMALL(IF(Indicators!$N$5:$N$38=Graphs!BH33,ROW(Indicators!$N$5:$N$38),""),COUNTIF(Graphs!$BH$4:BH33,Graphs!BH33))-ROW(Indicators!$N$5)+1,0)</f>
        <v>1025608</v>
      </c>
      <c r="BH33" s="369">
        <f>LARGE(Indicators!$N$5:$N$38,ROWS(Graphs!$BH$3:$BH33)-1)</f>
        <v>726</v>
      </c>
      <c r="BI33" s="371"/>
      <c r="BJ33" s="366" t="str">
        <f>PROPER(TRIM(INDEX('FR Y-15 Data'!$A$1:$A$36,MATCH(BK33,'FR Y-15 Data'!$C$1:$C$66,0))))</f>
        <v>Keycorp</v>
      </c>
      <c r="BK33" s="367">
        <f t="array" ref="BK33">INDEX(Indicators!$C$5:$C$38,SMALL(IF(Indicators!$O$5:$O$38=Graphs!BL33,ROW(Indicators!$O$5:$O$38),""),COUNTIF(Graphs!$BL$4:BL33,Graphs!BL33))-ROW(Indicators!$O$5)+1,0)</f>
        <v>1068025</v>
      </c>
      <c r="BL33" s="369">
        <f>LARGE(Indicators!$O$5:$O$38,ROWS(Graphs!$BL$3:$BL33)-1)</f>
        <v>8</v>
      </c>
      <c r="BM33" s="371"/>
      <c r="BN33" s="366" t="str">
        <f>PROPER(TRIM(INDEX('FR Y-15 Data'!$A$1:$A$36,MATCH(BO33,'FR Y-15 Data'!$C$1:$C$66,0))))</f>
        <v>Td Bank Us Holding Company</v>
      </c>
      <c r="BO33" s="367">
        <f t="array" ref="BO33">INDEX(Scores!$C$10:$C$43,SMALL(IF(Scores!$P$10:$P$43=Graphs!BP33,ROW(Scores!$P$10:$P$43),""),COUNTIF(Graphs!$BP$4:BP33,Graphs!BP33))-ROW(Scores!$P$10)+1,0)</f>
        <v>1249196</v>
      </c>
      <c r="BP33" s="372">
        <f>LARGE(Scores!$P$10:$P$64,ROWS($BP$3:$BP33)-1)</f>
        <v>0</v>
      </c>
      <c r="BQ33" s="55"/>
      <c r="BR33" s="55"/>
      <c r="BS33" s="55"/>
      <c r="BT33" s="55"/>
      <c r="BU33" s="55"/>
      <c r="BV33" s="55"/>
      <c r="BW33" s="55"/>
    </row>
    <row r="34" spans="18:75" ht="15" customHeight="1">
      <c r="R34" s="366" t="str">
        <f>PROPER(TRIM(INDEX('FR Y-15 Data'!$A$1:$A$36,MATCH(S34,'FR Y-15 Data'!$C$1:$C$66,0))))</f>
        <v>Huntington Bancshares Incorporated</v>
      </c>
      <c r="S34" s="367">
        <f t="array" ref="S34">INDEX(Indicators!$C$5:$C$38,SMALL(IF(Indicators!$D$5:$D$38=Graphs!T34,ROW(Indicators!$D$5:$D$38),""),COUNTIF(Graphs!$T$4:T34,Graphs!T34))-ROW(Indicators!$D$5)+1,0)</f>
        <v>1068191</v>
      </c>
      <c r="T34" s="369">
        <f>LARGE(Indicators!$D$5:$D$38,ROWS(Graphs!$T$3:$T34)-1)</f>
        <v>80340.612999999998</v>
      </c>
      <c r="U34" s="370"/>
      <c r="V34" s="366" t="str">
        <f>PROPER(TRIM(INDEX('FR Y-15 Data'!$A$1:$A$36,MATCH(W34,'FR Y-15 Data'!$C$1:$C$66,0))))</f>
        <v>Bb&amp;T Corporation</v>
      </c>
      <c r="W34" s="367">
        <f t="array" ref="W34">INDEX(Indicators!$C$5:$C$38,SMALL(IF(Indicators!$E$5:$E$38=Graphs!X34,ROW(Indicators!$E$5:$E$38),""),COUNTIF(Graphs!$X$4:X34,Graphs!X34))-ROW(Indicators!$E$5)+1,0)</f>
        <v>1074156</v>
      </c>
      <c r="X34" s="369">
        <f>LARGE(Indicators!$E$5:$E$38,ROWS(Graphs!$X$3:$X34)-1)</f>
        <v>1688.0530000000001</v>
      </c>
      <c r="Y34" s="370"/>
      <c r="Z34" s="366" t="str">
        <f>PROPER(TRIM(INDEX('FR Y-15 Data'!$A$1:$A$36,MATCH(AA34,'FR Y-15 Data'!$C$1:$C$66,0))))</f>
        <v>Huntington Bancshares Incorporated</v>
      </c>
      <c r="AA34" s="367">
        <f t="array" ref="AA34">INDEX(Indicators!$C$5:$C$38,SMALL(IF(Indicators!$F$5:$F$38=Graphs!AB34,ROW(Indicators!$F$5:$F$38),""),COUNTIF(Graphs!$AB$4:AB34,Graphs!AB34))-ROW(Indicators!$F$5)+1,0)</f>
        <v>1068191</v>
      </c>
      <c r="AB34" s="369">
        <f>LARGE(Indicators!$F$5:$F$38,ROWS(Graphs!$AB$3:$AB34)-1)</f>
        <v>1273.6780000000001</v>
      </c>
      <c r="AC34" s="370"/>
      <c r="AD34" s="366" t="str">
        <f>PROPER(TRIM(INDEX('FR Y-15 Data'!$A$1:$A$36,MATCH(AE34,'FR Y-15 Data'!$C$1:$C$66,0))))</f>
        <v>Td Bank Us Holding Company</v>
      </c>
      <c r="AE34" s="367">
        <f t="array" ref="AE34">INDEX(Indicators!$C$5:$C$38,SMALL(IF(Indicators!$G$5:$G$38=Graphs!AF34,ROW(Indicators!$G$5:$G$38),""),COUNTIF(Graphs!$AF$4:AF34,Graphs!AF34))-ROW(Indicators!$G$5)+1,0)</f>
        <v>1249196</v>
      </c>
      <c r="AF34" s="369">
        <f>LARGE(Indicators!$G$5:$G$38,ROWS(Graphs!$AF$3:$AF34)-1)</f>
        <v>9665.7260000000006</v>
      </c>
      <c r="AG34" s="371"/>
      <c r="AH34" s="366" t="str">
        <f>PROPER(TRIM(INDEX('FR Y-15 Data'!$A$1:$A$36,MATCH(AI34,'FR Y-15 Data'!$C$1:$C$66,0))))</f>
        <v>American Express Company</v>
      </c>
      <c r="AI34" s="367">
        <f t="array" ref="AI34">INDEX(Indicators!$C$5:$C$38,SMALL(IF(Indicators!$H$5:$H$38=Graphs!AJ34,ROW(Indicators!$H$5:$H$38),""),COUNTIF(Graphs!$AJ$4:AJ34,Graphs!AJ34))-ROW(Indicators!$H$5)+1,0)</f>
        <v>1275216</v>
      </c>
      <c r="AJ34" s="369">
        <f>LARGE(Indicators!$H$5:$H$38,ROWS(Graphs!$AJ$3:$AJ34)-1)</f>
        <v>140455</v>
      </c>
      <c r="AK34" s="371"/>
      <c r="AL34" s="366" t="str">
        <f>PROPER(TRIM(INDEX('FR Y-15 Data'!$A$1:$A$36,MATCH(AM34,'FR Y-15 Data'!$C$1:$C$66,0))))</f>
        <v>Deutsche Bank Trust Corporation</v>
      </c>
      <c r="AM34" s="367">
        <f t="array" ref="AM34">INDEX(Indicators!$C$5:$C$38,SMALL(IF(Indicators!$I$5:$I$38=Graphs!AN34,ROW(Indicators!$I$5:$I$38),""),COUNTIF(Graphs!$AN$4:AN34,Graphs!AN34))-ROW(Indicators!$I$5)+1,0)</f>
        <v>1032473</v>
      </c>
      <c r="AN34" s="369">
        <f>LARGE(Indicators!$I$5:$I$38,ROWS(Graphs!$AN$3:$AN34)-1)</f>
        <v>0</v>
      </c>
      <c r="AO34" s="371"/>
      <c r="AP34" s="366" t="str">
        <f>PROPER(TRIM(INDEX('FR Y-15 Data'!$A$1:$A$36,MATCH(AQ34,'FR Y-15 Data'!$C$1:$C$66,0))))</f>
        <v>Santander Holdings Usa, Inc.</v>
      </c>
      <c r="AQ34" s="367">
        <f t="array" ref="AQ34">INDEX(Indicators!$C$5:$C$38,SMALL(IF(Indicators!$J$5:$J$38=Graphs!AR34,ROW(Indicators!$J$5:$J$38),""),COUNTIF(Graphs!$AR$4:AR34,Graphs!AR34))-ROW(Indicators!$J$5)+1,0)</f>
        <v>3981856</v>
      </c>
      <c r="AR34" s="369">
        <f>LARGE(Indicators!$J$5:$J$38,ROWS(Graphs!$AR$3:$AR34)-1)</f>
        <v>0</v>
      </c>
      <c r="AS34" s="371"/>
      <c r="AT34" s="366" t="str">
        <f>PROPER(TRIM(INDEX('FR Y-15 Data'!$A$1:$A$36,MATCH(AU34,'FR Y-15 Data'!$C$1:$C$66,0))))</f>
        <v>Discover Financial Services</v>
      </c>
      <c r="AU34" s="367">
        <f t="array" ref="AU34">INDEX(Indicators!$C$5:$C$38,SMALL(IF(Indicators!$K$5:$K$38=Graphs!AV34,ROW(Indicators!$K$5:$K$38),""),COUNTIF(Graphs!$AV$4:AV34,Graphs!AV34))-ROW(Indicators!$K$5)+1,0)</f>
        <v>3846375</v>
      </c>
      <c r="AV34" s="369">
        <f>LARGE(Indicators!$K$5:$K$38,ROWS(Graphs!$AV$3:$AV34)-1)</f>
        <v>11227.315000000001</v>
      </c>
      <c r="AW34" s="371"/>
      <c r="AX34" s="366" t="str">
        <f>PROPER(TRIM(INDEX('FR Y-15 Data'!$A$1:$A$36,MATCH(AY34,'FR Y-15 Data'!$C$1:$C$66,0))))</f>
        <v>Bbva Compass Bancshares, Inc.</v>
      </c>
      <c r="AY34" s="367">
        <f t="array" ref="AY34">INDEX(Indicators!$C$5:$C$38,SMALL(IF(Indicators!$L$5:$L$38=Graphs!AZ34,ROW(Indicators!$L$5:$L$38),""),COUNTIF(Graphs!$AZ$4:AZ34,Graphs!AZ34))-ROW(Indicators!$L$5)+1,0)</f>
        <v>1078529</v>
      </c>
      <c r="AZ34" s="369">
        <f>LARGE(Indicators!$L$5:$L$38,ROWS(Graphs!$AZ$3:$AZ34)-1)</f>
        <v>802.34900000000005</v>
      </c>
      <c r="BA34" s="371"/>
      <c r="BB34" s="366" t="str">
        <f>PROPER(TRIM(INDEX('FR Y-15 Data'!$A$1:$A$36,MATCH(BC34,'FR Y-15 Data'!$C$1:$C$66,0))))</f>
        <v>Discover Financial Services</v>
      </c>
      <c r="BC34" s="367">
        <f t="array" ref="BC34">INDEX(Indicators!$C$5:$C$38,SMALL(IF(Indicators!$M$5:$M$38=Graphs!BD34,ROW(Indicators!$M$5:$M$38),""),COUNTIF(Graphs!$BD$4:BD34,Graphs!BD34))-ROW(Indicators!$M$5)+1,0)</f>
        <v>3846375</v>
      </c>
      <c r="BD34" s="369">
        <f>LARGE(Indicators!$M$5:$M$38,ROWS(Graphs!$BD$3:$BD34)-1)</f>
        <v>7.4960000000000004</v>
      </c>
      <c r="BE34" s="371"/>
      <c r="BF34" s="366" t="str">
        <f>PROPER(TRIM(INDEX('FR Y-15 Data'!$A$1:$A$36,MATCH(BG34,'FR Y-15 Data'!$C$1:$C$66,0))))</f>
        <v>M&amp;T Bank Corporation</v>
      </c>
      <c r="BG34" s="367">
        <f t="array" ref="BG34">INDEX(Indicators!$C$5:$C$38,SMALL(IF(Indicators!$N$5:$N$38=Graphs!BH34,ROW(Indicators!$N$5:$N$38),""),COUNTIF(Graphs!$BH$4:BH34,Graphs!BH34))-ROW(Indicators!$N$5)+1,0)</f>
        <v>1037003</v>
      </c>
      <c r="BH34" s="369">
        <f>LARGE(Indicators!$N$5:$N$38,ROWS(Graphs!$BH$3:$BH34)-1)</f>
        <v>316.90100000000001</v>
      </c>
      <c r="BI34" s="371"/>
      <c r="BJ34" s="366" t="str">
        <f>PROPER(TRIM(INDEX('FR Y-15 Data'!$A$1:$A$36,MATCH(BK34,'FR Y-15 Data'!$C$1:$C$66,0))))</f>
        <v>Hsbc North America Holdings Inc.</v>
      </c>
      <c r="BK34" s="367">
        <f t="array" ref="BK34">INDEX(Indicators!$C$5:$C$38,SMALL(IF(Indicators!$O$5:$O$38=Graphs!BL34,ROW(Indicators!$O$5:$O$38),""),COUNTIF(Graphs!$BL$4:BL34,Graphs!BL34))-ROW(Indicators!$O$5)+1,0)</f>
        <v>3232316</v>
      </c>
      <c r="BL34" s="369">
        <f>LARGE(Indicators!$O$5:$O$38,ROWS(Graphs!$BL$3:$BL34)-1)</f>
        <v>3</v>
      </c>
      <c r="BM34" s="371"/>
      <c r="BN34" s="366" t="str">
        <f>PROPER(TRIM(INDEX('FR Y-15 Data'!$A$1:$A$36,MATCH(BO34,'FR Y-15 Data'!$C$1:$C$66,0))))</f>
        <v>U.S. Bancorp</v>
      </c>
      <c r="BO34" s="367">
        <f t="array" ref="BO34">INDEX(Scores!$C$10:$C$43,SMALL(IF(Scores!$P$10:$P$43=Graphs!BP34,ROW(Scores!$P$10:$P$43),""),COUNTIF(Graphs!$BP$4:BP34,Graphs!BP34))-ROW(Scores!$P$10)+1,0)</f>
        <v>1119794</v>
      </c>
      <c r="BP34" s="372">
        <f>LARGE(Scores!$P$10:$P$64,ROWS($BP$3:$BP34)-1)</f>
        <v>0</v>
      </c>
      <c r="BQ34" s="55"/>
      <c r="BR34" s="55"/>
      <c r="BS34" s="55"/>
      <c r="BT34" s="55"/>
      <c r="BU34" s="55"/>
      <c r="BV34" s="55"/>
      <c r="BW34" s="55"/>
    </row>
    <row r="35" spans="18:75" ht="15" customHeight="1">
      <c r="R35" s="366" t="str">
        <f>PROPER(TRIM(INDEX('FR Y-15 Data'!$A$1:$A$36,MATCH(S35,'FR Y-15 Data'!$C$1:$C$66,0))))</f>
        <v>Zions Bancorporation</v>
      </c>
      <c r="S35" s="367">
        <f t="array" ref="S35">INDEX(Indicators!$C$5:$C$38,SMALL(IF(Indicators!$D$5:$D$38=Graphs!T35,ROW(Indicators!$D$5:$D$38),""),COUNTIF(Graphs!$T$4:T35,Graphs!T35))-ROW(Indicators!$D$5)+1,0)</f>
        <v>1027004</v>
      </c>
      <c r="T35" s="369">
        <f>LARGE(Indicators!$D$5:$D$38,ROWS(Graphs!$T$3:$T35)-1)</f>
        <v>74391.153000000006</v>
      </c>
      <c r="U35" s="370"/>
      <c r="V35" s="366" t="str">
        <f>PROPER(TRIM(INDEX('FR Y-15 Data'!$A$1:$A$36,MATCH(W35,'FR Y-15 Data'!$C$1:$C$66,0))))</f>
        <v>Regions Financial Corporation</v>
      </c>
      <c r="W35" s="367">
        <f t="array" ref="W35">INDEX(Indicators!$C$5:$C$38,SMALL(IF(Indicators!$E$5:$E$38=Graphs!X35,ROW(Indicators!$E$5:$E$38),""),COUNTIF(Graphs!$X$4:X35,Graphs!X35))-ROW(Indicators!$E$5)+1,0)</f>
        <v>3242838</v>
      </c>
      <c r="X35" s="369">
        <f>LARGE(Indicators!$E$5:$E$38,ROWS(Graphs!$X$3:$X35)-1)</f>
        <v>1314.25</v>
      </c>
      <c r="Y35" s="370"/>
      <c r="Z35" s="366" t="str">
        <f>PROPER(TRIM(INDEX('FR Y-15 Data'!$A$1:$A$36,MATCH(AA35,'FR Y-15 Data'!$C$1:$C$66,0))))</f>
        <v>Bmo Financial Corp.</v>
      </c>
      <c r="AA35" s="367">
        <f t="array" ref="AA35">INDEX(Indicators!$C$5:$C$38,SMALL(IF(Indicators!$F$5:$F$38=Graphs!AB35,ROW(Indicators!$F$5:$F$38),""),COUNTIF(Graphs!$AB$4:AB35,Graphs!AB35))-ROW(Indicators!$F$5)+1,0)</f>
        <v>1245415</v>
      </c>
      <c r="AB35" s="369">
        <f>LARGE(Indicators!$F$5:$F$38,ROWS(Graphs!$AB$3:$AB35)-1)</f>
        <v>881.24099999999999</v>
      </c>
      <c r="AC35" s="370"/>
      <c r="AD35" s="366" t="str">
        <f>PROPER(TRIM(INDEX('FR Y-15 Data'!$A$1:$A$36,MATCH(AE35,'FR Y-15 Data'!$C$1:$C$66,0))))</f>
        <v>Citizens Financial Group, Inc.</v>
      </c>
      <c r="AE35" s="367">
        <f t="array" ref="AE35">INDEX(Indicators!$C$5:$C$38,SMALL(IF(Indicators!$G$5:$G$38=Graphs!AF35,ROW(Indicators!$G$5:$G$38),""),COUNTIF(Graphs!$AF$4:AF35,Graphs!AF35))-ROW(Indicators!$G$5)+1,0)</f>
        <v>1132449</v>
      </c>
      <c r="AF35" s="369">
        <f>LARGE(Indicators!$G$5:$G$38,ROWS(Graphs!$AF$3:$AF35)-1)</f>
        <v>8052.46</v>
      </c>
      <c r="AG35" s="371"/>
      <c r="AH35" s="366" t="str">
        <f>PROPER(TRIM(INDEX('FR Y-15 Data'!$A$1:$A$36,MATCH(AI35,'FR Y-15 Data'!$C$1:$C$66,0))))</f>
        <v>Ally Financial Inc.</v>
      </c>
      <c r="AI35" s="367">
        <f t="array" ref="AI35">INDEX(Indicators!$C$5:$C$38,SMALL(IF(Indicators!$H$5:$H$38=Graphs!AJ35,ROW(Indicators!$H$5:$H$38),""),COUNTIF(Graphs!$AJ$4:AJ35,Graphs!AJ35))-ROW(Indicators!$H$5)+1,0)</f>
        <v>1562859</v>
      </c>
      <c r="AJ35" s="369">
        <f>LARGE(Indicators!$H$5:$H$38,ROWS(Graphs!$AJ$3:$AJ35)-1)</f>
        <v>118390</v>
      </c>
      <c r="AK35" s="371"/>
      <c r="AL35" s="366" t="str">
        <f>PROPER(TRIM(INDEX('FR Y-15 Data'!$A$1:$A$36,MATCH(AM35,'FR Y-15 Data'!$C$1:$C$66,0))))</f>
        <v>Discover Financial Services</v>
      </c>
      <c r="AM35" s="367">
        <f t="array" ref="AM35">INDEX(Indicators!$C$5:$C$38,SMALL(IF(Indicators!$I$5:$I$38=Graphs!AN35,ROW(Indicators!$I$5:$I$38),""),COUNTIF(Graphs!$AN$4:AN35,Graphs!AN35))-ROW(Indicators!$I$5)+1,0)</f>
        <v>3846375</v>
      </c>
      <c r="AN35" s="369">
        <f>LARGE(Indicators!$I$5:$I$38,ROWS(Graphs!$AN$3:$AN35)-1)</f>
        <v>0</v>
      </c>
      <c r="AO35" s="371"/>
      <c r="AP35" s="366" t="str">
        <f>PROPER(TRIM(INDEX('FR Y-15 Data'!$A$1:$A$36,MATCH(AQ35,'FR Y-15 Data'!$C$1:$C$66,0))))</f>
        <v>State Street Corporation</v>
      </c>
      <c r="AQ35" s="367">
        <f t="array" ref="AQ35">INDEX(Indicators!$C$5:$C$38,SMALL(IF(Indicators!$J$5:$J$38=Graphs!AR35,ROW(Indicators!$J$5:$J$38),""),COUNTIF(Graphs!$AR$4:AR35,Graphs!AR35))-ROW(Indicators!$J$5)+1,0)</f>
        <v>1111435</v>
      </c>
      <c r="AR35" s="369">
        <f>LARGE(Indicators!$J$5:$J$38,ROWS(Graphs!$AR$3:$AR35)-1)</f>
        <v>0</v>
      </c>
      <c r="AS35" s="371"/>
      <c r="AT35" s="366" t="str">
        <f>PROPER(TRIM(INDEX('FR Y-15 Data'!$A$1:$A$36,MATCH(AU35,'FR Y-15 Data'!$C$1:$C$66,0))))</f>
        <v>Deutsche Bank Trust Corporation</v>
      </c>
      <c r="AU35" s="367">
        <f t="array" ref="AU35">INDEX(Indicators!$C$5:$C$38,SMALL(IF(Indicators!$K$5:$K$38=Graphs!AV35,ROW(Indicators!$K$5:$K$38),""),COUNTIF(Graphs!$AV$4:AV35,Graphs!AV35))-ROW(Indicators!$K$5)+1,0)</f>
        <v>1032473</v>
      </c>
      <c r="AV35" s="369">
        <f>LARGE(Indicators!$K$5:$K$38,ROWS(Graphs!$AV$3:$AV35)-1)</f>
        <v>9046</v>
      </c>
      <c r="AW35" s="371"/>
      <c r="AX35" s="366" t="str">
        <f>PROPER(TRIM(INDEX('FR Y-15 Data'!$A$1:$A$36,MATCH(AY35,'FR Y-15 Data'!$C$1:$C$66,0))))</f>
        <v>Discover Financial Services</v>
      </c>
      <c r="AY35" s="367">
        <f t="array" ref="AY35">INDEX(Indicators!$C$5:$C$38,SMALL(IF(Indicators!$L$5:$L$38=Graphs!AZ35,ROW(Indicators!$L$5:$L$38),""),COUNTIF(Graphs!$AZ$4:AZ35,Graphs!AZ35))-ROW(Indicators!$L$5)+1,0)</f>
        <v>3846375</v>
      </c>
      <c r="AZ35" s="369">
        <f>LARGE(Indicators!$L$5:$L$38,ROWS(Graphs!$AZ$3:$AZ35)-1)</f>
        <v>432.589</v>
      </c>
      <c r="BA35" s="371"/>
      <c r="BB35" s="366" t="str">
        <f>PROPER(TRIM(INDEX('FR Y-15 Data'!$A$1:$A$36,MATCH(BC35,'FR Y-15 Data'!$C$1:$C$66,0))))</f>
        <v>Citizens Financial Group, Inc.</v>
      </c>
      <c r="BC35" s="367">
        <f t="array" ref="BC35">INDEX(Indicators!$C$5:$C$38,SMALL(IF(Indicators!$M$5:$M$38=Graphs!BD35,ROW(Indicators!$M$5:$M$38),""),COUNTIF(Graphs!$BD$4:BD35,Graphs!BD35))-ROW(Indicators!$M$5)+1,0)</f>
        <v>1132449</v>
      </c>
      <c r="BD35" s="369">
        <f>LARGE(Indicators!$M$5:$M$38,ROWS(Graphs!$BD$3:$BD35)-1)</f>
        <v>0.86</v>
      </c>
      <c r="BE35" s="371"/>
      <c r="BF35" s="366" t="str">
        <f>PROPER(TRIM(INDEX('FR Y-15 Data'!$A$1:$A$36,MATCH(BG35,'FR Y-15 Data'!$C$1:$C$66,0))))</f>
        <v>Discover Financial Services</v>
      </c>
      <c r="BG35" s="367">
        <f t="array" ref="BG35">INDEX(Indicators!$C$5:$C$38,SMALL(IF(Indicators!$N$5:$N$38=Graphs!BH35,ROW(Indicators!$N$5:$N$38),""),COUNTIF(Graphs!$BH$4:BH35,Graphs!BH35))-ROW(Indicators!$N$5)+1,0)</f>
        <v>3846375</v>
      </c>
      <c r="BH35" s="369">
        <f>LARGE(Indicators!$N$5:$N$38,ROWS(Graphs!$BH$3:$BH35)-1)</f>
        <v>129</v>
      </c>
      <c r="BI35" s="371"/>
      <c r="BJ35" s="366" t="str">
        <f>PROPER(TRIM(INDEX('FR Y-15 Data'!$A$1:$A$36,MATCH(BK35,'FR Y-15 Data'!$C$1:$C$66,0))))</f>
        <v>Deutsche Bank Trust Corporation</v>
      </c>
      <c r="BK35" s="367">
        <f t="array" ref="BK35">INDEX(Indicators!$C$5:$C$38,SMALL(IF(Indicators!$O$5:$O$38=Graphs!BL35,ROW(Indicators!$O$5:$O$38),""),COUNTIF(Graphs!$BL$4:BL35,Graphs!BL35))-ROW(Indicators!$O$5)+1,0)</f>
        <v>1032473</v>
      </c>
      <c r="BL35" s="369">
        <f>LARGE(Indicators!$O$5:$O$38,ROWS(Graphs!$BL$3:$BL35)-1)</f>
        <v>1</v>
      </c>
      <c r="BM35" s="371"/>
      <c r="BN35" s="366" t="str">
        <f>PROPER(TRIM(INDEX('FR Y-15 Data'!$A$1:$A$36,MATCH(BO35,'FR Y-15 Data'!$C$1:$C$66,0))))</f>
        <v>Wells Fargo &amp; Company</v>
      </c>
      <c r="BO35" s="367">
        <f t="array" ref="BO35">INDEX(Scores!$C$10:$C$43,SMALL(IF(Scores!$P$10:$P$43=Graphs!BP35,ROW(Scores!$P$10:$P$43),""),COUNTIF(Graphs!$BP$4:BP35,Graphs!BP35))-ROW(Scores!$P$10)+1,0)</f>
        <v>1120754</v>
      </c>
      <c r="BP35" s="372">
        <f>LARGE(Scores!$P$10:$P$64,ROWS($BP$3:$BP35)-1)</f>
        <v>0</v>
      </c>
      <c r="BQ35" s="55"/>
      <c r="BR35" s="55"/>
      <c r="BS35" s="55"/>
      <c r="BT35" s="55"/>
      <c r="BU35" s="55"/>
      <c r="BV35" s="55"/>
      <c r="BW35" s="55"/>
    </row>
    <row r="36" spans="18:75" ht="15" customHeight="1">
      <c r="R36" s="366" t="str">
        <f>PROPER(TRIM(INDEX('FR Y-15 Data'!$A$1:$A$36,MATCH(S36,'FR Y-15 Data'!$C$1:$C$66,0))))</f>
        <v>Deutsche Bank Trust Corporation</v>
      </c>
      <c r="S36" s="367">
        <f t="array" ref="S36">INDEX(Indicators!$C$5:$C$38,SMALL(IF(Indicators!$D$5:$D$38=Graphs!T36,ROW(Indicators!$D$5:$D$38),""),COUNTIF(Graphs!$T$4:T36,Graphs!T36))-ROW(Indicators!$D$5)+1,0)</f>
        <v>1032473</v>
      </c>
      <c r="T36" s="369">
        <f>LARGE(Indicators!$D$5:$D$38,ROWS(Graphs!$T$3:$T36)-1)</f>
        <v>52700.800000000003</v>
      </c>
      <c r="U36" s="370"/>
      <c r="V36" s="366" t="str">
        <f>PROPER(TRIM(INDEX('FR Y-15 Data'!$A$1:$A$36,MATCH(W36,'FR Y-15 Data'!$C$1:$C$66,0))))</f>
        <v>Bancwest Corporation</v>
      </c>
      <c r="W36" s="367">
        <f t="array" ref="W36">INDEX(Indicators!$C$5:$C$38,SMALL(IF(Indicators!$E$5:$E$38=Graphs!X36,ROW(Indicators!$E$5:$E$38),""),COUNTIF(Graphs!$X$4:X36,Graphs!X36))-ROW(Indicators!$E$5)+1,0)</f>
        <v>1025608</v>
      </c>
      <c r="X36" s="369">
        <f>LARGE(Indicators!$E$5:$E$38,ROWS(Graphs!$X$3:$X36)-1)</f>
        <v>1295.7629999999999</v>
      </c>
      <c r="Y36" s="370"/>
      <c r="Z36" s="366" t="str">
        <f>PROPER(TRIM(INDEX('FR Y-15 Data'!$A$1:$A$36,MATCH(AA36,'FR Y-15 Data'!$C$1:$C$66,0))))</f>
        <v>Discover Financial Services</v>
      </c>
      <c r="AA36" s="367">
        <f t="array" ref="AA36">INDEX(Indicators!$C$5:$C$38,SMALL(IF(Indicators!$F$5:$F$38=Graphs!AB36,ROW(Indicators!$F$5:$F$38),""),COUNTIF(Graphs!$AB$4:AB36,Graphs!AB36))-ROW(Indicators!$F$5)+1,0)</f>
        <v>3846375</v>
      </c>
      <c r="AB36" s="369">
        <f>LARGE(Indicators!$F$5:$F$38,ROWS(Graphs!$AB$3:$AB36)-1)</f>
        <v>233.917</v>
      </c>
      <c r="AC36" s="370"/>
      <c r="AD36" s="366" t="str">
        <f>PROPER(TRIM(INDEX('FR Y-15 Data'!$A$1:$A$36,MATCH(AE36,'FR Y-15 Data'!$C$1:$C$66,0))))</f>
        <v>Deutsche Bank Trust Corporation</v>
      </c>
      <c r="AE36" s="367">
        <f t="array" ref="AE36">INDEX(Indicators!$C$5:$C$38,SMALL(IF(Indicators!$G$5:$G$38=Graphs!AF36,ROW(Indicators!$G$5:$G$38),""),COUNTIF(Graphs!$AF$4:AF36,Graphs!AF36))-ROW(Indicators!$G$5)+1,0)</f>
        <v>1032473</v>
      </c>
      <c r="AF36" s="369">
        <f>LARGE(Indicators!$G$5:$G$38,ROWS(Graphs!$AF$3:$AF36)-1)</f>
        <v>158.5</v>
      </c>
      <c r="AG36" s="371"/>
      <c r="AH36" s="366" t="str">
        <f>PROPER(TRIM(INDEX('FR Y-15 Data'!$A$1:$A$36,MATCH(AI36,'FR Y-15 Data'!$C$1:$C$66,0))))</f>
        <v>Santander Holdings Usa, Inc.</v>
      </c>
      <c r="AI36" s="367">
        <f t="array" ref="AI36">INDEX(Indicators!$C$5:$C$38,SMALL(IF(Indicators!$H$5:$H$38=Graphs!AJ36,ROW(Indicators!$H$5:$H$38),""),COUNTIF(Graphs!$AJ$4:AJ36,Graphs!AJ36))-ROW(Indicators!$H$5)+1,0)</f>
        <v>3981856</v>
      </c>
      <c r="AJ36" s="369">
        <f>LARGE(Indicators!$H$5:$H$38,ROWS(Graphs!$AJ$3:$AJ36)-1)</f>
        <v>51581.190999999999</v>
      </c>
      <c r="AK36" s="371"/>
      <c r="AL36" s="366" t="str">
        <f>PROPER(TRIM(INDEX('FR Y-15 Data'!$A$1:$A$36,MATCH(AM36,'FR Y-15 Data'!$C$1:$C$66,0))))</f>
        <v>Santander Holdings Usa, Inc.</v>
      </c>
      <c r="AM36" s="367">
        <f t="array" ref="AM36">INDEX(Indicators!$C$5:$C$38,SMALL(IF(Indicators!$I$5:$I$38=Graphs!AN36,ROW(Indicators!$I$5:$I$38),""),COUNTIF(Graphs!$AN$4:AN36,Graphs!AN36))-ROW(Indicators!$I$5)+1,0)</f>
        <v>3981856</v>
      </c>
      <c r="AN36" s="369">
        <f>LARGE(Indicators!$I$5:$I$38,ROWS(Graphs!$AN$3:$AN36)-1)</f>
        <v>0</v>
      </c>
      <c r="AO36" s="371"/>
      <c r="AP36" s="366" t="str">
        <f>PROPER(TRIM(INDEX('FR Y-15 Data'!$A$1:$A$36,MATCH(AQ36,'FR Y-15 Data'!$C$1:$C$66,0))))</f>
        <v>Td Bank Us Holding Company</v>
      </c>
      <c r="AQ36" s="367">
        <f t="array" ref="AQ36">INDEX(Indicators!$C$5:$C$38,SMALL(IF(Indicators!$J$5:$J$38=Graphs!AR36,ROW(Indicators!$J$5:$J$38),""),COUNTIF(Graphs!$AR$4:AR36,Graphs!AR36))-ROW(Indicators!$J$5)+1,0)</f>
        <v>1249196</v>
      </c>
      <c r="AR36" s="369">
        <f>LARGE(Indicators!$J$5:$J$38,ROWS(Graphs!$AR$3:$AR36)-1)</f>
        <v>0</v>
      </c>
      <c r="AS36" s="371"/>
      <c r="AT36" s="366" t="str">
        <f>PROPER(TRIM(INDEX('FR Y-15 Data'!$A$1:$A$36,MATCH(AU36,'FR Y-15 Data'!$C$1:$C$66,0))))</f>
        <v>Zions Bancorporation</v>
      </c>
      <c r="AU36" s="367">
        <f t="array" ref="AU36">INDEX(Indicators!$C$5:$C$38,SMALL(IF(Indicators!$K$5:$K$38=Graphs!AV36,ROW(Indicators!$K$5:$K$38),""),COUNTIF(Graphs!$AV$4:AV36,Graphs!AV36))-ROW(Indicators!$K$5)+1,0)</f>
        <v>1027004</v>
      </c>
      <c r="AV36" s="369">
        <f>LARGE(Indicators!$K$5:$K$38,ROWS(Graphs!$AV$3:$AV36)-1)</f>
        <v>3070.0520000000001</v>
      </c>
      <c r="AW36" s="371"/>
      <c r="AX36" s="366" t="str">
        <f>PROPER(TRIM(INDEX('FR Y-15 Data'!$A$1:$A$36,MATCH(AY36,'FR Y-15 Data'!$C$1:$C$66,0))))</f>
        <v>Deutsche Bank Trust Corporation</v>
      </c>
      <c r="AY36" s="367">
        <f t="array" ref="AY36">INDEX(Indicators!$C$5:$C$38,SMALL(IF(Indicators!$L$5:$L$38=Graphs!AZ36,ROW(Indicators!$L$5:$L$38),""),COUNTIF(Graphs!$AZ$4:AZ36,Graphs!AZ36))-ROW(Indicators!$L$5)+1,0)</f>
        <v>1032473</v>
      </c>
      <c r="AZ36" s="369">
        <f>LARGE(Indicators!$L$5:$L$38,ROWS(Graphs!$AZ$3:$AZ36)-1)</f>
        <v>0.9</v>
      </c>
      <c r="BA36" s="371"/>
      <c r="BB36" s="366" t="str">
        <f>PROPER(TRIM(INDEX('FR Y-15 Data'!$A$1:$A$36,MATCH(BC36,'FR Y-15 Data'!$C$1:$C$66,0))))</f>
        <v>American Express Company</v>
      </c>
      <c r="BC36" s="367">
        <f t="array" ref="BC36">INDEX(Indicators!$C$5:$C$38,SMALL(IF(Indicators!$M$5:$M$38=Graphs!BD36,ROW(Indicators!$M$5:$M$38),""),COUNTIF(Graphs!$BD$4:BD36,Graphs!BD36))-ROW(Indicators!$M$5)+1,0)</f>
        <v>1275216</v>
      </c>
      <c r="BD36" s="369">
        <f>LARGE(Indicators!$M$5:$M$38,ROWS(Graphs!$BD$3:$BD36)-1)</f>
        <v>0</v>
      </c>
      <c r="BE36" s="371"/>
      <c r="BF36" s="366" t="str">
        <f>PROPER(TRIM(INDEX('FR Y-15 Data'!$A$1:$A$36,MATCH(BG36,'FR Y-15 Data'!$C$1:$C$66,0))))</f>
        <v>Zions Bancorporation</v>
      </c>
      <c r="BG36" s="367">
        <f t="array" ref="BG36">INDEX(Indicators!$C$5:$C$38,SMALL(IF(Indicators!$N$5:$N$38=Graphs!BH36,ROW(Indicators!$N$5:$N$38),""),COUNTIF(Graphs!$BH$4:BH36,Graphs!BH36))-ROW(Indicators!$N$5)+1,0)</f>
        <v>1027004</v>
      </c>
      <c r="BH36" s="369">
        <f>LARGE(Indicators!$N$5:$N$38,ROWS(Graphs!$BH$3:$BH36)-1)</f>
        <v>95.17</v>
      </c>
      <c r="BI36" s="371"/>
      <c r="BJ36" s="366" t="str">
        <f>PROPER(TRIM(INDEX('FR Y-15 Data'!$A$1:$A$36,MATCH(BK36,'FR Y-15 Data'!$C$1:$C$66,0))))</f>
        <v>Huntington Bancshares Incorporated</v>
      </c>
      <c r="BK36" s="367">
        <f t="array" ref="BK36">INDEX(Indicators!$C$5:$C$38,SMALL(IF(Indicators!$O$5:$O$38=Graphs!BL36,ROW(Indicators!$O$5:$O$38),""),COUNTIF(Graphs!$BL$4:BL36,Graphs!BL36))-ROW(Indicators!$O$5)+1,0)</f>
        <v>1068191</v>
      </c>
      <c r="BL36" s="369">
        <f>LARGE(Indicators!$O$5:$O$38,ROWS(Graphs!$BL$3:$BL36)-1)</f>
        <v>0</v>
      </c>
      <c r="BM36" s="371"/>
      <c r="BN36" s="366" t="str">
        <f>PROPER(TRIM(INDEX('FR Y-15 Data'!$A$1:$A$36,MATCH(BO36,'FR Y-15 Data'!$C$1:$C$66,0))))</f>
        <v>Zions Bancorporation</v>
      </c>
      <c r="BO36" s="367">
        <f t="array" ref="BO36">INDEX(Scores!$C$10:$C$43,SMALL(IF(Scores!$P$10:$P$43=Graphs!BP36,ROW(Scores!$P$10:$P$43),""),COUNTIF(Graphs!$BP$4:BP36,Graphs!BP36))-ROW(Scores!$P$10)+1,0)</f>
        <v>1027004</v>
      </c>
      <c r="BP36" s="372">
        <f>LARGE(Scores!$P$10:$P$64,ROWS($BP$3:$BP36)-1)</f>
        <v>0</v>
      </c>
      <c r="BQ36" s="55"/>
      <c r="BR36" s="55"/>
      <c r="BS36" s="55"/>
      <c r="BT36" s="55"/>
      <c r="BU36" s="55"/>
      <c r="BV36" s="55"/>
      <c r="BW36" s="55"/>
    </row>
    <row r="37" spans="18:75" ht="15" customHeight="1">
      <c r="BQ37" s="55"/>
      <c r="BR37" s="55"/>
      <c r="BS37" s="55"/>
      <c r="BT37" s="55"/>
      <c r="BU37" s="55"/>
      <c r="BV37" s="55"/>
      <c r="BW37" s="55"/>
    </row>
    <row r="38" spans="18:75" ht="15" customHeight="1">
      <c r="R38" s="64"/>
      <c r="S38" s="65"/>
      <c r="T38" s="63"/>
      <c r="U38" s="55"/>
      <c r="V38" s="64"/>
      <c r="W38" s="65"/>
      <c r="X38" s="63"/>
      <c r="Y38" s="55"/>
      <c r="Z38" s="64"/>
      <c r="AA38" s="65"/>
      <c r="AB38" s="63"/>
      <c r="AC38" s="55"/>
      <c r="AD38" s="64"/>
      <c r="AE38" s="65"/>
      <c r="AF38" s="63"/>
      <c r="AG38" s="55"/>
      <c r="AH38" s="64"/>
      <c r="AI38" s="65"/>
      <c r="AJ38" s="63"/>
      <c r="AK38" s="55"/>
      <c r="AL38" s="64"/>
      <c r="AM38" s="65"/>
      <c r="AN38" s="63"/>
      <c r="AO38" s="55"/>
      <c r="AP38" s="64"/>
      <c r="AQ38" s="65"/>
      <c r="AR38" s="63"/>
      <c r="AS38" s="55"/>
      <c r="AT38" s="64"/>
      <c r="AU38" s="65"/>
      <c r="AV38" s="63"/>
      <c r="AW38" s="55"/>
      <c r="AX38" s="64" t="str">
        <f>IF($AZ38=0,"",TRIM(INDEX('FR Y-15 Data'!$A$1:$A$36,MATCH(AY38,'FR Y-15 Data'!$C$1:$C$66,0))))</f>
        <v/>
      </c>
      <c r="AY38" s="65"/>
      <c r="AZ38" s="63"/>
      <c r="BA38" s="55"/>
      <c r="BB38" s="64"/>
      <c r="BC38" s="65"/>
      <c r="BD38" s="63"/>
      <c r="BE38" s="55"/>
      <c r="BF38" s="64"/>
      <c r="BG38" s="65"/>
      <c r="BH38" s="63"/>
      <c r="BI38" s="55"/>
      <c r="BJ38" s="64"/>
      <c r="BK38" s="65"/>
      <c r="BL38" s="63"/>
      <c r="BM38" s="55"/>
      <c r="BN38" s="64"/>
      <c r="BO38" s="65"/>
      <c r="BP38" s="66"/>
      <c r="BQ38" s="55"/>
      <c r="BR38" s="55"/>
      <c r="BS38" s="55"/>
      <c r="BT38" s="55"/>
      <c r="BU38" s="55"/>
      <c r="BV38" s="55"/>
      <c r="BW38" s="55"/>
    </row>
    <row r="39" spans="18:75" ht="15" customHeight="1">
      <c r="R39" s="60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</row>
    <row r="40" spans="18:75" ht="15" customHeight="1"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</row>
    <row r="41" spans="18:75" ht="15" customHeight="1"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</row>
    <row r="42" spans="18:75" ht="15" customHeight="1"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</row>
    <row r="43" spans="18:75" ht="15" customHeight="1"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</row>
    <row r="44" spans="18:75" ht="15" customHeight="1"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</row>
    <row r="45" spans="18:75" ht="15" customHeight="1"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</row>
    <row r="46" spans="18:75" ht="15" customHeight="1"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395"/>
      <c r="AT46" s="395"/>
      <c r="AU46" s="395"/>
      <c r="AV46" s="395"/>
      <c r="AW46" s="395"/>
      <c r="AX46" s="395"/>
      <c r="AY46" s="395"/>
      <c r="AZ46" s="395"/>
      <c r="BA46" s="395"/>
      <c r="BB46" s="395"/>
      <c r="BC46" s="395"/>
      <c r="BD46" s="395"/>
      <c r="BE46" s="395"/>
      <c r="BF46" s="39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</row>
    <row r="47" spans="18:75" ht="15" customHeight="1"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</row>
    <row r="48" spans="18:75" ht="15" customHeight="1"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</row>
    <row r="49" spans="2:75" ht="15" customHeight="1"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</row>
    <row r="50" spans="2:75" ht="15" customHeight="1"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</row>
    <row r="51" spans="2:75" ht="15" customHeight="1"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</row>
    <row r="52" spans="2:75" ht="15" customHeight="1"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</row>
    <row r="53" spans="2:75" ht="15" customHeight="1"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</row>
    <row r="54" spans="2:75" ht="15" customHeight="1"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</row>
    <row r="55" spans="2:75" ht="15" customHeight="1">
      <c r="B55" s="398" t="str">
        <f>Z2</f>
        <v>Graph 3: Intra-Financial System Liabilities (millions of USD)</v>
      </c>
      <c r="C55" s="398"/>
      <c r="D55" s="398"/>
      <c r="E55" s="398"/>
      <c r="F55" s="398"/>
      <c r="G55" s="398"/>
      <c r="H55" s="398"/>
      <c r="I55" s="398"/>
      <c r="J55" s="398"/>
      <c r="K55" s="398"/>
      <c r="L55" s="398"/>
      <c r="M55" s="398"/>
      <c r="N55" s="398"/>
      <c r="O55" s="398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</row>
    <row r="56" spans="2:75" ht="15" customHeight="1"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</row>
    <row r="57" spans="2:75" ht="15" customHeight="1"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</row>
    <row r="58" spans="2:75" ht="15" customHeight="1"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</row>
    <row r="59" spans="2:75" ht="15" customHeight="1"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</row>
    <row r="60" spans="2:75" ht="15" customHeight="1"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</row>
    <row r="61" spans="2:75" ht="15" customHeight="1"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</row>
    <row r="62" spans="2:75" ht="15" customHeight="1"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</row>
    <row r="63" spans="2:75" ht="15" customHeight="1"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</row>
    <row r="64" spans="2:75" ht="15" customHeight="1"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</row>
    <row r="65" spans="2:75" ht="15" customHeight="1"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</row>
    <row r="66" spans="2:75" ht="15" customHeight="1"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</row>
    <row r="67" spans="2:75" ht="15" customHeight="1"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BR67" s="55"/>
      <c r="BS67" s="55"/>
      <c r="BT67" s="55"/>
      <c r="BU67" s="55"/>
      <c r="BV67" s="55"/>
      <c r="BW67" s="55"/>
    </row>
    <row r="68" spans="2:75" ht="15" customHeight="1"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</row>
    <row r="69" spans="2:75" ht="15" customHeight="1"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</row>
    <row r="70" spans="2:75" ht="15" customHeight="1"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</row>
    <row r="71" spans="2:75" ht="15" customHeight="1"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</row>
    <row r="72" spans="2:75" ht="15" customHeight="1"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</row>
    <row r="73" spans="2:75" ht="15" customHeight="1"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</row>
    <row r="74" spans="2:75" ht="15" customHeight="1">
      <c r="R74" s="60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</row>
    <row r="75" spans="2:75" ht="15" customHeight="1">
      <c r="R75" s="60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</row>
    <row r="76" spans="2:75" ht="15" customHeight="1"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</row>
    <row r="77" spans="2:75" ht="15" customHeight="1"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</row>
    <row r="78" spans="2:75" ht="15" customHeight="1"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</row>
    <row r="79" spans="2:75" ht="15" customHeight="1"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</row>
    <row r="80" spans="2:75" ht="15" customHeight="1">
      <c r="B80" s="402" t="str">
        <f>AD2</f>
        <v>Graph 4: Securities Outstanding (millions of USD)</v>
      </c>
      <c r="C80" s="402"/>
      <c r="D80" s="402"/>
      <c r="E80" s="402"/>
      <c r="F80" s="402"/>
      <c r="G80" s="402"/>
      <c r="H80" s="402"/>
      <c r="I80" s="402"/>
      <c r="J80" s="402"/>
      <c r="K80" s="402"/>
      <c r="L80" s="402"/>
      <c r="M80" s="402"/>
      <c r="N80" s="402"/>
      <c r="O80" s="402"/>
      <c r="Z80" s="55"/>
      <c r="AA80" s="64"/>
      <c r="AB80" s="65"/>
      <c r="AC80" s="66"/>
      <c r="AD80" s="55"/>
      <c r="AE80" s="55"/>
      <c r="AF80" s="55"/>
      <c r="AG80" s="55"/>
      <c r="AH80" s="55"/>
      <c r="AI80" s="55"/>
      <c r="AJ80" s="55"/>
      <c r="AK80" s="55"/>
      <c r="AL80" s="55"/>
    </row>
    <row r="81" spans="26:38" ht="15" customHeight="1"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</row>
    <row r="82" spans="26:38" ht="15" customHeight="1"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</row>
    <row r="83" spans="26:38" ht="15" customHeight="1"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</row>
    <row r="84" spans="26:38" ht="15" customHeight="1"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</row>
    <row r="85" spans="26:38" ht="15" customHeight="1"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</row>
    <row r="86" spans="26:38" ht="15" customHeight="1"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</row>
    <row r="87" spans="26:38" ht="15" customHeight="1"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</row>
    <row r="88" spans="26:38" ht="15" customHeight="1"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</row>
    <row r="89" spans="26:38" ht="15" customHeight="1"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</row>
    <row r="90" spans="26:38" ht="15" customHeight="1"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</row>
    <row r="91" spans="26:38" ht="15" customHeight="1"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</row>
    <row r="92" spans="26:38" ht="15" customHeight="1"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</row>
    <row r="93" spans="26:38" ht="15" customHeight="1"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</row>
    <row r="94" spans="26:38" ht="15" customHeight="1"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</row>
    <row r="95" spans="26:38" ht="15" customHeight="1"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</row>
    <row r="96" spans="26:38" ht="15" customHeight="1"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</row>
    <row r="97" spans="2:38" ht="15" customHeight="1"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</row>
    <row r="98" spans="2:38" ht="15" customHeight="1"/>
    <row r="99" spans="2:38" ht="15" customHeight="1"/>
    <row r="100" spans="2:38" ht="15" customHeight="1"/>
    <row r="101" spans="2:38" ht="15" customHeight="1"/>
    <row r="102" spans="2:38" ht="15" customHeight="1">
      <c r="R102" s="60"/>
    </row>
    <row r="103" spans="2:38" ht="15" customHeight="1">
      <c r="R103" s="60"/>
    </row>
    <row r="104" spans="2:38" ht="15" customHeight="1">
      <c r="R104" s="60"/>
    </row>
    <row r="105" spans="2:38" ht="15" customHeight="1">
      <c r="R105" s="60"/>
    </row>
    <row r="106" spans="2:38" ht="15" customHeight="1"/>
    <row r="107" spans="2:38" ht="15" customHeight="1">
      <c r="B107" s="400" t="str">
        <f>AH2</f>
        <v>Graph 5: Payments (millions of USD)</v>
      </c>
      <c r="C107" s="400"/>
      <c r="D107" s="400"/>
      <c r="E107" s="400"/>
      <c r="F107" s="400"/>
      <c r="G107" s="400"/>
      <c r="H107" s="400"/>
      <c r="I107" s="400"/>
      <c r="J107" s="400"/>
      <c r="K107" s="400"/>
      <c r="L107" s="400"/>
      <c r="M107" s="400"/>
      <c r="N107" s="400"/>
      <c r="O107" s="400"/>
    </row>
    <row r="108" spans="2:38" ht="15" customHeight="1"/>
    <row r="109" spans="2:38" ht="15" customHeight="1"/>
    <row r="110" spans="2:38" ht="15" customHeight="1"/>
    <row r="111" spans="2:38" ht="15" customHeight="1"/>
    <row r="112" spans="2:38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spans="1:69" ht="15" customHeight="1"/>
    <row r="130" spans="1:69" ht="15" customHeight="1"/>
    <row r="131" spans="1:69" ht="15" customHeight="1"/>
    <row r="132" spans="1:69" ht="15" customHeight="1">
      <c r="B132" s="400" t="str">
        <f>AL2</f>
        <v>Graph 6: Assets Under Custody (millions of USD)</v>
      </c>
      <c r="C132" s="400"/>
      <c r="D132" s="400"/>
      <c r="E132" s="400"/>
      <c r="F132" s="400"/>
      <c r="G132" s="400"/>
      <c r="H132" s="400"/>
      <c r="I132" s="400"/>
      <c r="J132" s="400"/>
      <c r="K132" s="400"/>
      <c r="L132" s="400"/>
      <c r="M132" s="400"/>
      <c r="N132" s="400"/>
      <c r="O132" s="400"/>
    </row>
    <row r="133" spans="1:69" ht="15" customHeight="1"/>
    <row r="134" spans="1:69" ht="15" customHeight="1"/>
    <row r="135" spans="1:69" ht="15" customHeight="1"/>
    <row r="136" spans="1:69" ht="15" customHeight="1"/>
    <row r="137" spans="1:69" ht="15" customHeight="1"/>
    <row r="138" spans="1:69" ht="15" customHeight="1"/>
    <row r="139" spans="1:69" ht="15" customHeight="1"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</row>
    <row r="140" spans="1:69" s="55" customFormat="1" ht="1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</row>
    <row r="141" spans="1:69" ht="1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60"/>
    </row>
    <row r="142" spans="1:69" ht="15" customHeight="1"/>
    <row r="143" spans="1:69" ht="15" customHeight="1"/>
    <row r="144" spans="1:69" ht="15" customHeight="1"/>
    <row r="145" spans="2:15" ht="15" customHeight="1"/>
    <row r="146" spans="2:15" ht="15" customHeight="1"/>
    <row r="147" spans="2:15" ht="15" customHeight="1"/>
    <row r="148" spans="2:15" ht="15" customHeight="1"/>
    <row r="149" spans="2:15" ht="15" customHeight="1"/>
    <row r="150" spans="2:15" ht="15" customHeight="1"/>
    <row r="151" spans="2:15" ht="15" customHeight="1"/>
    <row r="152" spans="2:15" ht="15" customHeight="1"/>
    <row r="153" spans="2:15" ht="15" customHeight="1"/>
    <row r="154" spans="2:15" ht="15" customHeight="1"/>
    <row r="155" spans="2:15" ht="15" customHeight="1"/>
    <row r="156" spans="2:15" ht="15" customHeight="1"/>
    <row r="157" spans="2:15" ht="15" customHeight="1"/>
    <row r="158" spans="2:15" ht="15" customHeight="1"/>
    <row r="159" spans="2:15" ht="15" customHeight="1">
      <c r="B159" s="400" t="str">
        <f>AP2</f>
        <v>Graph 7: Underwriting (millions of USD)</v>
      </c>
      <c r="C159" s="400"/>
      <c r="D159" s="400"/>
      <c r="E159" s="400"/>
      <c r="F159" s="400"/>
      <c r="G159" s="400"/>
      <c r="H159" s="400"/>
      <c r="I159" s="400"/>
      <c r="J159" s="400"/>
      <c r="K159" s="400"/>
      <c r="L159" s="400"/>
      <c r="M159" s="400"/>
      <c r="N159" s="400"/>
      <c r="O159" s="400"/>
    </row>
    <row r="160" spans="2:15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spans="2:20" ht="15" customHeight="1"/>
    <row r="178" spans="2:20" ht="15" customHeight="1">
      <c r="R178" s="34"/>
      <c r="S178" s="5"/>
      <c r="T178" s="63"/>
    </row>
    <row r="179" spans="2:20" ht="15" customHeight="1">
      <c r="R179" s="61"/>
    </row>
    <row r="180" spans="2:20" ht="15" customHeight="1"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</row>
    <row r="181" spans="2:20" ht="15" customHeight="1"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</row>
    <row r="182" spans="2:20" ht="15" customHeight="1"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</row>
    <row r="183" spans="2:20" ht="15" customHeight="1"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</row>
    <row r="184" spans="2:20" ht="15" customHeight="1">
      <c r="B184" s="401" t="str">
        <f>AT2</f>
        <v>Graph 8: OTC Derivatives (millions of USD)</v>
      </c>
      <c r="C184" s="401"/>
      <c r="D184" s="401"/>
      <c r="E184" s="401"/>
      <c r="F184" s="401"/>
      <c r="G184" s="401"/>
      <c r="H184" s="401"/>
      <c r="I184" s="401"/>
      <c r="J184" s="401"/>
      <c r="K184" s="401"/>
      <c r="L184" s="401"/>
      <c r="M184" s="401"/>
      <c r="N184" s="401"/>
      <c r="O184" s="401"/>
      <c r="P184" s="55"/>
      <c r="Q184" s="55"/>
    </row>
    <row r="185" spans="2:20" ht="15" customHeight="1"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</row>
    <row r="186" spans="2:20" ht="15" customHeight="1"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</row>
    <row r="187" spans="2:20" ht="15" customHeight="1"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</row>
    <row r="188" spans="2:20" ht="15" customHeight="1"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</row>
    <row r="189" spans="2:20" ht="15" customHeight="1"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</row>
    <row r="190" spans="2:20" ht="15" customHeight="1"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</row>
    <row r="191" spans="2:20" ht="15" customHeight="1">
      <c r="B191" s="55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</row>
    <row r="192" spans="2:20" ht="15" customHeight="1">
      <c r="B192" s="55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</row>
    <row r="193" spans="2:17" ht="15" customHeight="1"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</row>
    <row r="194" spans="2:17" ht="15" customHeight="1"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</row>
    <row r="195" spans="2:17" ht="15" customHeight="1">
      <c r="B195" s="55"/>
      <c r="C195" s="55"/>
      <c r="D195" s="56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</row>
    <row r="196" spans="2:17" ht="15" customHeight="1"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</row>
    <row r="197" spans="2:17" ht="15" customHeight="1"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</row>
    <row r="198" spans="2:17" ht="15" customHeight="1"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</row>
    <row r="199" spans="2:17" ht="15" customHeight="1"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</row>
    <row r="200" spans="2:17" ht="15" customHeight="1"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</row>
    <row r="201" spans="2:17" ht="15" customHeight="1"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</row>
    <row r="202" spans="2:17" ht="15" customHeight="1"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</row>
    <row r="203" spans="2:17" ht="15" customHeight="1"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</row>
    <row r="204" spans="2:17" ht="15" customHeight="1"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</row>
    <row r="205" spans="2:17" ht="15" customHeight="1"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</row>
    <row r="206" spans="2:17" ht="15" customHeight="1"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</row>
    <row r="207" spans="2:17" ht="15" customHeight="1"/>
    <row r="208" spans="2:17" ht="15" customHeight="1"/>
    <row r="209" spans="1:18" ht="15" customHeight="1"/>
    <row r="210" spans="1:18" ht="15" customHeight="1"/>
    <row r="211" spans="1:18" ht="15" customHeight="1">
      <c r="B211" s="401" t="str">
        <f>AX2</f>
        <v>Graph 9: Trading and AFS Securities (millions of USD)</v>
      </c>
      <c r="C211" s="401"/>
      <c r="D211" s="401"/>
      <c r="E211" s="401"/>
      <c r="F211" s="401"/>
      <c r="G211" s="401"/>
      <c r="H211" s="401"/>
      <c r="I211" s="401"/>
      <c r="J211" s="401"/>
      <c r="K211" s="401"/>
      <c r="L211" s="401"/>
      <c r="M211" s="401"/>
      <c r="N211" s="401"/>
      <c r="O211" s="401"/>
    </row>
    <row r="212" spans="1:18" ht="15" customHeight="1"/>
    <row r="213" spans="1:18" ht="15" customHeight="1"/>
    <row r="214" spans="1:18" ht="15" customHeight="1"/>
    <row r="215" spans="1:18" ht="15" customHeight="1">
      <c r="R215" s="60"/>
    </row>
    <row r="216" spans="1:18" ht="15" customHeight="1">
      <c r="R216" s="60"/>
    </row>
    <row r="217" spans="1:18" ht="1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</row>
    <row r="218" spans="1:18" ht="1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</row>
    <row r="219" spans="1:18" ht="1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</row>
    <row r="220" spans="1:18" ht="15" customHeight="1">
      <c r="A220" s="55"/>
    </row>
    <row r="221" spans="1:18" ht="1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</row>
    <row r="222" spans="1:18" ht="1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</row>
    <row r="223" spans="1:18" ht="1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</row>
    <row r="224" spans="1:18" ht="1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</row>
    <row r="225" spans="2:15" ht="15" customHeight="1"/>
    <row r="226" spans="2:15" ht="15" customHeight="1"/>
    <row r="227" spans="2:15" ht="15" customHeight="1"/>
    <row r="228" spans="2:15" ht="15" customHeight="1"/>
    <row r="229" spans="2:15" ht="15" customHeight="1"/>
    <row r="230" spans="2:15" ht="15" customHeight="1"/>
    <row r="231" spans="2:15" ht="15" customHeight="1"/>
    <row r="232" spans="2:15" ht="15" customHeight="1"/>
    <row r="233" spans="2:15" ht="15" customHeight="1"/>
    <row r="234" spans="2:15" ht="15" customHeight="1"/>
    <row r="235" spans="2:15" ht="15" customHeight="1"/>
    <row r="236" spans="2:15" ht="15" customHeight="1">
      <c r="B236" s="401" t="str">
        <f>BB2</f>
        <v>Graph 10: Level 3 Assets (millions of USD)</v>
      </c>
      <c r="C236" s="401"/>
      <c r="D236" s="401"/>
      <c r="E236" s="401"/>
      <c r="F236" s="401"/>
      <c r="G236" s="401"/>
      <c r="H236" s="401"/>
      <c r="I236" s="401"/>
      <c r="J236" s="401"/>
      <c r="K236" s="401"/>
      <c r="L236" s="401"/>
      <c r="M236" s="401"/>
      <c r="N236" s="401"/>
      <c r="O236" s="401"/>
    </row>
    <row r="237" spans="2:15" ht="15" customHeight="1"/>
    <row r="238" spans="2:15" ht="15" customHeight="1"/>
    <row r="239" spans="2:15" ht="15" customHeight="1"/>
    <row r="240" spans="2:15" ht="15" customHeight="1"/>
    <row r="241" spans="18:18" ht="15" customHeight="1"/>
    <row r="242" spans="18:18" ht="15" customHeight="1"/>
    <row r="243" spans="18:18" ht="15" customHeight="1"/>
    <row r="244" spans="18:18" ht="15" customHeight="1"/>
    <row r="245" spans="18:18" ht="15" customHeight="1"/>
    <row r="246" spans="18:18" ht="15" customHeight="1"/>
    <row r="247" spans="18:18" ht="15" customHeight="1"/>
    <row r="248" spans="18:18" ht="15" customHeight="1"/>
    <row r="249" spans="18:18" ht="15" customHeight="1"/>
    <row r="250" spans="18:18" ht="15" customHeight="1"/>
    <row r="251" spans="18:18" ht="15" customHeight="1">
      <c r="R251" s="60"/>
    </row>
    <row r="252" spans="18:18" ht="15" customHeight="1">
      <c r="R252" s="60"/>
    </row>
    <row r="253" spans="18:18" ht="15" customHeight="1"/>
    <row r="254" spans="18:18" ht="15" customHeight="1"/>
    <row r="255" spans="18:18" ht="15" customHeight="1"/>
    <row r="256" spans="18:18" ht="15" customHeight="1"/>
    <row r="257" spans="2:15" ht="15" customHeight="1"/>
    <row r="258" spans="2:15" ht="15" customHeight="1"/>
    <row r="259" spans="2:15" ht="15" customHeight="1"/>
    <row r="260" spans="2:15" ht="15" customHeight="1"/>
    <row r="261" spans="2:15" ht="15" customHeight="1"/>
    <row r="262" spans="2:15" ht="15" customHeight="1"/>
    <row r="263" spans="2:15" ht="15" customHeight="1">
      <c r="B263" s="399" t="str">
        <f>BF2</f>
        <v>Graph 11: Cross-Jurisdictional Claims (millions of USD)</v>
      </c>
      <c r="C263" s="399"/>
      <c r="D263" s="399"/>
      <c r="E263" s="399"/>
      <c r="F263" s="399"/>
      <c r="G263" s="399"/>
      <c r="H263" s="399"/>
      <c r="I263" s="399"/>
      <c r="J263" s="399"/>
      <c r="K263" s="399"/>
      <c r="L263" s="399"/>
      <c r="M263" s="399"/>
      <c r="N263" s="399"/>
      <c r="O263" s="399"/>
    </row>
    <row r="264" spans="2:15" ht="15" customHeight="1"/>
    <row r="265" spans="2:15" ht="15" customHeight="1"/>
    <row r="266" spans="2:15" ht="15" customHeight="1"/>
    <row r="267" spans="2:15" ht="15" customHeight="1"/>
    <row r="268" spans="2:15" ht="15" customHeight="1"/>
    <row r="269" spans="2:15" ht="15" customHeight="1"/>
    <row r="270" spans="2:15" ht="15" customHeight="1"/>
    <row r="271" spans="2:15" ht="15" customHeight="1"/>
    <row r="272" spans="2:15" ht="15" customHeight="1"/>
    <row r="273" spans="2:20" ht="15" customHeight="1"/>
    <row r="274" spans="2:20" ht="15" customHeight="1"/>
    <row r="275" spans="2:20" ht="15" customHeight="1"/>
    <row r="276" spans="2:20" ht="15" customHeight="1"/>
    <row r="277" spans="2:20" ht="15" customHeight="1"/>
    <row r="278" spans="2:20" ht="15" customHeight="1"/>
    <row r="279" spans="2:20" ht="15" customHeight="1"/>
    <row r="280" spans="2:20" ht="15" customHeight="1"/>
    <row r="281" spans="2:20" ht="15" customHeight="1"/>
    <row r="282" spans="2:20" ht="15" customHeight="1"/>
    <row r="283" spans="2:20" ht="15" customHeight="1"/>
    <row r="284" spans="2:20" ht="15" customHeight="1"/>
    <row r="285" spans="2:20" ht="15" customHeight="1"/>
    <row r="286" spans="2:20" ht="15" customHeight="1"/>
    <row r="287" spans="2:20" ht="15" customHeight="1">
      <c r="R287" s="34"/>
      <c r="S287" s="5"/>
      <c r="T287" s="63"/>
    </row>
    <row r="288" spans="2:20" ht="15" customHeight="1">
      <c r="B288" s="399" t="str">
        <f>BJ2</f>
        <v>Graph 12: Cross-Jurisdictional Liabilities (millions of USD)</v>
      </c>
      <c r="C288" s="399"/>
      <c r="D288" s="399"/>
      <c r="E288" s="399"/>
      <c r="F288" s="399"/>
      <c r="G288" s="399"/>
      <c r="H288" s="399"/>
      <c r="I288" s="399"/>
      <c r="J288" s="399"/>
      <c r="K288" s="399"/>
      <c r="L288" s="399"/>
      <c r="M288" s="399"/>
      <c r="N288" s="399"/>
      <c r="O288" s="399"/>
      <c r="R288" s="60"/>
    </row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spans="2:15" ht="15" customHeight="1"/>
    <row r="306" spans="2:15" ht="15" customHeight="1"/>
    <row r="307" spans="2:15" ht="15" customHeight="1"/>
    <row r="308" spans="2:15" ht="15" customHeight="1"/>
    <row r="309" spans="2:15" ht="15" customHeight="1"/>
    <row r="310" spans="2:15" ht="15" customHeight="1"/>
    <row r="311" spans="2:15" ht="15" customHeight="1"/>
    <row r="312" spans="2:15" ht="15" customHeight="1"/>
    <row r="313" spans="2:15" ht="15" customHeight="1"/>
    <row r="314" spans="2:15" ht="15" customHeight="1"/>
    <row r="315" spans="2:15" ht="15" customHeight="1">
      <c r="B315" s="396" t="str">
        <f>BN2</f>
        <v>Graph 13: Scores (basis points)</v>
      </c>
      <c r="C315" s="396"/>
      <c r="D315" s="396"/>
      <c r="E315" s="396"/>
      <c r="F315" s="396"/>
      <c r="G315" s="396"/>
      <c r="H315" s="396"/>
      <c r="I315" s="396"/>
      <c r="J315" s="396"/>
      <c r="K315" s="396"/>
      <c r="L315" s="396"/>
      <c r="M315" s="396"/>
      <c r="N315" s="396"/>
      <c r="O315" s="396"/>
    </row>
    <row r="316" spans="2:15" ht="15" customHeight="1"/>
    <row r="317" spans="2:15" ht="15" customHeight="1"/>
    <row r="318" spans="2:15" ht="15" customHeight="1"/>
    <row r="319" spans="2:15" ht="15" customHeight="1"/>
    <row r="320" spans="2:15" ht="15" customHeight="1"/>
    <row r="321" spans="18:18" ht="15" customHeight="1"/>
    <row r="322" spans="18:18" ht="15" customHeight="1"/>
    <row r="323" spans="18:18" ht="15" customHeight="1"/>
    <row r="324" spans="18:18" ht="15" customHeight="1"/>
    <row r="325" spans="18:18" ht="15" customHeight="1">
      <c r="R325" s="60"/>
    </row>
    <row r="326" spans="18:18" ht="15" customHeight="1">
      <c r="R326" s="60"/>
    </row>
    <row r="327" spans="18:18" ht="15" customHeight="1"/>
    <row r="328" spans="18:18" ht="15" customHeight="1"/>
    <row r="329" spans="18:18" ht="15" customHeight="1"/>
    <row r="330" spans="18:18" ht="15" customHeight="1"/>
    <row r="331" spans="18:18" ht="15" customHeight="1"/>
    <row r="332" spans="18:18" ht="15" customHeight="1"/>
    <row r="333" spans="18:18" ht="15" customHeight="1"/>
    <row r="334" spans="18:18" ht="15" customHeight="1"/>
    <row r="335" spans="18:18" ht="15" customHeight="1"/>
    <row r="336" spans="18:18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spans="18:20" ht="15" customHeight="1"/>
    <row r="354" spans="18:20" ht="15" customHeight="1"/>
    <row r="355" spans="18:20" ht="15" customHeight="1"/>
    <row r="356" spans="18:20" ht="15" customHeight="1"/>
    <row r="357" spans="18:20" ht="15" customHeight="1"/>
    <row r="358" spans="18:20" ht="15" customHeight="1"/>
    <row r="359" spans="18:20" ht="15" customHeight="1"/>
    <row r="360" spans="18:20" ht="15" customHeight="1"/>
    <row r="361" spans="18:20" ht="15" customHeight="1"/>
    <row r="362" spans="18:20" ht="15" customHeight="1">
      <c r="R362" s="60"/>
      <c r="S362" s="5"/>
      <c r="T362" s="63"/>
    </row>
    <row r="363" spans="18:20" ht="15" customHeight="1">
      <c r="R363" s="60"/>
    </row>
    <row r="364" spans="18:20" ht="15" customHeight="1"/>
    <row r="365" spans="18:20" ht="15" customHeight="1"/>
    <row r="366" spans="18:20" ht="15" customHeight="1"/>
    <row r="367" spans="18:20" ht="15" customHeight="1"/>
    <row r="368" spans="18:20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spans="18:20" ht="15" customHeight="1"/>
    <row r="386" spans="18:20" ht="15" customHeight="1"/>
    <row r="387" spans="18:20" ht="15" customHeight="1"/>
    <row r="388" spans="18:20" ht="15" customHeight="1"/>
    <row r="389" spans="18:20" ht="15" customHeight="1"/>
    <row r="390" spans="18:20" ht="15" customHeight="1"/>
    <row r="391" spans="18:20" ht="15" customHeight="1"/>
    <row r="392" spans="18:20" ht="15" customHeight="1"/>
    <row r="393" spans="18:20" ht="15" customHeight="1"/>
    <row r="394" spans="18:20" ht="15" customHeight="1"/>
    <row r="395" spans="18:20" ht="15" customHeight="1"/>
    <row r="396" spans="18:20" ht="15" customHeight="1"/>
    <row r="397" spans="18:20" ht="15" customHeight="1"/>
    <row r="398" spans="18:20" ht="15" customHeight="1"/>
    <row r="399" spans="18:20" ht="15" customHeight="1">
      <c r="R399" s="34"/>
      <c r="S399" s="5"/>
      <c r="T399" s="63"/>
    </row>
    <row r="400" spans="18:20" ht="15" customHeight="1">
      <c r="S400" s="5"/>
      <c r="T400" s="63"/>
    </row>
    <row r="401" spans="19:19" ht="15" customHeight="1">
      <c r="S401" s="5"/>
    </row>
    <row r="402" spans="19:19" ht="15" customHeight="1">
      <c r="S402" s="5"/>
    </row>
    <row r="403" spans="19:19" ht="15" customHeight="1">
      <c r="S403" s="5"/>
    </row>
    <row r="404" spans="19:19">
      <c r="S404" s="5"/>
    </row>
    <row r="405" spans="19:19">
      <c r="S405" s="5"/>
    </row>
    <row r="406" spans="19:19">
      <c r="S406" s="5"/>
    </row>
    <row r="407" spans="19:19">
      <c r="S407" s="5"/>
    </row>
    <row r="408" spans="19:19">
      <c r="S408" s="5"/>
    </row>
    <row r="409" spans="19:19">
      <c r="S409" s="5"/>
    </row>
    <row r="410" spans="19:19">
      <c r="S410" s="5"/>
    </row>
    <row r="411" spans="19:19">
      <c r="S411" s="5"/>
    </row>
  </sheetData>
  <sheetProtection sheet="1" objects="1" scenarios="1"/>
  <mergeCells count="14">
    <mergeCell ref="AS46:BF46"/>
    <mergeCell ref="B315:O315"/>
    <mergeCell ref="B3:O3"/>
    <mergeCell ref="B28:O28"/>
    <mergeCell ref="B55:O55"/>
    <mergeCell ref="B263:O263"/>
    <mergeCell ref="B288:O288"/>
    <mergeCell ref="B159:O159"/>
    <mergeCell ref="B184:O184"/>
    <mergeCell ref="B211:O211"/>
    <mergeCell ref="B236:O236"/>
    <mergeCell ref="B80:O80"/>
    <mergeCell ref="B107:O107"/>
    <mergeCell ref="B132:O132"/>
  </mergeCells>
  <printOptions horizontalCentered="1"/>
  <pageMargins left="0.7" right="0.7" top="0.75" bottom="0.75" header="0.3" footer="0.3"/>
  <pageSetup scale="65" fitToHeight="2" orientation="landscape" r:id="rId1"/>
  <headerFooter scaleWithDoc="0">
    <oddFooter>&amp;L&amp;10Data Source: FR Y-15&amp;C&amp;10Page &amp;P of &amp;N&amp;R&amp;10As-of Date: December 31, 2014</oddFooter>
  </headerFooter>
  <rowBreaks count="7" manualBreakCount="7">
    <brk id="52" max="15" man="1"/>
    <brk id="104" max="15" man="1"/>
    <brk id="156" max="15" man="1"/>
    <brk id="208" max="15" man="1"/>
    <brk id="260" max="15" man="1"/>
    <brk id="312" max="15" man="1"/>
    <brk id="339" max="15" man="1"/>
  </rowBreaks>
  <colBreaks count="8" manualBreakCount="8">
    <brk id="81" max="1048575" man="1"/>
    <brk id="90" max="1048575" man="1"/>
    <brk id="105" max="1048575" man="1"/>
    <brk id="120" max="1048575" man="1"/>
    <brk id="135" max="1048575" man="1"/>
    <brk id="150" max="1048575" man="1"/>
    <brk id="165" max="1048575" man="1"/>
    <brk id="180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3" tint="0.79998168889431442"/>
    <pageSetUpPr fitToPage="1"/>
  </sheetPr>
  <dimension ref="A2:X113"/>
  <sheetViews>
    <sheetView showGridLines="0" zoomScale="85" zoomScaleNormal="85" zoomScaleSheetLayoutView="115" workbookViewId="0">
      <pane xSplit="10" ySplit="3" topLeftCell="O4" activePane="bottomRight" state="frozen"/>
      <selection pane="topRight" activeCell="K1" sqref="K1"/>
      <selection pane="bottomLeft" activeCell="A4" sqref="A4"/>
      <selection pane="bottomRight" activeCell="D2" sqref="D2"/>
    </sheetView>
  </sheetViews>
  <sheetFormatPr defaultRowHeight="14.5"/>
  <cols>
    <col min="1" max="1" width="8.81640625" style="1"/>
    <col min="2" max="2" width="20.81640625" bestFit="1" customWidth="1"/>
    <col min="4" max="4" width="47.7265625" customWidth="1"/>
    <col min="9" max="9" width="12.54296875" customWidth="1"/>
    <col min="10" max="10" width="8.81640625" customWidth="1"/>
    <col min="11" max="11" width="8.81640625" hidden="1" customWidth="1"/>
    <col min="12" max="12" width="41.54296875" hidden="1" customWidth="1"/>
    <col min="13" max="13" width="16.26953125" hidden="1" customWidth="1"/>
    <col min="14" max="14" width="19.7265625" hidden="1" customWidth="1"/>
    <col min="15" max="15" width="8.81640625" customWidth="1"/>
    <col min="16" max="16" width="37.26953125" bestFit="1" customWidth="1"/>
    <col min="17" max="17" width="10.7265625" bestFit="1" customWidth="1"/>
    <col min="18" max="19" width="15.7265625" customWidth="1"/>
    <col min="20" max="20" width="10.453125" customWidth="1"/>
    <col min="21" max="21" width="8.81640625" customWidth="1"/>
    <col min="22" max="22" width="38.26953125" customWidth="1"/>
    <col min="23" max="23" width="10.7265625" bestFit="1" customWidth="1"/>
    <col min="24" max="24" width="10.26953125" bestFit="1" customWidth="1"/>
  </cols>
  <sheetData>
    <row r="2" spans="2:24" ht="18" customHeight="1">
      <c r="B2" s="359" t="s">
        <v>618</v>
      </c>
      <c r="C2" s="360" t="s">
        <v>573</v>
      </c>
      <c r="D2" s="358" t="s">
        <v>17</v>
      </c>
    </row>
    <row r="3" spans="2:24" ht="15" customHeight="1">
      <c r="B3" s="1"/>
      <c r="C3" s="1"/>
      <c r="D3" s="339"/>
    </row>
    <row r="4" spans="2:24" ht="15" customHeight="1">
      <c r="L4" s="361" t="str">
        <f>"2014 Values: "&amp;D2&amp;" "&amp;Indicators!$D$2</f>
        <v>2014 Values: Total Exposures (millions of USD)</v>
      </c>
      <c r="M4" s="341"/>
      <c r="N4" s="341"/>
      <c r="O4" s="341"/>
      <c r="P4" s="361" t="str">
        <f>B5</f>
        <v>2013 and 2014 Values: Total Exposures (millions of USD)</v>
      </c>
      <c r="R4" s="341"/>
      <c r="S4" s="341"/>
      <c r="T4" s="341"/>
      <c r="U4" s="341"/>
      <c r="V4" s="361" t="str">
        <f>B31</f>
        <v>Year-on-Year Percent Change: Total Exposures</v>
      </c>
      <c r="X4" s="341"/>
    </row>
    <row r="5" spans="2:24" ht="15" customHeight="1">
      <c r="B5" s="356" t="str">
        <f>"2013 and 2014 Values: "&amp;D2&amp;" "&amp;Indicators!$D$2</f>
        <v>2013 and 2014 Values: Total Exposures (millions of USD)</v>
      </c>
      <c r="C5" s="356"/>
      <c r="D5" s="356"/>
      <c r="E5" s="356"/>
      <c r="F5" s="356"/>
      <c r="G5" s="356"/>
      <c r="H5" s="356"/>
      <c r="I5" s="356"/>
      <c r="L5" s="43" t="str">
        <f>Indicators!$B$4</f>
        <v>NAME</v>
      </c>
      <c r="M5" s="43" t="str">
        <f>Indicators!$C$4</f>
        <v>ID_RSSD</v>
      </c>
      <c r="N5" s="43" t="str">
        <f>INDEX(Indicators!D4:O4,MATCH(D2,Indicators!D5:O5,0))</f>
        <v>RISKM350</v>
      </c>
      <c r="O5" s="341"/>
      <c r="P5" s="43" t="str">
        <f>Indicators!$B$4</f>
        <v>NAME</v>
      </c>
      <c r="Q5" s="43" t="str">
        <f>Indicators!$C$4</f>
        <v>ID_RSSD</v>
      </c>
      <c r="R5" s="43" t="str">
        <f>INDEX('2013 Indicators'!D4:O4,MATCH(D2,'2013 Indicators'!D5:O5,0))</f>
        <v>RISKM350</v>
      </c>
      <c r="S5" s="43" t="str">
        <f>INDEX(Indicators!D4:O4,MATCH(D2,Indicators!D5:O5,0))</f>
        <v>RISKM350</v>
      </c>
      <c r="T5" s="341"/>
      <c r="U5" s="341"/>
      <c r="V5" s="43" t="str">
        <f>Indicators!$B$4</f>
        <v>NAME</v>
      </c>
      <c r="W5" s="43" t="str">
        <f>Indicators!$C$4</f>
        <v>ID_RSSD</v>
      </c>
      <c r="X5" s="5"/>
    </row>
    <row r="6" spans="2:24" ht="15" customHeight="1">
      <c r="L6" s="3" t="str">
        <f>Indicators!$B$5</f>
        <v>Institution Name</v>
      </c>
      <c r="M6" s="3" t="str">
        <f>Indicators!$C$5</f>
        <v>ID Number</v>
      </c>
      <c r="N6" s="357" t="str">
        <f>S6</f>
        <v>Q4 2014</v>
      </c>
      <c r="O6" s="341"/>
      <c r="P6" s="3" t="str">
        <f>Indicators!$B$5</f>
        <v>Institution Name</v>
      </c>
      <c r="Q6" s="3" t="str">
        <f>Indicators!$C$5</f>
        <v>ID Number</v>
      </c>
      <c r="R6" s="357" t="s">
        <v>620</v>
      </c>
      <c r="S6" s="357" t="s">
        <v>621</v>
      </c>
      <c r="T6" s="357" t="s">
        <v>619</v>
      </c>
      <c r="U6" s="341"/>
      <c r="V6" s="3" t="str">
        <f>Indicators!$B$5</f>
        <v>Institution Name</v>
      </c>
      <c r="W6" s="3" t="str">
        <f>Indicators!$C$5</f>
        <v>ID Number</v>
      </c>
      <c r="X6" s="357" t="s">
        <v>619</v>
      </c>
    </row>
    <row r="7" spans="2:24" ht="15" customHeight="1">
      <c r="L7" s="34" t="str">
        <f>PROPER(TRIM(INDEX(Indicators!$B$4:$B$38,MATCH($M7,Indicators!$C$4:$C$38,0))))</f>
        <v>Ally Financial Inc.</v>
      </c>
      <c r="M7" s="5">
        <f>INDEX(Indicators!$C$4:$C$38,ROWS($M$6:M7)+1,MATCH($M$5,Indicators!$C$4:$C$38,0))</f>
        <v>1562859</v>
      </c>
      <c r="N7" s="340">
        <f>INDEX(Indicators!$D$4:$O$38,MATCH($M7,Indicators!$C$4:$C$38,0),MATCH($D$2,Indicators!$D$5:$O$5,0))</f>
        <v>154346.6</v>
      </c>
      <c r="O7" s="341"/>
      <c r="P7" s="366" t="str">
        <f>PROPER(TRIM(INDEX('FR Y-15 Data'!$A$1:$A$36,MATCH($Q7,'FR Y-15 Data'!$C$1:$C$66,0))))</f>
        <v>Jpmorgan Chase &amp; Co.</v>
      </c>
      <c r="Q7" s="367">
        <f t="array" ref="Q7">INDEX($M$6:$M$39,SMALL(IF($N$6:$N$39=$S7,ROW($N$6:$N$39),""),COUNTIF($S$7:$S7,$S7))-ROW($N$6)+1,0)</f>
        <v>1039502</v>
      </c>
      <c r="R7" s="364">
        <f>INDEX('2013 Indicators'!$D$4:$O$38,MATCH($Q7,'2013 Indicators'!$C$4:$C$38,0),MATCH($D$2,'2013 Indicators'!$D$5:$O$5,0))</f>
        <v>3569551.8</v>
      </c>
      <c r="S7" s="364">
        <f>LARGE($N$7:$N$39,ROWS($S$6:$S7)-1)</f>
        <v>3743113</v>
      </c>
      <c r="T7" s="368">
        <f>IF(R7=0,IF(S7=0,0,"&lt;NULL&gt;"),((S7-R7)/R7))</f>
        <v>4.8622687027542279E-2</v>
      </c>
      <c r="U7" s="365"/>
      <c r="V7" s="366" t="str">
        <f>IF(W7="","",PROPER(TRIM(INDEX(Indicators!$B$4:$B$38,MATCH($W7,Indicators!$C$4:$C$38,0)))))</f>
        <v>Santander Holdings Usa, Inc.</v>
      </c>
      <c r="W7" s="367">
        <f t="array" ref="W7">IF(X7="","",(INDEX($Q$7:$Q$39,SMALL(IF($T$7:$T$39=X7,ROW($T$7:$T$39),""),COUNTIF($X$7:$X7,$X7))-ROW($T$6),0)))</f>
        <v>3981856</v>
      </c>
      <c r="X7" s="368">
        <f>IFERROR(LARGE(($T$7:$T$39),ROWS($X$6:X7)-1),"")</f>
        <v>0.4891461030910505</v>
      </c>
    </row>
    <row r="8" spans="2:24" ht="15" customHeight="1">
      <c r="L8" s="34" t="str">
        <f>PROPER(TRIM(INDEX(Indicators!$B$4:$B$38,MATCH($M8,Indicators!$C$4:$C$38,0))))</f>
        <v>American Express Company</v>
      </c>
      <c r="M8" s="5">
        <f>INDEX(Indicators!$C$4:$C$38,ROWS($M$6:M8)+1,MATCH($M$5,Indicators!$C$4:$C$38,0))</f>
        <v>1275216</v>
      </c>
      <c r="N8" s="340">
        <f>INDEX(Indicators!$D$4:$O$38,MATCH($M8,Indicators!$C$4:$C$38,0),MATCH($D$2,Indicators!$D$5:$O$5,0))</f>
        <v>184977.1</v>
      </c>
      <c r="O8" s="341"/>
      <c r="P8" s="366" t="str">
        <f>PROPER(TRIM(INDEX('FR Y-15 Data'!$A$1:$A$36,MATCH($Q8,'FR Y-15 Data'!$C$1:$C$66,0))))</f>
        <v>Bank Of America Corporation</v>
      </c>
      <c r="Q8" s="367">
        <f t="array" ref="Q8">INDEX($M$6:$M$39,SMALL(IF($N$6:$N$39=$S8,ROW($N$6:$N$39),""),COUNTIF($S$7:$S8,$S8))-ROW($N$6)+1,0)</f>
        <v>1073757</v>
      </c>
      <c r="R8" s="364">
        <f>INDEX('2013 Indicators'!$D$4:$O$38,MATCH($Q8,'2013 Indicators'!$C$4:$C$38,0),MATCH($D$2,'2013 Indicators'!$D$5:$O$5,0))</f>
        <v>2695636.963</v>
      </c>
      <c r="S8" s="364">
        <f>LARGE($N$7:$N$39,ROWS($S$6:$S8)-1)</f>
        <v>2810245.9589999998</v>
      </c>
      <c r="T8" s="368">
        <f t="shared" ref="T8:T39" si="0">IF(R8=0,IF(S8=0,0,"&lt;NULL&gt;"),((S8-R8)/R8))</f>
        <v>4.2516480361825267E-2</v>
      </c>
      <c r="U8" s="365"/>
      <c r="V8" s="366" t="str">
        <f>IF(W8="","",PROPER(TRIM(INDEX(Indicators!$B$4:$B$38,MATCH($W8,Indicators!$C$4:$C$38,0)))))</f>
        <v>Huntington Bancshares Incorporated</v>
      </c>
      <c r="W8" s="367">
        <f t="array" ref="W8">IF(X8="","",(INDEX($Q$7:$Q$39,SMALL(IF($T$7:$T$39=X8,ROW($T$7:$T$39),""),COUNTIF($X$7:$X8,$X8))-ROW($T$6),0)))</f>
        <v>1068191</v>
      </c>
      <c r="X8" s="368">
        <f>IFERROR(LARGE(($T$7:$T$39),ROWS($X$6:X8)-1),"")</f>
        <v>0.24342379469059927</v>
      </c>
    </row>
    <row r="9" spans="2:24" ht="15" customHeight="1">
      <c r="L9" s="34" t="str">
        <f>PROPER(TRIM(INDEX(Indicators!$B$4:$B$38,MATCH($M9,Indicators!$C$4:$C$38,0))))</f>
        <v>Bancwest Corporation</v>
      </c>
      <c r="M9" s="5">
        <f>INDEX(Indicators!$C$4:$C$38,ROWS($M$6:M9)+1,MATCH($M$5,Indicators!$C$4:$C$38,0))</f>
        <v>1025608</v>
      </c>
      <c r="N9" s="340">
        <f>INDEX(Indicators!$D$4:$O$38,MATCH($M9,Indicators!$C$4:$C$38,0),MATCH($D$2,Indicators!$D$5:$O$5,0))</f>
        <v>111924.474</v>
      </c>
      <c r="O9" s="341"/>
      <c r="P9" s="366" t="str">
        <f>PROPER(TRIM(INDEX('FR Y-15 Data'!$A$1:$A$36,MATCH($Q9,'FR Y-15 Data'!$C$1:$C$66,0))))</f>
        <v>Citigroup Inc.</v>
      </c>
      <c r="Q9" s="367">
        <f t="array" ref="Q9">INDEX($M$6:$M$39,SMALL(IF($N$6:$N$39=$S9,ROW($N$6:$N$39),""),COUNTIF($S$7:$S9,$S9))-ROW($N$6)+1,0)</f>
        <v>1951350</v>
      </c>
      <c r="R9" s="364">
        <f>INDEX('2013 Indicators'!$D$4:$O$38,MATCH($Q9,'2013 Indicators'!$C$4:$C$38,0),MATCH($D$2,'2013 Indicators'!$D$5:$O$5,0))</f>
        <v>2894627.6</v>
      </c>
      <c r="S9" s="364">
        <f>LARGE($N$7:$N$39,ROWS($S$6:$S9)-1)</f>
        <v>2765877.5</v>
      </c>
      <c r="T9" s="368">
        <f t="shared" si="0"/>
        <v>-4.4478985828781598E-2</v>
      </c>
      <c r="U9" s="365"/>
      <c r="V9" s="366" t="str">
        <f>IF(W9="","",PROPER(TRIM(INDEX(Indicators!$B$4:$B$38,MATCH($W9,Indicators!$C$4:$C$38,0)))))</f>
        <v>M&amp;T Bank Corporation</v>
      </c>
      <c r="W9" s="367">
        <f t="array" ref="W9">IF(X9="","",(INDEX($Q$7:$Q$39,SMALL(IF($T$7:$T$39=X9,ROW($T$7:$T$39),""),COUNTIF($X$7:$X9,$X9))-ROW($T$6),0)))</f>
        <v>1037003</v>
      </c>
      <c r="X9" s="368">
        <f>IFERROR(LARGE(($T$7:$T$39),ROWS($X$6:X9)-1),"")</f>
        <v>0.14281161351673949</v>
      </c>
    </row>
    <row r="10" spans="2:24" ht="15" customHeight="1">
      <c r="L10" s="34" t="str">
        <f>PROPER(TRIM(INDEX(Indicators!$B$4:$B$38,MATCH($M10,Indicators!$C$4:$C$38,0))))</f>
        <v>Bank Of America Corporation</v>
      </c>
      <c r="M10" s="5">
        <f>INDEX(Indicators!$C$4:$C$38,ROWS($M$6:M10)+1,MATCH($M$5,Indicators!$C$4:$C$38,0))</f>
        <v>1073757</v>
      </c>
      <c r="N10" s="340">
        <f>INDEX(Indicators!$D$4:$O$38,MATCH($M10,Indicators!$C$4:$C$38,0),MATCH($D$2,Indicators!$D$5:$O$5,0))</f>
        <v>2810245.9589999998</v>
      </c>
      <c r="O10" s="341"/>
      <c r="P10" s="366" t="str">
        <f>PROPER(TRIM(INDEX('FR Y-15 Data'!$A$1:$A$36,MATCH($Q10,'FR Y-15 Data'!$C$1:$C$66,0))))</f>
        <v>Wells Fargo &amp; Company</v>
      </c>
      <c r="Q10" s="367">
        <f t="array" ref="Q10">INDEX($M$6:$M$39,SMALL(IF($N$6:$N$39=$S10,ROW($N$6:$N$39),""),COUNTIF($S$7:$S10,$S10))-ROW($N$6)+1,0)</f>
        <v>1120754</v>
      </c>
      <c r="R10" s="364">
        <f>INDEX('2013 Indicators'!$D$4:$O$38,MATCH($Q10,'2013 Indicators'!$C$4:$C$38,0),MATCH($D$2,'2013 Indicators'!$D$5:$O$5,0))</f>
        <v>1961304.7</v>
      </c>
      <c r="S10" s="364">
        <f>LARGE($N$7:$N$39,ROWS($S$6:$S10)-1)</f>
        <v>2191752.2999999998</v>
      </c>
      <c r="T10" s="368">
        <f t="shared" si="0"/>
        <v>0.11749709262410878</v>
      </c>
      <c r="U10" s="365"/>
      <c r="V10" s="366" t="str">
        <f>IF(W10="","",PROPER(TRIM(INDEX(Indicators!$B$4:$B$38,MATCH($W10,Indicators!$C$4:$C$38,0)))))</f>
        <v>Wells Fargo &amp; Company</v>
      </c>
      <c r="W10" s="367">
        <f t="array" ref="W10">IF(X10="","",(INDEX($Q$7:$Q$39,SMALL(IF($T$7:$T$39=X10,ROW($T$7:$T$39),""),COUNTIF($X$7:$X10,$X10))-ROW($T$6),0)))</f>
        <v>1120754</v>
      </c>
      <c r="X10" s="368">
        <f>IFERROR(LARGE(($T$7:$T$39),ROWS($X$6:X10)-1),"")</f>
        <v>0.11749709262410878</v>
      </c>
    </row>
    <row r="11" spans="2:24" ht="15" customHeight="1">
      <c r="L11" s="34" t="str">
        <f>PROPER(TRIM(INDEX(Indicators!$B$4:$B$38,MATCH($M11,Indicators!$C$4:$C$38,0))))</f>
        <v>Bank Of New York Mellon Corporation, The</v>
      </c>
      <c r="M11" s="5">
        <f>INDEX(Indicators!$C$4:$C$38,ROWS($M$6:M11)+1,MATCH($M$5,Indicators!$C$4:$C$38,0))</f>
        <v>3587146</v>
      </c>
      <c r="N11" s="340">
        <f>INDEX(Indicators!$D$4:$O$38,MATCH($M11,Indicators!$C$4:$C$38,0),MATCH($D$2,Indicators!$D$5:$O$5,0))</f>
        <v>418631.8</v>
      </c>
      <c r="O11" s="341"/>
      <c r="P11" s="366" t="str">
        <f>PROPER(TRIM(INDEX('FR Y-15 Data'!$A$1:$A$36,MATCH($Q11,'FR Y-15 Data'!$C$1:$C$66,0))))</f>
        <v>Goldman Sachs Group, Inc., The</v>
      </c>
      <c r="Q11" s="367">
        <f t="array" ref="Q11">INDEX($M$6:$M$39,SMALL(IF($N$6:$N$39=$S11,ROW($N$6:$N$39),""),COUNTIF($S$7:$S11,$S11))-ROW($N$6)+1,0)</f>
        <v>2380443</v>
      </c>
      <c r="R11" s="364">
        <f>INDEX('2013 Indicators'!$D$4:$O$38,MATCH($Q11,'2013 Indicators'!$C$4:$C$38,0),MATCH($D$2,'2013 Indicators'!$D$5:$O$5,0))</f>
        <v>1517513.7</v>
      </c>
      <c r="S11" s="364">
        <f>LARGE($N$7:$N$39,ROWS($S$6:$S11)-1)</f>
        <v>1484013</v>
      </c>
      <c r="T11" s="368">
        <f t="shared" si="0"/>
        <v>-2.2076044519400356E-2</v>
      </c>
      <c r="U11" s="365"/>
      <c r="V11" s="366" t="str">
        <f>IF(W11="","",PROPER(TRIM(INDEX(Indicators!$B$4:$B$38,MATCH($W11,Indicators!$C$4:$C$38,0)))))</f>
        <v>Suntrust Banks, Inc.</v>
      </c>
      <c r="W11" s="367">
        <f t="array" ref="W11">IF(X11="","",(INDEX($Q$7:$Q$39,SMALL(IF($T$7:$T$39=X11,ROW($T$7:$T$39),""),COUNTIF($X$7:$X11,$X11))-ROW($T$6),0)))</f>
        <v>1131787</v>
      </c>
      <c r="X11" s="368">
        <f>IFERROR(LARGE(($T$7:$T$39),ROWS($X$6:X11)-1),"")</f>
        <v>0.10039196089062322</v>
      </c>
    </row>
    <row r="12" spans="2:24" ht="15" customHeight="1">
      <c r="L12" s="34" t="str">
        <f>PROPER(TRIM(INDEX(Indicators!$B$4:$B$38,MATCH($M12,Indicators!$C$4:$C$38,0))))</f>
        <v>Bb&amp;T Corporation</v>
      </c>
      <c r="M12" s="5">
        <f>INDEX(Indicators!$C$4:$C$38,ROWS($M$6:M12)+1,MATCH($M$5,Indicators!$C$4:$C$38,0))</f>
        <v>1074156</v>
      </c>
      <c r="N12" s="340">
        <f>INDEX(Indicators!$D$4:$O$38,MATCH($M12,Indicators!$C$4:$C$38,0),MATCH($D$2,Indicators!$D$5:$O$5,0))</f>
        <v>217773.05</v>
      </c>
      <c r="O12" s="341"/>
      <c r="P12" s="366" t="str">
        <f>PROPER(TRIM(INDEX('FR Y-15 Data'!$A$1:$A$36,MATCH($Q12,'FR Y-15 Data'!$C$1:$C$66,0))))</f>
        <v>Morgan Stanley</v>
      </c>
      <c r="Q12" s="367">
        <f t="array" ref="Q12">INDEX($M$6:$M$39,SMALL(IF($N$6:$N$39=$S12,ROW($N$6:$N$39),""),COUNTIF($S$7:$S12,$S12))-ROW($N$6)+1,0)</f>
        <v>2162966</v>
      </c>
      <c r="R12" s="364">
        <f>INDEX('2013 Indicators'!$D$4:$O$38,MATCH($Q12,'2013 Indicators'!$C$4:$C$38,0),MATCH($D$2,'2013 Indicators'!$D$5:$O$5,0))</f>
        <v>1282726.862</v>
      </c>
      <c r="S12" s="364">
        <f>LARGE($N$7:$N$39,ROWS($S$6:$S12)-1)</f>
        <v>1281234.6640000001</v>
      </c>
      <c r="T12" s="368">
        <f t="shared" si="0"/>
        <v>-1.1633014355630282E-3</v>
      </c>
      <c r="U12" s="365"/>
      <c r="V12" s="366" t="str">
        <f>IF(W12="","",PROPER(TRIM(INDEX(Indicators!$B$4:$B$38,MATCH($W12,Indicators!$C$4:$C$38,0)))))</f>
        <v>Bancwest Corporation</v>
      </c>
      <c r="W12" s="367">
        <f t="array" ref="W12">IF(X12="","",(INDEX($Q$7:$Q$39,SMALL(IF($T$7:$T$39=X12,ROW($T$7:$T$39),""),COUNTIF($X$7:$X12,$X12))-ROW($T$6),0)))</f>
        <v>1025608</v>
      </c>
      <c r="X12" s="368">
        <f>IFERROR(LARGE(($T$7:$T$39),ROWS($X$6:X12)-1),"")</f>
        <v>9.0377762895551897E-2</v>
      </c>
    </row>
    <row r="13" spans="2:24" ht="15" customHeight="1">
      <c r="L13" s="34" t="str">
        <f>PROPER(TRIM(INDEX(Indicators!$B$4:$B$38,MATCH($M13,Indicators!$C$4:$C$38,0))))</f>
        <v>Bbva Compass Bancshares, Inc.</v>
      </c>
      <c r="M13" s="5">
        <f>INDEX(Indicators!$C$4:$C$38,ROWS($M$6:M13)+1,MATCH($M$5,Indicators!$C$4:$C$38,0))</f>
        <v>1078529</v>
      </c>
      <c r="N13" s="340">
        <f>INDEX(Indicators!$D$4:$O$38,MATCH($M13,Indicators!$C$4:$C$38,0),MATCH($D$2,Indicators!$D$5:$O$5,0))</f>
        <v>107580.046</v>
      </c>
      <c r="O13" s="341"/>
      <c r="P13" s="366" t="str">
        <f>PROPER(TRIM(INDEX('FR Y-15 Data'!$A$1:$A$36,MATCH($Q13,'FR Y-15 Data'!$C$1:$C$66,0))))</f>
        <v>U.S. Bancorp</v>
      </c>
      <c r="Q13" s="367">
        <f t="array" ref="Q13">INDEX($M$6:$M$39,SMALL(IF($N$6:$N$39=$S13,ROW($N$6:$N$39),""),COUNTIF($S$7:$S13,$S13))-ROW($N$6)+1,0)</f>
        <v>1119794</v>
      </c>
      <c r="R13" s="364">
        <f>INDEX('2013 Indicators'!$D$4:$O$38,MATCH($Q13,'2013 Indicators'!$C$4:$C$38,0),MATCH($D$2,'2013 Indicators'!$D$5:$O$5,0))</f>
        <v>524636.19999999995</v>
      </c>
      <c r="S13" s="364">
        <f>LARGE($N$7:$N$39,ROWS($S$6:$S13)-1)</f>
        <v>538755.69999999995</v>
      </c>
      <c r="T13" s="368">
        <f t="shared" si="0"/>
        <v>2.6912935096739418E-2</v>
      </c>
      <c r="U13" s="365"/>
      <c r="V13" s="366" t="str">
        <f>IF(W13="","",PROPER(TRIM(INDEX(Indicators!$B$4:$B$38,MATCH($W13,Indicators!$C$4:$C$38,0)))))</f>
        <v>Pnc Financial Services Group, Inc., The</v>
      </c>
      <c r="W13" s="367">
        <f t="array" ref="W13">IF(X13="","",(INDEX($Q$7:$Q$39,SMALL(IF($T$7:$T$39=X13,ROW($T$7:$T$39),""),COUNTIF($X$7:$X13,$X13))-ROW($T$6),0)))</f>
        <v>1069778</v>
      </c>
      <c r="X13" s="368">
        <f>IFERROR(LARGE(($T$7:$T$39),ROWS($X$6:X13)-1),"")</f>
        <v>8.1192043750049583E-2</v>
      </c>
    </row>
    <row r="14" spans="2:24" ht="15" customHeight="1">
      <c r="L14" s="34" t="str">
        <f>PROPER(TRIM(INDEX(Indicators!$B$4:$B$38,MATCH($M14,Indicators!$C$4:$C$38,0))))</f>
        <v>Bmo Financial Corp.</v>
      </c>
      <c r="M14" s="5">
        <f>INDEX(Indicators!$C$4:$C$38,ROWS($M$6:M14)+1,MATCH($M$5,Indicators!$C$4:$C$38,0))</f>
        <v>1245415</v>
      </c>
      <c r="N14" s="340">
        <f>INDEX(Indicators!$D$4:$O$38,MATCH($M14,Indicators!$C$4:$C$38,0),MATCH($D$2,Indicators!$D$5:$O$5,0))</f>
        <v>155869.27799999999</v>
      </c>
      <c r="O14" s="341"/>
      <c r="P14" s="366" t="str">
        <f>PROPER(TRIM(INDEX('FR Y-15 Data'!$A$1:$A$36,MATCH($Q14,'FR Y-15 Data'!$C$1:$C$66,0))))</f>
        <v>Pnc Financial Services Group, Inc., The</v>
      </c>
      <c r="Q14" s="367">
        <f t="array" ref="Q14">INDEX($M$6:$M$39,SMALL(IF($N$6:$N$39=$S14,ROW($N$6:$N$39),""),COUNTIF($S$7:$S14,$S14))-ROW($N$6)+1,0)</f>
        <v>1069778</v>
      </c>
      <c r="R14" s="364">
        <f>INDEX('2013 Indicators'!$D$4:$O$38,MATCH($Q14,'2013 Indicators'!$C$4:$C$38,0),MATCH($D$2,'2013 Indicators'!$D$5:$O$5,0))</f>
        <v>425387.038</v>
      </c>
      <c r="S14" s="364">
        <f>LARGE($N$7:$N$39,ROWS($S$6:$S14)-1)</f>
        <v>459925.08100000001</v>
      </c>
      <c r="T14" s="368">
        <f t="shared" si="0"/>
        <v>8.1192043750049583E-2</v>
      </c>
      <c r="U14" s="365"/>
      <c r="V14" s="366" t="str">
        <f>IF(W14="","",PROPER(TRIM(INDEX(Indicators!$B$4:$B$38,MATCH($W14,Indicators!$C$4:$C$38,0)))))</f>
        <v>Citizens Financial Group, Inc.</v>
      </c>
      <c r="W14" s="367">
        <f t="array" ref="W14">IF(X14="","",(INDEX($Q$7:$Q$39,SMALL(IF($T$7:$T$39=X14,ROW($T$7:$T$39),""),COUNTIF($X$7:$X14,$X14))-ROW($T$6),0)))</f>
        <v>1132449</v>
      </c>
      <c r="X14" s="368">
        <f>IFERROR(LARGE(($T$7:$T$39),ROWS($X$6:X14)-1),"")</f>
        <v>7.7225698767279055E-2</v>
      </c>
    </row>
    <row r="15" spans="2:24" ht="15" customHeight="1">
      <c r="L15" s="34" t="str">
        <f>PROPER(TRIM(INDEX(Indicators!$B$4:$B$38,MATCH($M15,Indicators!$C$4:$C$38,0))))</f>
        <v>Capital One Financial Corporation</v>
      </c>
      <c r="M15" s="5">
        <f>INDEX(Indicators!$C$4:$C$38,ROWS($M$6:M15)+1,MATCH($M$5,Indicators!$C$4:$C$38,0))</f>
        <v>2277860</v>
      </c>
      <c r="N15" s="340">
        <f>INDEX(Indicators!$D$4:$O$38,MATCH($M15,Indicators!$C$4:$C$38,0),MATCH($D$2,Indicators!$D$5:$O$5,0))</f>
        <v>353601.304</v>
      </c>
      <c r="O15" s="341"/>
      <c r="P15" s="366" t="str">
        <f>PROPER(TRIM(INDEX('FR Y-15 Data'!$A$1:$A$36,MATCH($Q15,'FR Y-15 Data'!$C$1:$C$66,0))))</f>
        <v>Bank Of New York Mellon Corporation, The</v>
      </c>
      <c r="Q15" s="367">
        <f t="array" ref="Q15">INDEX($M$6:$M$39,SMALL(IF($N$6:$N$39=$S15,ROW($N$6:$N$39),""),COUNTIF($S$7:$S15,$S15))-ROW($N$6)+1,0)</f>
        <v>3587146</v>
      </c>
      <c r="R15" s="364">
        <f>INDEX('2013 Indicators'!$D$4:$O$38,MATCH($Q15,'2013 Indicators'!$C$4:$C$38,0),MATCH($D$2,'2013 Indicators'!$D$5:$O$5,0))</f>
        <v>409666.2</v>
      </c>
      <c r="S15" s="364">
        <f>LARGE($N$7:$N$39,ROWS($S$6:$S15)-1)</f>
        <v>418631.8</v>
      </c>
      <c r="T15" s="368">
        <f t="shared" si="0"/>
        <v>2.1885134775580645E-2</v>
      </c>
      <c r="U15" s="365"/>
      <c r="V15" s="366" t="str">
        <f>IF(W15="","",PROPER(TRIM(INDEX(Indicators!$B$4:$B$38,MATCH($W15,Indicators!$C$4:$C$38,0)))))</f>
        <v>Bbva Compass Bancshares, Inc.</v>
      </c>
      <c r="W15" s="367">
        <f t="array" ref="W15">IF(X15="","",(INDEX($Q$7:$Q$39,SMALL(IF($T$7:$T$39=X15,ROW($T$7:$T$39),""),COUNTIF($X$7:$X15,$X15))-ROW($T$6),0)))</f>
        <v>1078529</v>
      </c>
      <c r="X15" s="368">
        <f>IFERROR(LARGE(($T$7:$T$39),ROWS($X$6:X15)-1),"")</f>
        <v>6.5599022351450043E-2</v>
      </c>
    </row>
    <row r="16" spans="2:24" ht="15" customHeight="1">
      <c r="L16" s="34" t="str">
        <f>PROPER(TRIM(INDEX(Indicators!$B$4:$B$38,MATCH($M16,Indicators!$C$4:$C$38,0))))</f>
        <v>Citigroup Inc.</v>
      </c>
      <c r="M16" s="5">
        <f>INDEX(Indicators!$C$4:$C$38,ROWS($M$6:M16)+1,MATCH($M$5,Indicators!$C$4:$C$38,0))</f>
        <v>1951350</v>
      </c>
      <c r="N16" s="340">
        <f>INDEX(Indicators!$D$4:$O$38,MATCH($M16,Indicators!$C$4:$C$38,0),MATCH($D$2,Indicators!$D$5:$O$5,0))</f>
        <v>2765877.5</v>
      </c>
      <c r="O16" s="341"/>
      <c r="P16" s="366" t="str">
        <f>PROPER(TRIM(INDEX('FR Y-15 Data'!$A$1:$A$36,MATCH($Q16,'FR Y-15 Data'!$C$1:$C$66,0))))</f>
        <v>Hsbc North America Holdings Inc.</v>
      </c>
      <c r="Q16" s="367">
        <f t="array" ref="Q16">INDEX($M$6:$M$39,SMALL(IF($N$6:$N$39=$S16,ROW($N$6:$N$39),""),COUNTIF($S$7:$S16,$S16))-ROW($N$6)+1,0)</f>
        <v>3232316</v>
      </c>
      <c r="R16" s="364">
        <f>INDEX('2013 Indicators'!$D$4:$O$38,MATCH($Q16,'2013 Indicators'!$C$4:$C$38,0),MATCH($D$2,'2013 Indicators'!$D$5:$O$5,0))</f>
        <v>405781.91700000002</v>
      </c>
      <c r="S16" s="364">
        <f>LARGE($N$7:$N$39,ROWS($S$6:$S16)-1)</f>
        <v>416909.71299999999</v>
      </c>
      <c r="T16" s="368">
        <f t="shared" si="0"/>
        <v>2.7423094854175014E-2</v>
      </c>
      <c r="U16" s="365"/>
      <c r="V16" s="366" t="str">
        <f>IF(W16="","",PROPER(TRIM(INDEX(Indicators!$B$4:$B$38,MATCH($W16,Indicators!$C$4:$C$38,0)))))</f>
        <v>Northern Trust Corporation</v>
      </c>
      <c r="W16" s="367">
        <f t="array" ref="W16">IF(X16="","",(INDEX($Q$7:$Q$39,SMALL(IF($T$7:$T$39=X16,ROW($T$7:$T$39),""),COUNTIF($X$7:$X16,$X16))-ROW($T$6),0)))</f>
        <v>1199611</v>
      </c>
      <c r="X16" s="368">
        <f>IFERROR(LARGE(($T$7:$T$39),ROWS($X$6:X16)-1),"")</f>
        <v>6.439827475719774E-2</v>
      </c>
    </row>
    <row r="17" spans="2:24" ht="15" customHeight="1">
      <c r="L17" s="34" t="str">
        <f>PROPER(TRIM(INDEX(Indicators!$B$4:$B$38,MATCH($M17,Indicators!$C$4:$C$38,0))))</f>
        <v>Citizens Financial Group, Inc.</v>
      </c>
      <c r="M17" s="5">
        <f>INDEX(Indicators!$C$4:$C$38,ROWS($M$6:M17)+1,MATCH($M$5,Indicators!$C$4:$C$38,0))</f>
        <v>1132449</v>
      </c>
      <c r="N17" s="340">
        <f>INDEX(Indicators!$D$4:$O$38,MATCH($M17,Indicators!$C$4:$C$38,0),MATCH($D$2,Indicators!$D$5:$O$5,0))</f>
        <v>157363.598</v>
      </c>
      <c r="O17" s="341"/>
      <c r="P17" s="366" t="str">
        <f>PROPER(TRIM(INDEX('FR Y-15 Data'!$A$1:$A$36,MATCH($Q17,'FR Y-15 Data'!$C$1:$C$66,0))))</f>
        <v>Capital One Financial Corporation</v>
      </c>
      <c r="Q17" s="367">
        <f t="array" ref="Q17">INDEX($M$6:$M$39,SMALL(IF($N$6:$N$39=$S17,ROW($N$6:$N$39),""),COUNTIF($S$7:$S17,$S17))-ROW($N$6)+1,0)</f>
        <v>2277860</v>
      </c>
      <c r="R17" s="364">
        <f>INDEX('2013 Indicators'!$D$4:$O$38,MATCH($Q17,'2013 Indicators'!$C$4:$C$38,0),MATCH($D$2,'2013 Indicators'!$D$5:$O$5,0))</f>
        <v>336207.913</v>
      </c>
      <c r="S17" s="364">
        <f>LARGE($N$7:$N$39,ROWS($S$6:$S17)-1)</f>
        <v>353601.304</v>
      </c>
      <c r="T17" s="368">
        <f t="shared" si="0"/>
        <v>5.1734032208813605E-2</v>
      </c>
      <c r="U17" s="365"/>
      <c r="V17" s="366" t="str">
        <f>IF(W17="","",PROPER(TRIM(INDEX(Indicators!$B$4:$B$38,MATCH($W17,Indicators!$C$4:$C$38,0)))))</f>
        <v>Fifth Third Bancorp</v>
      </c>
      <c r="W17" s="367">
        <f t="array" ref="W17">IF(X17="","",(INDEX($Q$7:$Q$39,SMALL(IF($T$7:$T$39=X17,ROW($T$7:$T$39),""),COUNTIF($X$7:$X17,$X17))-ROW($T$6),0)))</f>
        <v>1070345</v>
      </c>
      <c r="X17" s="368">
        <f>IFERROR(LARGE(($T$7:$T$39),ROWS($X$6:X17)-1),"")</f>
        <v>6.0329893096589524E-2</v>
      </c>
    </row>
    <row r="18" spans="2:24" ht="15" customHeight="1">
      <c r="L18" s="34" t="str">
        <f>PROPER(TRIM(INDEX(Indicators!$B$4:$B$38,MATCH($M18,Indicators!$C$4:$C$38,0))))</f>
        <v>Comerica Incorporated</v>
      </c>
      <c r="M18" s="5">
        <f>INDEX(Indicators!$C$4:$C$38,ROWS($M$6:M18)+1,MATCH($M$5,Indicators!$C$4:$C$38,0))</f>
        <v>1199844</v>
      </c>
      <c r="N18" s="340">
        <f>INDEX(Indicators!$D$4:$O$38,MATCH($M18,Indicators!$C$4:$C$38,0),MATCH($D$2,Indicators!$D$5:$O$5,0))</f>
        <v>102554.103</v>
      </c>
      <c r="O18" s="341"/>
      <c r="P18" s="366" t="str">
        <f>PROPER(TRIM(INDEX('FR Y-15 Data'!$A$1:$A$36,MATCH($Q18,'FR Y-15 Data'!$C$1:$C$66,0))))</f>
        <v>State Street Corporation</v>
      </c>
      <c r="Q18" s="367">
        <f t="array" ref="Q18">INDEX($M$6:$M$39,SMALL(IF($N$6:$N$39=$S18,ROW($N$6:$N$39),""),COUNTIF($S$7:$S18,$S18))-ROW($N$6)+1,0)</f>
        <v>1111435</v>
      </c>
      <c r="R18" s="364">
        <f>INDEX('2013 Indicators'!$D$4:$O$38,MATCH($Q18,'2013 Indicators'!$C$4:$C$38,0),MATCH($D$2,'2013 Indicators'!$D$5:$O$5,0))</f>
        <v>345428.17</v>
      </c>
      <c r="S18" s="364">
        <f>LARGE($N$7:$N$39,ROWS($S$6:$S18)-1)</f>
        <v>292211.65500000003</v>
      </c>
      <c r="T18" s="368">
        <f t="shared" si="0"/>
        <v>-0.15405956902704246</v>
      </c>
      <c r="U18" s="365"/>
      <c r="V18" s="366" t="str">
        <f>IF(W18="","",PROPER(TRIM(INDEX(Indicators!$B$4:$B$38,MATCH($W18,Indicators!$C$4:$C$38,0)))))</f>
        <v>Capital One Financial Corporation</v>
      </c>
      <c r="W18" s="367">
        <f t="array" ref="W18">IF(X18="","",(INDEX($Q$7:$Q$39,SMALL(IF($T$7:$T$39=X18,ROW($T$7:$T$39),""),COUNTIF($X$7:$X18,$X18))-ROW($T$6),0)))</f>
        <v>2277860</v>
      </c>
      <c r="X18" s="368">
        <f>IFERROR(LARGE(($T$7:$T$39),ROWS($X$6:X18)-1),"")</f>
        <v>5.1734032208813605E-2</v>
      </c>
    </row>
    <row r="19" spans="2:24" ht="15" customHeight="1">
      <c r="L19" s="34" t="str">
        <f>PROPER(TRIM(INDEX(Indicators!$B$4:$B$38,MATCH($M19,Indicators!$C$4:$C$38,0))))</f>
        <v>Deutsche Bank Trust Corporation</v>
      </c>
      <c r="M19" s="5">
        <f>INDEX(Indicators!$C$4:$C$38,ROWS($M$6:M19)+1,MATCH($M$5,Indicators!$C$4:$C$38,0))</f>
        <v>1032473</v>
      </c>
      <c r="N19" s="340">
        <f>INDEX(Indicators!$D$4:$O$38,MATCH($M19,Indicators!$C$4:$C$38,0),MATCH($D$2,Indicators!$D$5:$O$5,0))</f>
        <v>52700.800000000003</v>
      </c>
      <c r="O19" s="341"/>
      <c r="P19" s="366" t="str">
        <f>PROPER(TRIM(INDEX('FR Y-15 Data'!$A$1:$A$36,MATCH($Q19,'FR Y-15 Data'!$C$1:$C$66,0))))</f>
        <v>Td Bank Us Holding Company</v>
      </c>
      <c r="Q19" s="367">
        <f t="array" ref="Q19">INDEX($M$6:$M$39,SMALL(IF($N$6:$N$39=$S19,ROW($N$6:$N$39),""),COUNTIF($S$7:$S19,$S19))-ROW($N$6)+1,0)</f>
        <v>1249196</v>
      </c>
      <c r="R19" s="364">
        <f>INDEX('2013 Indicators'!$D$4:$O$38,MATCH($Q19,'2013 Indicators'!$C$4:$C$38,0),MATCH($D$2,'2013 Indicators'!$D$5:$O$5,0))</f>
        <v>276806.64299999998</v>
      </c>
      <c r="S19" s="364">
        <f>LARGE($N$7:$N$39,ROWS($S$6:$S19)-1)</f>
        <v>283631.859</v>
      </c>
      <c r="T19" s="368">
        <f t="shared" si="0"/>
        <v>2.4656980504618942E-2</v>
      </c>
      <c r="U19" s="365"/>
      <c r="V19" s="366" t="str">
        <f>IF(W19="","",PROPER(TRIM(INDEX(Indicators!$B$4:$B$38,MATCH($W19,Indicators!$C$4:$C$38,0)))))</f>
        <v>Mufg Americas Holdings Corporation</v>
      </c>
      <c r="W19" s="367">
        <f t="array" ref="W19">IF(X19="","",(INDEX($Q$7:$Q$39,SMALL(IF($T$7:$T$39=X19,ROW($T$7:$T$39),""),COUNTIF($X$7:$X19,$X19))-ROW($T$6),0)))</f>
        <v>1378434</v>
      </c>
      <c r="X19" s="368">
        <f>IFERROR(LARGE(($T$7:$T$39),ROWS($X$6:X19)-1),"")</f>
        <v>5.0797031256751952E-2</v>
      </c>
    </row>
    <row r="20" spans="2:24" ht="15" customHeight="1">
      <c r="L20" s="34" t="str">
        <f>PROPER(TRIM(INDEX(Indicators!$B$4:$B$38,MATCH($M20,Indicators!$C$4:$C$38,0))))</f>
        <v>Discover Financial Services</v>
      </c>
      <c r="M20" s="5">
        <f>INDEX(Indicators!$C$4:$C$38,ROWS($M$6:M20)+1,MATCH($M$5,Indicators!$C$4:$C$38,0))</f>
        <v>3846375</v>
      </c>
      <c r="N20" s="340">
        <f>INDEX(Indicators!$D$4:$O$38,MATCH($M20,Indicators!$C$4:$C$38,0),MATCH($D$2,Indicators!$D$5:$O$5,0))</f>
        <v>100186.019</v>
      </c>
      <c r="O20" s="341"/>
      <c r="P20" s="366" t="str">
        <f>PROPER(TRIM(INDEX('FR Y-15 Data'!$A$1:$A$36,MATCH($Q20,'FR Y-15 Data'!$C$1:$C$66,0))))</f>
        <v>Suntrust Banks, Inc.</v>
      </c>
      <c r="Q20" s="367">
        <f t="array" ref="Q20">INDEX($M$6:$M$39,SMALL(IF($N$6:$N$39=$S20,ROW($N$6:$N$39),""),COUNTIF($S$7:$S20,$S20))-ROW($N$6)+1,0)</f>
        <v>1131787</v>
      </c>
      <c r="R20" s="364">
        <f>INDEX('2013 Indicators'!$D$4:$O$38,MATCH($Q20,'2013 Indicators'!$C$4:$C$38,0),MATCH($D$2,'2013 Indicators'!$D$5:$O$5,0))</f>
        <v>229448.402</v>
      </c>
      <c r="S20" s="364">
        <f>LARGE($N$7:$N$39,ROWS($S$6:$S20)-1)</f>
        <v>252483.177</v>
      </c>
      <c r="T20" s="368">
        <f t="shared" si="0"/>
        <v>0.10039196089062322</v>
      </c>
      <c r="U20" s="365"/>
      <c r="V20" s="366" t="str">
        <f>IF(W20="","",PROPER(TRIM(INDEX(Indicators!$B$4:$B$38,MATCH($W20,Indicators!$C$4:$C$38,0)))))</f>
        <v>Jpmorgan Chase &amp; Co.</v>
      </c>
      <c r="W20" s="367">
        <f t="array" ref="W20">IF(X20="","",(INDEX($Q$7:$Q$39,SMALL(IF($T$7:$T$39=X20,ROW($T$7:$T$39),""),COUNTIF($X$7:$X20,$X20))-ROW($T$6),0)))</f>
        <v>1039502</v>
      </c>
      <c r="X20" s="368">
        <f>IFERROR(LARGE(($T$7:$T$39),ROWS($X$6:X20)-1),"")</f>
        <v>4.8622687027542279E-2</v>
      </c>
    </row>
    <row r="21" spans="2:24" ht="15" customHeight="1">
      <c r="L21" s="34" t="str">
        <f>PROPER(TRIM(INDEX(Indicators!$B$4:$B$38,MATCH($M21,Indicators!$C$4:$C$38,0))))</f>
        <v>Fifth Third Bancorp</v>
      </c>
      <c r="M21" s="5">
        <f>INDEX(Indicators!$C$4:$C$38,ROWS($M$6:M21)+1,MATCH($M$5,Indicators!$C$4:$C$38,0))</f>
        <v>1070345</v>
      </c>
      <c r="N21" s="340">
        <f>INDEX(Indicators!$D$4:$O$38,MATCH($M21,Indicators!$C$4:$C$38,0),MATCH($D$2,Indicators!$D$5:$O$5,0))</f>
        <v>184945.58799999999</v>
      </c>
      <c r="O21" s="341"/>
      <c r="P21" s="366" t="str">
        <f>PROPER(TRIM(INDEX('FR Y-15 Data'!$A$1:$A$36,MATCH($Q21,'FR Y-15 Data'!$C$1:$C$66,0))))</f>
        <v>Bb&amp;T Corporation</v>
      </c>
      <c r="Q21" s="367">
        <f t="array" ref="Q21">INDEX($M$6:$M$39,SMALL(IF($N$6:$N$39=$S21,ROW($N$6:$N$39),""),COUNTIF($S$7:$S21,$S21))-ROW($N$6)+1,0)</f>
        <v>1074156</v>
      </c>
      <c r="R21" s="364">
        <f>INDEX('2013 Indicators'!$D$4:$O$38,MATCH($Q21,'2013 Indicators'!$C$4:$C$38,0),MATCH($D$2,'2013 Indicators'!$D$5:$O$5,0))</f>
        <v>212387.101</v>
      </c>
      <c r="S21" s="364">
        <f>LARGE($N$7:$N$39,ROWS($S$6:$S21)-1)</f>
        <v>217773.05</v>
      </c>
      <c r="T21" s="368">
        <f t="shared" si="0"/>
        <v>2.5359115382435553E-2</v>
      </c>
      <c r="U21" s="365"/>
      <c r="V21" s="366" t="str">
        <f>IF(W21="","",PROPER(TRIM(INDEX(Indicators!$B$4:$B$38,MATCH($W21,Indicators!$C$4:$C$38,0)))))</f>
        <v>Discover Financial Services</v>
      </c>
      <c r="W21" s="367">
        <f t="array" ref="W21">IF(X21="","",(INDEX($Q$7:$Q$39,SMALL(IF($T$7:$T$39=X21,ROW($T$7:$T$39),""),COUNTIF($X$7:$X21,$X21))-ROW($T$6),0)))</f>
        <v>3846375</v>
      </c>
      <c r="X21" s="368">
        <f>IFERROR(LARGE(($T$7:$T$39),ROWS($X$6:X21)-1),"")</f>
        <v>4.7609156135331149E-2</v>
      </c>
    </row>
    <row r="22" spans="2:24" ht="15" customHeight="1">
      <c r="L22" s="34" t="str">
        <f>PROPER(TRIM(INDEX(Indicators!$B$4:$B$38,MATCH($M22,Indicators!$C$4:$C$38,0))))</f>
        <v>Goldman Sachs Group, Inc., The</v>
      </c>
      <c r="M22" s="5">
        <f>INDEX(Indicators!$C$4:$C$38,ROWS($M$6:M22)+1,MATCH($M$5,Indicators!$C$4:$C$38,0))</f>
        <v>2380443</v>
      </c>
      <c r="N22" s="340">
        <f>INDEX(Indicators!$D$4:$O$38,MATCH($M22,Indicators!$C$4:$C$38,0),MATCH($D$2,Indicators!$D$5:$O$5,0))</f>
        <v>1484013</v>
      </c>
      <c r="O22" s="341"/>
      <c r="P22" s="366" t="str">
        <f>PROPER(TRIM(INDEX('FR Y-15 Data'!$A$1:$A$36,MATCH($Q22,'FR Y-15 Data'!$C$1:$C$66,0))))</f>
        <v>American Express Company</v>
      </c>
      <c r="Q22" s="367">
        <f t="array" ref="Q22">INDEX($M$6:$M$39,SMALL(IF($N$6:$N$39=$S22,ROW($N$6:$N$39),""),COUNTIF($S$7:$S22,$S22))-ROW($N$6)+1,0)</f>
        <v>1275216</v>
      </c>
      <c r="R22" s="364">
        <f>INDEX('2013 Indicators'!$D$4:$O$38,MATCH($Q22,'2013 Indicators'!$C$4:$C$38,0),MATCH($D$2,'2013 Indicators'!$D$5:$O$5,0))</f>
        <v>177271.7</v>
      </c>
      <c r="S22" s="364">
        <f>LARGE($N$7:$N$39,ROWS($S$6:$S22)-1)</f>
        <v>184977.1</v>
      </c>
      <c r="T22" s="368">
        <f t="shared" si="0"/>
        <v>4.3466610857796219E-2</v>
      </c>
      <c r="U22" s="365"/>
      <c r="V22" s="366" t="str">
        <f>IF(W22="","",PROPER(TRIM(INDEX(Indicators!$B$4:$B$38,MATCH($W22,Indicators!$C$4:$C$38,0)))))</f>
        <v>Comerica Incorporated</v>
      </c>
      <c r="W22" s="367">
        <f t="array" ref="W22">IF(X22="","",(INDEX($Q$7:$Q$39,SMALL(IF($T$7:$T$39=X22,ROW($T$7:$T$39),""),COUNTIF($X$7:$X22,$X22))-ROW($T$6),0)))</f>
        <v>1199844</v>
      </c>
      <c r="X22" s="368">
        <f>IFERROR(LARGE(($T$7:$T$39),ROWS($X$6:X22)-1),"")</f>
        <v>4.5573709951553937E-2</v>
      </c>
    </row>
    <row r="23" spans="2:24" ht="15" customHeight="1">
      <c r="L23" s="34" t="str">
        <f>PROPER(TRIM(INDEX(Indicators!$B$4:$B$38,MATCH($M23,Indicators!$C$4:$C$38,0))))</f>
        <v>Hsbc North America Holdings Inc.</v>
      </c>
      <c r="M23" s="5">
        <f>INDEX(Indicators!$C$4:$C$38,ROWS($M$6:M23)+1,MATCH($M$5,Indicators!$C$4:$C$38,0))</f>
        <v>3232316</v>
      </c>
      <c r="N23" s="340">
        <f>INDEX(Indicators!$D$4:$O$38,MATCH($M23,Indicators!$C$4:$C$38,0),MATCH($D$2,Indicators!$D$5:$O$5,0))</f>
        <v>416909.71299999999</v>
      </c>
      <c r="O23" s="341"/>
      <c r="P23" s="366" t="str">
        <f>PROPER(TRIM(INDEX('FR Y-15 Data'!$A$1:$A$36,MATCH($Q23,'FR Y-15 Data'!$C$1:$C$66,0))))</f>
        <v>Fifth Third Bancorp</v>
      </c>
      <c r="Q23" s="367">
        <f t="array" ref="Q23">INDEX($M$6:$M$39,SMALL(IF($N$6:$N$39=$S23,ROW($N$6:$N$39),""),COUNTIF($S$7:$S23,$S23))-ROW($N$6)+1,0)</f>
        <v>1070345</v>
      </c>
      <c r="R23" s="364">
        <f>INDEX('2013 Indicators'!$D$4:$O$38,MATCH($Q23,'2013 Indicators'!$C$4:$C$38,0),MATCH($D$2,'2013 Indicators'!$D$5:$O$5,0))</f>
        <v>174422.68599999999</v>
      </c>
      <c r="S23" s="364">
        <f>LARGE($N$7:$N$39,ROWS($S$6:$S23)-1)</f>
        <v>184945.58799999999</v>
      </c>
      <c r="T23" s="368">
        <f t="shared" si="0"/>
        <v>6.0329893096589524E-2</v>
      </c>
      <c r="U23" s="365"/>
      <c r="V23" s="366" t="str">
        <f>IF(W23="","",PROPER(TRIM(INDEX(Indicators!$B$4:$B$38,MATCH($W23,Indicators!$C$4:$C$38,0)))))</f>
        <v>Keycorp</v>
      </c>
      <c r="W23" s="367">
        <f t="array" ref="W23">IF(X23="","",(INDEX($Q$7:$Q$39,SMALL(IF($T$7:$T$39=X23,ROW($T$7:$T$39),""),COUNTIF($X$7:$X23,$X23))-ROW($T$6),0)))</f>
        <v>1068025</v>
      </c>
      <c r="X23" s="368">
        <f>IFERROR(LARGE(($T$7:$T$39),ROWS($X$6:X23)-1),"")</f>
        <v>4.504329371364918E-2</v>
      </c>
    </row>
    <row r="24" spans="2:24" ht="15" customHeight="1">
      <c r="L24" s="34" t="str">
        <f>PROPER(TRIM(INDEX(Indicators!$B$4:$B$38,MATCH($M24,Indicators!$C$4:$C$38,0))))</f>
        <v>Huntington Bancshares Incorporated</v>
      </c>
      <c r="M24" s="5">
        <f>INDEX(Indicators!$C$4:$C$38,ROWS($M$6:M24)+1,MATCH($M$5,Indicators!$C$4:$C$38,0))</f>
        <v>1068191</v>
      </c>
      <c r="N24" s="340">
        <f>INDEX(Indicators!$D$4:$O$38,MATCH($M24,Indicators!$C$4:$C$38,0),MATCH($D$2,Indicators!$D$5:$O$5,0))</f>
        <v>80340.612999999998</v>
      </c>
      <c r="O24" s="341"/>
      <c r="P24" s="366" t="str">
        <f>PROPER(TRIM(INDEX('FR Y-15 Data'!$A$1:$A$36,MATCH($Q24,'FR Y-15 Data'!$C$1:$C$66,0))))</f>
        <v>Citizens Financial Group, Inc.</v>
      </c>
      <c r="Q24" s="367">
        <f t="array" ref="Q24">INDEX($M$6:$M$39,SMALL(IF($N$6:$N$39=$S24,ROW($N$6:$N$39),""),COUNTIF($S$7:$S24,$S24))-ROW($N$6)+1,0)</f>
        <v>1132449</v>
      </c>
      <c r="R24" s="364">
        <f>INDEX('2013 Indicators'!$D$4:$O$38,MATCH($Q24,'2013 Indicators'!$C$4:$C$38,0),MATCH($D$2,'2013 Indicators'!$D$5:$O$5,0))</f>
        <v>146082.291</v>
      </c>
      <c r="S24" s="364">
        <f>LARGE($N$7:$N$39,ROWS($S$6:$S24)-1)</f>
        <v>157363.598</v>
      </c>
      <c r="T24" s="368">
        <f t="shared" si="0"/>
        <v>7.7225698767279055E-2</v>
      </c>
      <c r="U24" s="365"/>
      <c r="V24" s="366" t="str">
        <f>IF(W24="","",PROPER(TRIM(INDEX(Indicators!$B$4:$B$38,MATCH($W24,Indicators!$C$4:$C$38,0)))))</f>
        <v>American Express Company</v>
      </c>
      <c r="W24" s="367">
        <f t="array" ref="W24">IF(X24="","",(INDEX($Q$7:$Q$39,SMALL(IF($T$7:$T$39=X24,ROW($T$7:$T$39),""),COUNTIF($X$7:$X24,$X24))-ROW($T$6),0)))</f>
        <v>1275216</v>
      </c>
      <c r="X24" s="368">
        <f>IFERROR(LARGE(($T$7:$T$39),ROWS($X$6:X24)-1),"")</f>
        <v>4.3466610857796219E-2</v>
      </c>
    </row>
    <row r="25" spans="2:24" ht="15" customHeight="1">
      <c r="L25" s="34" t="str">
        <f>PROPER(TRIM(INDEX(Indicators!$B$4:$B$38,MATCH($M25,Indicators!$C$4:$C$38,0))))</f>
        <v>Jpmorgan Chase &amp; Co.</v>
      </c>
      <c r="M25" s="5">
        <f>INDEX(Indicators!$C$4:$C$38,ROWS($M$6:M25)+1,MATCH($M$5,Indicators!$C$4:$C$38,0))</f>
        <v>1039502</v>
      </c>
      <c r="N25" s="340">
        <f>INDEX(Indicators!$D$4:$O$38,MATCH($M25,Indicators!$C$4:$C$38,0),MATCH($D$2,Indicators!$D$5:$O$5,0))</f>
        <v>3743113</v>
      </c>
      <c r="O25" s="341"/>
      <c r="P25" s="366" t="str">
        <f>PROPER(TRIM(INDEX('FR Y-15 Data'!$A$1:$A$36,MATCH($Q25,'FR Y-15 Data'!$C$1:$C$66,0))))</f>
        <v>Bmo Financial Corp.</v>
      </c>
      <c r="Q25" s="367">
        <f t="array" ref="Q25">INDEX($M$6:$M$39,SMALL(IF($N$6:$N$39=$S25,ROW($N$6:$N$39),""),COUNTIF($S$7:$S25,$S25))-ROW($N$6)+1,0)</f>
        <v>1245415</v>
      </c>
      <c r="R25" s="364">
        <f>INDEX('2013 Indicators'!$D$4:$O$38,MATCH($Q25,'2013 Indicators'!$C$4:$C$38,0),MATCH($D$2,'2013 Indicators'!$D$5:$O$5,0))</f>
        <v>162934.99299999999</v>
      </c>
      <c r="S25" s="364">
        <f>LARGE($N$7:$N$39,ROWS($S$6:$S25)-1)</f>
        <v>155869.27799999999</v>
      </c>
      <c r="T25" s="368">
        <f t="shared" si="0"/>
        <v>-4.3365239534517895E-2</v>
      </c>
      <c r="U25" s="365"/>
      <c r="V25" s="366" t="str">
        <f>IF(W25="","",PROPER(TRIM(INDEX(Indicators!$B$4:$B$38,MATCH($W25,Indicators!$C$4:$C$38,0)))))</f>
        <v>Bank Of America Corporation</v>
      </c>
      <c r="W25" s="367">
        <f t="array" ref="W25">IF(X25="","",(INDEX($Q$7:$Q$39,SMALL(IF($T$7:$T$39=X25,ROW($T$7:$T$39),""),COUNTIF($X$7:$X25,$X25))-ROW($T$6),0)))</f>
        <v>1073757</v>
      </c>
      <c r="X25" s="368">
        <f>IFERROR(LARGE(($T$7:$T$39),ROWS($X$6:X25)-1),"")</f>
        <v>4.2516480361825267E-2</v>
      </c>
    </row>
    <row r="26" spans="2:24" ht="15" customHeight="1">
      <c r="L26" s="34" t="str">
        <f>PROPER(TRIM(INDEX(Indicators!$B$4:$B$38,MATCH($M26,Indicators!$C$4:$C$38,0))))</f>
        <v>Keycorp</v>
      </c>
      <c r="M26" s="5">
        <f>INDEX(Indicators!$C$4:$C$38,ROWS($M$6:M26)+1,MATCH($M$5,Indicators!$C$4:$C$38,0))</f>
        <v>1068025</v>
      </c>
      <c r="N26" s="340">
        <f>INDEX(Indicators!$D$4:$O$38,MATCH($M26,Indicators!$C$4:$C$38,0),MATCH($D$2,Indicators!$D$5:$O$5,0))</f>
        <v>140421.22899999999</v>
      </c>
      <c r="O26" s="341"/>
      <c r="P26" s="366" t="str">
        <f>PROPER(TRIM(INDEX('FR Y-15 Data'!$A$1:$A$36,MATCH($Q26,'FR Y-15 Data'!$C$1:$C$66,0))))</f>
        <v>Ally Financial Inc.</v>
      </c>
      <c r="Q26" s="367">
        <f t="array" ref="Q26">INDEX($M$6:$M$39,SMALL(IF($N$6:$N$39=$S26,ROW($N$6:$N$39),""),COUNTIF($S$7:$S26,$S26))-ROW($N$6)+1,0)</f>
        <v>1562859</v>
      </c>
      <c r="R26" s="364">
        <f>INDEX('2013 Indicators'!$D$4:$O$38,MATCH($Q26,'2013 Indicators'!$C$4:$C$38,0),MATCH($D$2,'2013 Indicators'!$D$5:$O$5,0))</f>
        <v>152516</v>
      </c>
      <c r="S26" s="364">
        <f>LARGE($N$7:$N$39,ROWS($S$6:$S26)-1)</f>
        <v>154346.6</v>
      </c>
      <c r="T26" s="368">
        <f t="shared" si="0"/>
        <v>1.2002675129166814E-2</v>
      </c>
      <c r="U26" s="365"/>
      <c r="V26" s="366" t="str">
        <f>IF(W26="","",PROPER(TRIM(INDEX(Indicators!$B$4:$B$38,MATCH($W26,Indicators!$C$4:$C$38,0)))))</f>
        <v>Regions Financial Corporation</v>
      </c>
      <c r="W26" s="367">
        <f t="array" ref="W26">IF(X26="","",(INDEX($Q$7:$Q$39,SMALL(IF($T$7:$T$39=X26,ROW($T$7:$T$39),""),COUNTIF($X$7:$X26,$X26))-ROW($T$6),0)))</f>
        <v>3242838</v>
      </c>
      <c r="X26" s="368">
        <f>IFERROR(LARGE(($T$7:$T$39),ROWS($X$6:X26)-1),"")</f>
        <v>3.5538126348879678E-2</v>
      </c>
    </row>
    <row r="27" spans="2:24" ht="15" customHeight="1">
      <c r="L27" s="34" t="str">
        <f>PROPER(TRIM(INDEX(Indicators!$B$4:$B$38,MATCH($M27,Indicators!$C$4:$C$38,0))))</f>
        <v>M&amp;T Bank Corporation</v>
      </c>
      <c r="M27" s="5">
        <f>INDEX(Indicators!$C$4:$C$38,ROWS($M$6:M27)+1,MATCH($M$5,Indicators!$C$4:$C$38,0))</f>
        <v>1037003</v>
      </c>
      <c r="N27" s="340">
        <f>INDEX(Indicators!$D$4:$O$38,MATCH($M27,Indicators!$C$4:$C$38,0),MATCH($D$2,Indicators!$D$5:$O$5,0))</f>
        <v>119589.791</v>
      </c>
      <c r="O27" s="341"/>
      <c r="P27" s="366" t="str">
        <f>PROPER(TRIM(INDEX('FR Y-15 Data'!$A$1:$A$36,MATCH($Q27,'FR Y-15 Data'!$C$1:$C$66,0))))</f>
        <v>Mufg Americas Holdings Corporation</v>
      </c>
      <c r="Q27" s="367">
        <f t="array" ref="Q27">INDEX($M$6:$M$39,SMALL(IF($N$6:$N$39=$S27,ROW($N$6:$N$39),""),COUNTIF($S$7:$S27,$S27))-ROW($N$6)+1,0)</f>
        <v>1378434</v>
      </c>
      <c r="R27" s="364">
        <f>INDEX('2013 Indicators'!$D$4:$O$38,MATCH($Q27,'2013 Indicators'!$C$4:$C$38,0),MATCH($D$2,'2013 Indicators'!$D$5:$O$5,0))</f>
        <v>146461.571</v>
      </c>
      <c r="S27" s="364">
        <f>LARGE($N$7:$N$39,ROWS($S$6:$S27)-1)</f>
        <v>153901.38399999999</v>
      </c>
      <c r="T27" s="368">
        <f t="shared" si="0"/>
        <v>5.0797031256751952E-2</v>
      </c>
      <c r="U27" s="365"/>
      <c r="V27" s="366" t="str">
        <f>IF(W27="","",PROPER(TRIM(INDEX(Indicators!$B$4:$B$38,MATCH($W27,Indicators!$C$4:$C$38,0)))))</f>
        <v>Hsbc North America Holdings Inc.</v>
      </c>
      <c r="W27" s="367">
        <f t="array" ref="W27">IF(X27="","",(INDEX($Q$7:$Q$39,SMALL(IF($T$7:$T$39=X27,ROW($T$7:$T$39),""),COUNTIF($X$7:$X27,$X27))-ROW($T$6),0)))</f>
        <v>3232316</v>
      </c>
      <c r="X27" s="368">
        <f>IFERROR(LARGE(($T$7:$T$39),ROWS($X$6:X27)-1),"")</f>
        <v>2.7423094854175014E-2</v>
      </c>
    </row>
    <row r="28" spans="2:24" ht="15" customHeight="1">
      <c r="L28" s="34" t="str">
        <f>PROPER(TRIM(INDEX(Indicators!$B$4:$B$38,MATCH($M28,Indicators!$C$4:$C$38,0))))</f>
        <v>Morgan Stanley</v>
      </c>
      <c r="M28" s="5">
        <f>INDEX(Indicators!$C$4:$C$38,ROWS($M$6:M28)+1,MATCH($M$5,Indicators!$C$4:$C$38,0))</f>
        <v>2162966</v>
      </c>
      <c r="N28" s="340">
        <f>INDEX(Indicators!$D$4:$O$38,MATCH($M28,Indicators!$C$4:$C$38,0),MATCH($D$2,Indicators!$D$5:$O$5,0))</f>
        <v>1281234.6640000001</v>
      </c>
      <c r="O28" s="341"/>
      <c r="P28" s="366" t="str">
        <f>PROPER(TRIM(INDEX('FR Y-15 Data'!$A$1:$A$36,MATCH($Q28,'FR Y-15 Data'!$C$1:$C$66,0))))</f>
        <v>Northern Trust Corporation</v>
      </c>
      <c r="Q28" s="367">
        <f t="array" ref="Q28">INDEX($M$6:$M$39,SMALL(IF($N$6:$N$39=$S28,ROW($N$6:$N$39),""),COUNTIF($S$7:$S28,$S28))-ROW($N$6)+1,0)</f>
        <v>1199611</v>
      </c>
      <c r="R28" s="364">
        <f>INDEX('2013 Indicators'!$D$4:$O$38,MATCH($Q28,'2013 Indicators'!$C$4:$C$38,0),MATCH($D$2,'2013 Indicators'!$D$5:$O$5,0))</f>
        <v>142399.20300000001</v>
      </c>
      <c r="S28" s="364">
        <f>LARGE($N$7:$N$39,ROWS($S$6:$S28)-1)</f>
        <v>151569.46599999999</v>
      </c>
      <c r="T28" s="368">
        <f t="shared" si="0"/>
        <v>6.439827475719774E-2</v>
      </c>
      <c r="U28" s="365"/>
      <c r="V28" s="366" t="str">
        <f>IF(W28="","",PROPER(TRIM(INDEX(Indicators!$B$4:$B$38,MATCH($W28,Indicators!$C$4:$C$38,0)))))</f>
        <v>U.S. Bancorp</v>
      </c>
      <c r="W28" s="367">
        <f t="array" ref="W28">IF(X28="","",(INDEX($Q$7:$Q$39,SMALL(IF($T$7:$T$39=X28,ROW($T$7:$T$39),""),COUNTIF($X$7:$X28,$X28))-ROW($T$6),0)))</f>
        <v>1119794</v>
      </c>
      <c r="X28" s="368">
        <f>IFERROR(LARGE(($T$7:$T$39),ROWS($X$6:X28)-1),"")</f>
        <v>2.6912935096739418E-2</v>
      </c>
    </row>
    <row r="29" spans="2:24" ht="15" customHeight="1">
      <c r="L29" s="34" t="str">
        <f>PROPER(TRIM(INDEX(Indicators!$B$4:$B$38,MATCH($M29,Indicators!$C$4:$C$38,0))))</f>
        <v>Mufg Americas Holdings Corporation</v>
      </c>
      <c r="M29" s="5">
        <f>INDEX(Indicators!$C$4:$C$38,ROWS($M$6:M29)+1,MATCH($M$5,Indicators!$C$4:$C$38,0))</f>
        <v>1378434</v>
      </c>
      <c r="N29" s="340">
        <f>INDEX(Indicators!$D$4:$O$38,MATCH($M29,Indicators!$C$4:$C$38,0),MATCH($D$2,Indicators!$D$5:$O$5,0))</f>
        <v>153901.38399999999</v>
      </c>
      <c r="O29" s="341"/>
      <c r="P29" s="366" t="str">
        <f>PROPER(TRIM(INDEX('FR Y-15 Data'!$A$1:$A$36,MATCH($Q29,'FR Y-15 Data'!$C$1:$C$66,0))))</f>
        <v>Regions Financial Corporation</v>
      </c>
      <c r="Q29" s="367">
        <f t="array" ref="Q29">INDEX($M$6:$M$39,SMALL(IF($N$6:$N$39=$S29,ROW($N$6:$N$39),""),COUNTIF($S$7:$S29,$S29))-ROW($N$6)+1,0)</f>
        <v>3242838</v>
      </c>
      <c r="R29" s="364">
        <f>INDEX('2013 Indicators'!$D$4:$O$38,MATCH($Q29,'2013 Indicators'!$C$4:$C$38,0),MATCH($D$2,'2013 Indicators'!$D$5:$O$5,0))</f>
        <v>145969.288</v>
      </c>
      <c r="S29" s="364">
        <f>LARGE($N$7:$N$39,ROWS($S$6:$S29)-1)</f>
        <v>151156.76300000001</v>
      </c>
      <c r="T29" s="368">
        <f t="shared" si="0"/>
        <v>3.5538126348879678E-2</v>
      </c>
      <c r="U29" s="365"/>
      <c r="V29" s="366" t="str">
        <f>IF(W29="","",PROPER(TRIM(INDEX(Indicators!$B$4:$B$38,MATCH($W29,Indicators!$C$4:$C$38,0)))))</f>
        <v>Bb&amp;T Corporation</v>
      </c>
      <c r="W29" s="367">
        <f t="array" ref="W29">IF(X29="","",(INDEX($Q$7:$Q$39,SMALL(IF($T$7:$T$39=X29,ROW($T$7:$T$39),""),COUNTIF($X$7:$X29,$X29))-ROW($T$6),0)))</f>
        <v>1074156</v>
      </c>
      <c r="X29" s="368">
        <f>IFERROR(LARGE(($T$7:$T$39),ROWS($X$6:X29)-1),"")</f>
        <v>2.5359115382435553E-2</v>
      </c>
    </row>
    <row r="30" spans="2:24" ht="15" customHeight="1">
      <c r="B30" s="334"/>
      <c r="L30" s="34" t="str">
        <f>PROPER(TRIM(INDEX(Indicators!$B$4:$B$38,MATCH($M30,Indicators!$C$4:$C$38,0))))</f>
        <v>Northern Trust Corporation</v>
      </c>
      <c r="M30" s="5">
        <f>INDEX(Indicators!$C$4:$C$38,ROWS($M$6:M30)+1,MATCH($M$5,Indicators!$C$4:$C$38,0))</f>
        <v>1199611</v>
      </c>
      <c r="N30" s="340">
        <f>INDEX(Indicators!$D$4:$O$38,MATCH($M30,Indicators!$C$4:$C$38,0),MATCH($D$2,Indicators!$D$5:$O$5,0))</f>
        <v>151569.46599999999</v>
      </c>
      <c r="O30" s="341"/>
      <c r="P30" s="366" t="str">
        <f>PROPER(TRIM(INDEX('FR Y-15 Data'!$A$1:$A$36,MATCH($Q30,'FR Y-15 Data'!$C$1:$C$66,0))))</f>
        <v>Santander Holdings Usa, Inc.</v>
      </c>
      <c r="Q30" s="367">
        <f t="array" ref="Q30">INDEX($M$6:$M$39,SMALL(IF($N$6:$N$39=$S30,ROW($N$6:$N$39),""),COUNTIF($S$7:$S30,$S30))-ROW($N$6)+1,0)</f>
        <v>3981856</v>
      </c>
      <c r="R30" s="364">
        <f>INDEX('2013 Indicators'!$D$4:$O$38,MATCH($Q30,'2013 Indicators'!$C$4:$C$38,0),MATCH($D$2,'2013 Indicators'!$D$5:$O$5,0))</f>
        <v>98283.41</v>
      </c>
      <c r="S30" s="364">
        <f>LARGE($N$7:$N$39,ROWS($S$6:$S30)-1)</f>
        <v>146358.35699999999</v>
      </c>
      <c r="T30" s="368">
        <f t="shared" si="0"/>
        <v>0.4891461030910505</v>
      </c>
      <c r="U30" s="365"/>
      <c r="V30" s="366" t="str">
        <f>IF(W30="","",PROPER(TRIM(INDEX(Indicators!$B$4:$B$38,MATCH($W30,Indicators!$C$4:$C$38,0)))))</f>
        <v>Td Bank Us Holding Company</v>
      </c>
      <c r="W30" s="367">
        <f t="array" ref="W30">IF(X30="","",(INDEX($Q$7:$Q$39,SMALL(IF($T$7:$T$39=X30,ROW($T$7:$T$39),""),COUNTIF($X$7:$X30,$X30))-ROW($T$6),0)))</f>
        <v>1249196</v>
      </c>
      <c r="X30" s="368">
        <f>IFERROR(LARGE(($T$7:$T$39),ROWS($X$6:X30)-1),"")</f>
        <v>2.4656980504618942E-2</v>
      </c>
    </row>
    <row r="31" spans="2:24" ht="15" customHeight="1">
      <c r="B31" s="356" t="str">
        <f>"Year-on-Year Percent Change: "&amp;D2</f>
        <v>Year-on-Year Percent Change: Total Exposures</v>
      </c>
      <c r="C31" s="356"/>
      <c r="D31" s="356"/>
      <c r="E31" s="356"/>
      <c r="F31" s="356"/>
      <c r="G31" s="356"/>
      <c r="H31" s="356"/>
      <c r="I31" s="356"/>
      <c r="L31" s="34" t="str">
        <f>PROPER(TRIM(INDEX(Indicators!$B$4:$B$38,MATCH($M31,Indicators!$C$4:$C$38,0))))</f>
        <v>Pnc Financial Services Group, Inc., The</v>
      </c>
      <c r="M31" s="5">
        <f>INDEX(Indicators!$C$4:$C$38,ROWS($M$6:M31)+1,MATCH($M$5,Indicators!$C$4:$C$38,0))</f>
        <v>1069778</v>
      </c>
      <c r="N31" s="340">
        <f>INDEX(Indicators!$D$4:$O$38,MATCH($M31,Indicators!$C$4:$C$38,0),MATCH($D$2,Indicators!$D$5:$O$5,0))</f>
        <v>459925.08100000001</v>
      </c>
      <c r="O31" s="341"/>
      <c r="P31" s="366" t="str">
        <f>PROPER(TRIM(INDEX('FR Y-15 Data'!$A$1:$A$36,MATCH($Q31,'FR Y-15 Data'!$C$1:$C$66,0))))</f>
        <v>Keycorp</v>
      </c>
      <c r="Q31" s="367">
        <f t="array" ref="Q31">INDEX($M$6:$M$39,SMALL(IF($N$6:$N$39=$S31,ROW($N$6:$N$39),""),COUNTIF($S$7:$S31,$S31))-ROW($N$6)+1,0)</f>
        <v>1068025</v>
      </c>
      <c r="R31" s="364">
        <f>INDEX('2013 Indicators'!$D$4:$O$38,MATCH($Q31,'2013 Indicators'!$C$4:$C$38,0),MATCH($D$2,'2013 Indicators'!$D$5:$O$5,0))</f>
        <v>134368.815</v>
      </c>
      <c r="S31" s="364">
        <f>LARGE($N$7:$N$39,ROWS($S$6:$S31)-1)</f>
        <v>140421.22899999999</v>
      </c>
      <c r="T31" s="368">
        <f t="shared" si="0"/>
        <v>4.504329371364918E-2</v>
      </c>
      <c r="U31" s="365"/>
      <c r="V31" s="366" t="str">
        <f>IF(W31="","",PROPER(TRIM(INDEX(Indicators!$B$4:$B$38,MATCH($W31,Indicators!$C$4:$C$38,0)))))</f>
        <v>Bank Of New York Mellon Corporation, The</v>
      </c>
      <c r="W31" s="367">
        <f t="array" ref="W31">IF(X31="","",(INDEX($Q$7:$Q$39,SMALL(IF($T$7:$T$39=X31,ROW($T$7:$T$39),""),COUNTIF($X$7:$X31,$X31))-ROW($T$6),0)))</f>
        <v>3587146</v>
      </c>
      <c r="X31" s="368">
        <f>IFERROR(LARGE(($T$7:$T$39),ROWS($X$6:X31)-1),"")</f>
        <v>2.1885134775580645E-2</v>
      </c>
    </row>
    <row r="32" spans="2:24" ht="15" customHeight="1">
      <c r="L32" s="34" t="str">
        <f>PROPER(TRIM(INDEX(Indicators!$B$4:$B$38,MATCH($M32,Indicators!$C$4:$C$38,0))))</f>
        <v>Regions Financial Corporation</v>
      </c>
      <c r="M32" s="5">
        <f>INDEX(Indicators!$C$4:$C$38,ROWS($M$6:M32)+1,MATCH($M$5,Indicators!$C$4:$C$38,0))</f>
        <v>3242838</v>
      </c>
      <c r="N32" s="340">
        <f>INDEX(Indicators!$D$4:$O$38,MATCH($M32,Indicators!$C$4:$C$38,0),MATCH($D$2,Indicators!$D$5:$O$5,0))</f>
        <v>151156.76300000001</v>
      </c>
      <c r="O32" s="341"/>
      <c r="P32" s="366" t="str">
        <f>PROPER(TRIM(INDEX('FR Y-15 Data'!$A$1:$A$36,MATCH($Q32,'FR Y-15 Data'!$C$1:$C$66,0))))</f>
        <v>M&amp;T Bank Corporation</v>
      </c>
      <c r="Q32" s="367">
        <f t="array" ref="Q32">INDEX($M$6:$M$39,SMALL(IF($N$6:$N$39=$S32,ROW($N$6:$N$39),""),COUNTIF($S$7:$S32,$S32))-ROW($N$6)+1,0)</f>
        <v>1037003</v>
      </c>
      <c r="R32" s="364">
        <f>INDEX('2013 Indicators'!$D$4:$O$38,MATCH($Q32,'2013 Indicators'!$C$4:$C$38,0),MATCH($D$2,'2013 Indicators'!$D$5:$O$5,0))</f>
        <v>104645.236</v>
      </c>
      <c r="S32" s="364">
        <f>LARGE($N$7:$N$39,ROWS($S$6:$S32)-1)</f>
        <v>119589.791</v>
      </c>
      <c r="T32" s="368">
        <f t="shared" si="0"/>
        <v>0.14281161351673949</v>
      </c>
      <c r="U32" s="365"/>
      <c r="V32" s="366" t="str">
        <f>IF(W32="","",PROPER(TRIM(INDEX(Indicators!$B$4:$B$38,MATCH($W32,Indicators!$C$4:$C$38,0)))))</f>
        <v>Ally Financial Inc.</v>
      </c>
      <c r="W32" s="367">
        <f t="array" ref="W32">IF(X32="","",(INDEX($Q$7:$Q$39,SMALL(IF($T$7:$T$39=X32,ROW($T$7:$T$39),""),COUNTIF($X$7:$X32,$X32))-ROW($T$6),0)))</f>
        <v>1562859</v>
      </c>
      <c r="X32" s="368">
        <f>IFERROR(LARGE(($T$7:$T$39),ROWS($X$6:X32)-1),"")</f>
        <v>1.2002675129166814E-2</v>
      </c>
    </row>
    <row r="33" spans="12:24" ht="15" customHeight="1">
      <c r="L33" s="34" t="str">
        <f>PROPER(TRIM(INDEX(Indicators!$B$4:$B$38,MATCH($M33,Indicators!$C$4:$C$38,0))))</f>
        <v>Santander Holdings Usa, Inc.</v>
      </c>
      <c r="M33" s="5">
        <f>INDEX(Indicators!$C$4:$C$38,ROWS($M$6:M33)+1,MATCH($M$5,Indicators!$C$4:$C$38,0))</f>
        <v>3981856</v>
      </c>
      <c r="N33" s="340">
        <f>INDEX(Indicators!$D$4:$O$38,MATCH($M33,Indicators!$C$4:$C$38,0),MATCH($D$2,Indicators!$D$5:$O$5,0))</f>
        <v>146358.35699999999</v>
      </c>
      <c r="O33" s="341"/>
      <c r="P33" s="366" t="str">
        <f>PROPER(TRIM(INDEX('FR Y-15 Data'!$A$1:$A$36,MATCH($Q33,'FR Y-15 Data'!$C$1:$C$66,0))))</f>
        <v>Bancwest Corporation</v>
      </c>
      <c r="Q33" s="367">
        <f t="array" ref="Q33">INDEX($M$6:$M$39,SMALL(IF($N$6:$N$39=$S33,ROW($N$6:$N$39),""),COUNTIF($S$7:$S33,$S33))-ROW($N$6)+1,0)</f>
        <v>1025608</v>
      </c>
      <c r="R33" s="364">
        <f>INDEX('2013 Indicators'!$D$4:$O$38,MATCH($Q33,'2013 Indicators'!$C$4:$C$38,0),MATCH($D$2,'2013 Indicators'!$D$5:$O$5,0))</f>
        <v>102647.429</v>
      </c>
      <c r="S33" s="364">
        <f>LARGE($N$7:$N$39,ROWS($S$6:$S33)-1)</f>
        <v>111924.474</v>
      </c>
      <c r="T33" s="368">
        <f t="shared" si="0"/>
        <v>9.0377762895551897E-2</v>
      </c>
      <c r="U33" s="365"/>
      <c r="V33" s="366" t="str">
        <f>IF(W33="","",PROPER(TRIM(INDEX(Indicators!$B$4:$B$38,MATCH($W33,Indicators!$C$4:$C$38,0)))))</f>
        <v>Morgan Stanley</v>
      </c>
      <c r="W33" s="367">
        <f t="array" ref="W33">IF(X33="","",(INDEX($Q$7:$Q$39,SMALL(IF($T$7:$T$39=X33,ROW($T$7:$T$39),""),COUNTIF($X$7:$X33,$X33))-ROW($T$6),0)))</f>
        <v>2162966</v>
      </c>
      <c r="X33" s="368">
        <f>IFERROR(LARGE(($T$7:$T$39),ROWS($X$6:X33)-1),"")</f>
        <v>-1.1633014355630282E-3</v>
      </c>
    </row>
    <row r="34" spans="12:24" ht="15" customHeight="1">
      <c r="L34" s="34" t="str">
        <f>PROPER(TRIM(INDEX(Indicators!$B$4:$B$38,MATCH($M34,Indicators!$C$4:$C$38,0))))</f>
        <v>State Street Corporation</v>
      </c>
      <c r="M34" s="5">
        <f>INDEX(Indicators!$C$4:$C$38,ROWS($M$6:M34)+1,MATCH($M$5,Indicators!$C$4:$C$38,0))</f>
        <v>1111435</v>
      </c>
      <c r="N34" s="340">
        <f>INDEX(Indicators!$D$4:$O$38,MATCH($M34,Indicators!$C$4:$C$38,0),MATCH($D$2,Indicators!$D$5:$O$5,0))</f>
        <v>292211.65500000003</v>
      </c>
      <c r="O34" s="341"/>
      <c r="P34" s="366" t="str">
        <f>PROPER(TRIM(INDEX('FR Y-15 Data'!$A$1:$A$36,MATCH($Q34,'FR Y-15 Data'!$C$1:$C$66,0))))</f>
        <v>Bbva Compass Bancshares, Inc.</v>
      </c>
      <c r="Q34" s="367">
        <f t="array" ref="Q34">INDEX($M$6:$M$39,SMALL(IF($N$6:$N$39=$S34,ROW($N$6:$N$39),""),COUNTIF($S$7:$S34,$S34))-ROW($N$6)+1,0)</f>
        <v>1078529</v>
      </c>
      <c r="R34" s="364">
        <f>INDEX('2013 Indicators'!$D$4:$O$38,MATCH($Q34,'2013 Indicators'!$C$4:$C$38,0),MATCH($D$2,'2013 Indicators'!$D$5:$O$5,0))</f>
        <v>100957.34299999999</v>
      </c>
      <c r="S34" s="364">
        <f>LARGE($N$7:$N$39,ROWS($S$6:$S34)-1)</f>
        <v>107580.046</v>
      </c>
      <c r="T34" s="368">
        <f t="shared" si="0"/>
        <v>6.5599022351450043E-2</v>
      </c>
      <c r="U34" s="365"/>
      <c r="V34" s="366" t="str">
        <f>IF(W34="","",PROPER(TRIM(INDEX(Indicators!$B$4:$B$38,MATCH($W34,Indicators!$C$4:$C$38,0)))))</f>
        <v>Zions Bancorporation</v>
      </c>
      <c r="W34" s="367">
        <f t="array" ref="W34">IF(X34="","",(INDEX($Q$7:$Q$39,SMALL(IF($T$7:$T$39=X34,ROW($T$7:$T$39),""),COUNTIF($X$7:$X34,$X34))-ROW($T$6),0)))</f>
        <v>1027004</v>
      </c>
      <c r="X34" s="368">
        <f>IFERROR(LARGE(($T$7:$T$39),ROWS($X$6:X34)-1),"")</f>
        <v>-1.0294888970084945E-2</v>
      </c>
    </row>
    <row r="35" spans="12:24" ht="15" customHeight="1">
      <c r="L35" s="34" t="str">
        <f>PROPER(TRIM(INDEX(Indicators!$B$4:$B$38,MATCH($M35,Indicators!$C$4:$C$38,0))))</f>
        <v>Suntrust Banks, Inc.</v>
      </c>
      <c r="M35" s="5">
        <f>INDEX(Indicators!$C$4:$C$38,ROWS($M$6:M35)+1,MATCH($M$5,Indicators!$C$4:$C$38,0))</f>
        <v>1131787</v>
      </c>
      <c r="N35" s="340">
        <f>INDEX(Indicators!$D$4:$O$38,MATCH($M35,Indicators!$C$4:$C$38,0),MATCH($D$2,Indicators!$D$5:$O$5,0))</f>
        <v>252483.177</v>
      </c>
      <c r="O35" s="341"/>
      <c r="P35" s="366" t="str">
        <f>PROPER(TRIM(INDEX('FR Y-15 Data'!$A$1:$A$36,MATCH($Q35,'FR Y-15 Data'!$C$1:$C$66,0))))</f>
        <v>Comerica Incorporated</v>
      </c>
      <c r="Q35" s="367">
        <f t="array" ref="Q35">INDEX($M$6:$M$39,SMALL(IF($N$6:$N$39=$S35,ROW($N$6:$N$39),""),COUNTIF($S$7:$S35,$S35))-ROW($N$6)+1,0)</f>
        <v>1199844</v>
      </c>
      <c r="R35" s="364">
        <f>INDEX('2013 Indicators'!$D$4:$O$38,MATCH($Q35,'2013 Indicators'!$C$4:$C$38,0),MATCH($D$2,'2013 Indicators'!$D$5:$O$5,0))</f>
        <v>98084.048999999999</v>
      </c>
      <c r="S35" s="364">
        <f>LARGE($N$7:$N$39,ROWS($S$6:$S35)-1)</f>
        <v>102554.103</v>
      </c>
      <c r="T35" s="368">
        <f t="shared" si="0"/>
        <v>4.5573709951553937E-2</v>
      </c>
      <c r="U35" s="365"/>
      <c r="V35" s="366" t="str">
        <f>IF(W35="","",PROPER(TRIM(INDEX(Indicators!$B$4:$B$38,MATCH($W35,Indicators!$C$4:$C$38,0)))))</f>
        <v>Goldman Sachs Group, Inc., The</v>
      </c>
      <c r="W35" s="367">
        <f t="array" ref="W35">IF(X35="","",(INDEX($Q$7:$Q$39,SMALL(IF($T$7:$T$39=X35,ROW($T$7:$T$39),""),COUNTIF($X$7:$X35,$X35))-ROW($T$6),0)))</f>
        <v>2380443</v>
      </c>
      <c r="X35" s="368">
        <f>IFERROR(LARGE(($T$7:$T$39),ROWS($X$6:X35)-1),"")</f>
        <v>-2.2076044519400356E-2</v>
      </c>
    </row>
    <row r="36" spans="12:24" ht="15" customHeight="1">
      <c r="L36" s="34" t="str">
        <f>PROPER(TRIM(INDEX(Indicators!$B$4:$B$38,MATCH($M36,Indicators!$C$4:$C$38,0))))</f>
        <v>Td Bank Us Holding Company</v>
      </c>
      <c r="M36" s="5">
        <f>INDEX(Indicators!$C$4:$C$38,ROWS($M$6:M36)+1,MATCH($M$5,Indicators!$C$4:$C$38,0))</f>
        <v>1249196</v>
      </c>
      <c r="N36" s="340">
        <f>INDEX(Indicators!$D$4:$O$38,MATCH($M36,Indicators!$C$4:$C$38,0),MATCH($D$2,Indicators!$D$5:$O$5,0))</f>
        <v>283631.859</v>
      </c>
      <c r="O36" s="341"/>
      <c r="P36" s="366" t="str">
        <f>PROPER(TRIM(INDEX('FR Y-15 Data'!$A$1:$A$36,MATCH($Q36,'FR Y-15 Data'!$C$1:$C$66,0))))</f>
        <v>Discover Financial Services</v>
      </c>
      <c r="Q36" s="367">
        <f t="array" ref="Q36">INDEX($M$6:$M$39,SMALL(IF($N$6:$N$39=$S36,ROW($N$6:$N$39),""),COUNTIF($S$7:$S36,$S36))-ROW($N$6)+1,0)</f>
        <v>3846375</v>
      </c>
      <c r="R36" s="364">
        <f>INDEX('2013 Indicators'!$D$4:$O$38,MATCH($Q36,'2013 Indicators'!$C$4:$C$38,0),MATCH($D$2,'2013 Indicators'!$D$5:$O$5,0))</f>
        <v>95633.012000000002</v>
      </c>
      <c r="S36" s="364">
        <f>LARGE($N$7:$N$39,ROWS($S$6:$S36)-1)</f>
        <v>100186.019</v>
      </c>
      <c r="T36" s="368">
        <f t="shared" si="0"/>
        <v>4.7609156135331149E-2</v>
      </c>
      <c r="U36" s="365"/>
      <c r="V36" s="366" t="str">
        <f>IF(W36="","",PROPER(TRIM(INDEX(Indicators!$B$4:$B$38,MATCH($W36,Indicators!$C$4:$C$38,0)))))</f>
        <v>Bmo Financial Corp.</v>
      </c>
      <c r="W36" s="367">
        <f t="array" ref="W36">IF(X36="","",(INDEX($Q$7:$Q$39,SMALL(IF($T$7:$T$39=X36,ROW($T$7:$T$39),""),COUNTIF($X$7:$X36,$X36))-ROW($T$6),0)))</f>
        <v>1245415</v>
      </c>
      <c r="X36" s="368">
        <f>IFERROR(LARGE(($T$7:$T$39),ROWS($X$6:X36)-1),"")</f>
        <v>-4.3365239534517895E-2</v>
      </c>
    </row>
    <row r="37" spans="12:24" ht="15" customHeight="1">
      <c r="L37" s="34" t="str">
        <f>PROPER(TRIM(INDEX(Indicators!$B$4:$B$38,MATCH($M37,Indicators!$C$4:$C$38,0))))</f>
        <v>U.S. Bancorp</v>
      </c>
      <c r="M37" s="5">
        <f>INDEX(Indicators!$C$4:$C$38,ROWS($M$6:M37)+1,MATCH($M$5,Indicators!$C$4:$C$38,0))</f>
        <v>1119794</v>
      </c>
      <c r="N37" s="340">
        <f>INDEX(Indicators!$D$4:$O$38,MATCH($M37,Indicators!$C$4:$C$38,0),MATCH($D$2,Indicators!$D$5:$O$5,0))</f>
        <v>538755.69999999995</v>
      </c>
      <c r="O37" s="341"/>
      <c r="P37" s="366" t="str">
        <f>PROPER(TRIM(INDEX('FR Y-15 Data'!$A$1:$A$36,MATCH($Q37,'FR Y-15 Data'!$C$1:$C$66,0))))</f>
        <v>Huntington Bancshares Incorporated</v>
      </c>
      <c r="Q37" s="367">
        <f t="array" ref="Q37">INDEX($M$6:$M$39,SMALL(IF($N$6:$N$39=$S37,ROW($N$6:$N$39),""),COUNTIF($S$7:$S37,$S37))-ROW($N$6)+1,0)</f>
        <v>1068191</v>
      </c>
      <c r="R37" s="364">
        <f>INDEX('2013 Indicators'!$D$4:$O$38,MATCH($Q37,'2013 Indicators'!$C$4:$C$38,0),MATCH($D$2,'2013 Indicators'!$D$5:$O$5,0))</f>
        <v>64612.413999999997</v>
      </c>
      <c r="S37" s="364">
        <f>LARGE($N$7:$N$39,ROWS($S$6:$S37)-1)</f>
        <v>80340.612999999998</v>
      </c>
      <c r="T37" s="368">
        <f t="shared" si="0"/>
        <v>0.24342379469059927</v>
      </c>
      <c r="U37" s="365"/>
      <c r="V37" s="366" t="str">
        <f>IF(W37="","",PROPER(TRIM(INDEX(Indicators!$B$4:$B$38,MATCH($W37,Indicators!$C$4:$C$38,0)))))</f>
        <v>Citigroup Inc.</v>
      </c>
      <c r="W37" s="367">
        <f t="array" ref="W37">IF(X37="","",(INDEX($Q$7:$Q$39,SMALL(IF($T$7:$T$39=X37,ROW($T$7:$T$39),""),COUNTIF($X$7:$X37,$X37))-ROW($T$6),0)))</f>
        <v>1951350</v>
      </c>
      <c r="X37" s="368">
        <f>IFERROR(LARGE(($T$7:$T$39),ROWS($X$6:X37)-1),"")</f>
        <v>-4.4478985828781598E-2</v>
      </c>
    </row>
    <row r="38" spans="12:24" ht="15" customHeight="1">
      <c r="L38" s="34" t="str">
        <f>PROPER(TRIM(INDEX(Indicators!$B$4:$B$38,MATCH($M38,Indicators!$C$4:$C$38,0))))</f>
        <v>Wells Fargo &amp; Company</v>
      </c>
      <c r="M38" s="5">
        <f>INDEX(Indicators!$C$4:$C$38,ROWS($M$6:M38)+1,MATCH($M$5,Indicators!$C$4:$C$38,0))</f>
        <v>1120754</v>
      </c>
      <c r="N38" s="340">
        <f>INDEX(Indicators!$D$4:$O$38,MATCH($M38,Indicators!$C$4:$C$38,0),MATCH($D$2,Indicators!$D$5:$O$5,0))</f>
        <v>2191752.2999999998</v>
      </c>
      <c r="O38" s="341"/>
      <c r="P38" s="366" t="str">
        <f>PROPER(TRIM(INDEX('FR Y-15 Data'!$A$1:$A$36,MATCH($Q38,'FR Y-15 Data'!$C$1:$C$66,0))))</f>
        <v>Zions Bancorporation</v>
      </c>
      <c r="Q38" s="367">
        <f t="array" ref="Q38">INDEX($M$6:$M$39,SMALL(IF($N$6:$N$39=$S38,ROW($N$6:$N$39),""),COUNTIF($S$7:$S38,$S38))-ROW($N$6)+1,0)</f>
        <v>1027004</v>
      </c>
      <c r="R38" s="364">
        <f>INDEX('2013 Indicators'!$D$4:$O$38,MATCH($Q38,'2013 Indicators'!$C$4:$C$38,0),MATCH($D$2,'2013 Indicators'!$D$5:$O$5,0))</f>
        <v>75164.967999999993</v>
      </c>
      <c r="S38" s="364">
        <f>LARGE($N$7:$N$39,ROWS($S$6:$S38)-1)</f>
        <v>74391.153000000006</v>
      </c>
      <c r="T38" s="368">
        <f t="shared" si="0"/>
        <v>-1.0294888970084945E-2</v>
      </c>
      <c r="U38" s="365"/>
      <c r="V38" s="366" t="str">
        <f>IF(W38="","",PROPER(TRIM(INDEX(Indicators!$B$4:$B$38,MATCH($W38,Indicators!$C$4:$C$38,0)))))</f>
        <v>State Street Corporation</v>
      </c>
      <c r="W38" s="367">
        <f t="array" ref="W38">IF(X38="","",(INDEX($Q$7:$Q$39,SMALL(IF($T$7:$T$39=X38,ROW($T$7:$T$39),""),COUNTIF($X$7:$X38,$X38))-ROW($T$6),0)))</f>
        <v>1111435</v>
      </c>
      <c r="X38" s="368">
        <f>IFERROR(LARGE(($T$7:$T$39),ROWS($X$6:X38)-1),"")</f>
        <v>-0.15405956902704246</v>
      </c>
    </row>
    <row r="39" spans="12:24" ht="15" customHeight="1">
      <c r="L39" s="34" t="str">
        <f>PROPER(TRIM(INDEX(Indicators!$B$4:$B$38,MATCH($M39,Indicators!$C$4:$C$38,0))))</f>
        <v>Zions Bancorporation</v>
      </c>
      <c r="M39" s="5">
        <f>INDEX(Indicators!$C$4:$C$38,ROWS($M$6:M39)+1,MATCH($M$5,Indicators!$C$4:$C$38,0))</f>
        <v>1027004</v>
      </c>
      <c r="N39" s="340">
        <f>INDEX(Indicators!$D$4:$O$38,MATCH($M39,Indicators!$C$4:$C$38,0),MATCH($D$2,Indicators!$D$5:$O$5,0))</f>
        <v>74391.153000000006</v>
      </c>
      <c r="O39" s="341"/>
      <c r="P39" s="366" t="str">
        <f>PROPER(TRIM(INDEX('FR Y-15 Data'!$A$1:$A$36,MATCH($Q39,'FR Y-15 Data'!$C$1:$C$66,0))))</f>
        <v>Deutsche Bank Trust Corporation</v>
      </c>
      <c r="Q39" s="367">
        <f t="array" ref="Q39">INDEX($M$6:$M$39,SMALL(IF($N$6:$N$39=$S39,ROW($N$6:$N$39),""),COUNTIF($S$7:$S39,$S39))-ROW($N$6)+1,0)</f>
        <v>1032473</v>
      </c>
      <c r="R39" s="364">
        <f>INDEX('2013 Indicators'!$D$4:$O$38,MATCH($Q39,'2013 Indicators'!$C$4:$C$38,0),MATCH($D$2,'2013 Indicators'!$D$5:$O$5,0))</f>
        <v>63609</v>
      </c>
      <c r="S39" s="364">
        <f>LARGE($N$7:$N$39,ROWS($S$6:$S39)-1)</f>
        <v>52700.800000000003</v>
      </c>
      <c r="T39" s="368">
        <f t="shared" si="0"/>
        <v>-0.17148831140247445</v>
      </c>
      <c r="U39" s="365"/>
      <c r="V39" s="366" t="str">
        <f>IF(W39="","",PROPER(TRIM(INDEX(Indicators!$B$4:$B$38,MATCH($W39,Indicators!$C$4:$C$38,0)))))</f>
        <v>Deutsche Bank Trust Corporation</v>
      </c>
      <c r="W39" s="367">
        <f t="array" ref="W39">IF(X39="","",(INDEX($Q$7:$Q$39,SMALL(IF($T$7:$T$39=X39,ROW($T$7:$T$39),""),COUNTIF($X$7:$X39,$X39))-ROW($T$6),0)))</f>
        <v>1032473</v>
      </c>
      <c r="X39" s="368">
        <f>IFERROR(LARGE(($T$7:$T$39),ROWS($X$6:X39)-1),"")</f>
        <v>-0.17148831140247445</v>
      </c>
    </row>
    <row r="40" spans="12:24" ht="15" customHeight="1">
      <c r="L40" s="341"/>
      <c r="M40" s="341"/>
      <c r="N40" s="341"/>
      <c r="O40" s="341"/>
      <c r="P40" s="341"/>
      <c r="Q40" s="341"/>
      <c r="R40" s="341"/>
      <c r="S40" s="341"/>
      <c r="T40" s="341"/>
    </row>
    <row r="41" spans="12:24" ht="15" customHeight="1">
      <c r="L41" s="341"/>
      <c r="M41" s="341"/>
      <c r="N41" s="341"/>
      <c r="O41" s="64"/>
      <c r="R41" s="341"/>
      <c r="S41" s="341"/>
      <c r="T41" s="341"/>
      <c r="U41" s="64"/>
      <c r="V41" s="64"/>
      <c r="W41" s="341"/>
    </row>
    <row r="42" spans="12:24" ht="15" customHeight="1">
      <c r="L42" s="341"/>
      <c r="M42" s="341"/>
      <c r="N42" s="341"/>
      <c r="O42" s="64"/>
      <c r="R42" s="341"/>
      <c r="S42" s="341"/>
      <c r="T42" s="341"/>
      <c r="U42" s="64"/>
      <c r="V42" s="64"/>
      <c r="W42" s="341"/>
    </row>
    <row r="43" spans="12:24" ht="15" customHeight="1">
      <c r="L43" s="341"/>
      <c r="M43" s="341"/>
      <c r="N43" s="341"/>
      <c r="O43" s="342"/>
      <c r="R43" s="341"/>
      <c r="S43" s="341"/>
      <c r="T43" s="341"/>
      <c r="U43" s="342"/>
      <c r="V43" s="343"/>
      <c r="W43" s="341"/>
    </row>
    <row r="44" spans="12:24" ht="15" customHeight="1">
      <c r="L44" s="341"/>
      <c r="M44" s="341"/>
      <c r="N44" s="341"/>
      <c r="O44" s="345"/>
      <c r="R44" s="341"/>
      <c r="S44" s="341"/>
      <c r="T44" s="341"/>
      <c r="U44" s="344"/>
      <c r="V44" s="344"/>
      <c r="W44" s="341"/>
    </row>
    <row r="45" spans="12:24" ht="15" customHeight="1">
      <c r="L45" s="341"/>
      <c r="M45" s="341"/>
      <c r="N45" s="341"/>
      <c r="O45" s="345"/>
      <c r="R45" s="341"/>
      <c r="S45" s="341"/>
      <c r="T45" s="341"/>
      <c r="U45" s="344"/>
      <c r="V45" s="344"/>
      <c r="W45" s="341"/>
    </row>
    <row r="46" spans="12:24" ht="15" customHeight="1">
      <c r="L46" s="341"/>
      <c r="M46" s="341"/>
      <c r="N46" s="341"/>
      <c r="O46" s="345"/>
      <c r="R46" s="341"/>
      <c r="S46" s="341"/>
      <c r="T46" s="341"/>
      <c r="U46" s="344"/>
      <c r="V46" s="344"/>
      <c r="W46" s="341"/>
    </row>
    <row r="47" spans="12:24" ht="15" customHeight="1">
      <c r="L47" s="341"/>
      <c r="M47" s="341"/>
      <c r="N47" s="341"/>
      <c r="O47" s="345"/>
      <c r="R47" s="341"/>
      <c r="S47" s="341"/>
      <c r="T47" s="341"/>
      <c r="U47" s="344"/>
      <c r="V47" s="344"/>
      <c r="W47" s="341"/>
    </row>
    <row r="48" spans="12:24" ht="15" customHeight="1">
      <c r="L48" s="341"/>
      <c r="M48" s="341"/>
      <c r="N48" s="341"/>
      <c r="O48" s="345"/>
      <c r="R48" s="341"/>
      <c r="S48" s="341"/>
      <c r="T48" s="341"/>
      <c r="U48" s="344"/>
      <c r="V48" s="344"/>
      <c r="W48" s="341"/>
    </row>
    <row r="49" spans="12:23" ht="15" customHeight="1">
      <c r="L49" s="341"/>
      <c r="M49" s="341"/>
      <c r="N49" s="341"/>
      <c r="O49" s="345"/>
      <c r="R49" s="341"/>
      <c r="S49" s="341"/>
      <c r="T49" s="341"/>
      <c r="U49" s="344"/>
      <c r="V49" s="344"/>
      <c r="W49" s="341"/>
    </row>
    <row r="50" spans="12:23" ht="15" customHeight="1">
      <c r="L50" s="341"/>
      <c r="M50" s="341"/>
      <c r="N50" s="341"/>
      <c r="O50" s="345"/>
      <c r="R50" s="341"/>
      <c r="S50" s="341"/>
      <c r="T50" s="341"/>
      <c r="U50" s="344"/>
      <c r="V50" s="344"/>
      <c r="W50" s="341"/>
    </row>
    <row r="51" spans="12:23" ht="15" customHeight="1">
      <c r="L51" s="341"/>
      <c r="M51" s="341"/>
      <c r="N51" s="341"/>
      <c r="O51" s="345"/>
      <c r="R51" s="341"/>
      <c r="S51" s="341"/>
      <c r="T51" s="341"/>
      <c r="U51" s="344"/>
      <c r="V51" s="344"/>
      <c r="W51" s="341"/>
    </row>
    <row r="52" spans="12:23" ht="15" customHeight="1">
      <c r="L52" s="341"/>
      <c r="M52" s="341"/>
      <c r="N52" s="341"/>
      <c r="O52" s="345"/>
      <c r="R52" s="341"/>
      <c r="S52" s="341"/>
      <c r="T52" s="341"/>
      <c r="U52" s="344"/>
      <c r="V52" s="344"/>
      <c r="W52" s="341"/>
    </row>
    <row r="53" spans="12:23" ht="15" customHeight="1">
      <c r="L53" s="341"/>
      <c r="M53" s="341"/>
      <c r="N53" s="341"/>
      <c r="O53" s="345"/>
      <c r="R53" s="341"/>
      <c r="S53" s="341"/>
      <c r="T53" s="341"/>
      <c r="U53" s="344"/>
      <c r="V53" s="344"/>
      <c r="W53" s="341"/>
    </row>
    <row r="54" spans="12:23" ht="15" customHeight="1">
      <c r="L54" s="341"/>
      <c r="M54" s="341"/>
      <c r="N54" s="341"/>
      <c r="O54" s="345"/>
      <c r="R54" s="341"/>
      <c r="S54" s="341"/>
      <c r="T54" s="341"/>
      <c r="U54" s="344"/>
      <c r="V54" s="344"/>
      <c r="W54" s="341"/>
    </row>
    <row r="55" spans="12:23" ht="15" customHeight="1">
      <c r="L55" s="341"/>
      <c r="M55" s="341"/>
      <c r="N55" s="341"/>
      <c r="O55" s="345"/>
      <c r="R55" s="341"/>
      <c r="S55" s="341"/>
      <c r="T55" s="341"/>
      <c r="U55" s="344"/>
      <c r="V55" s="344"/>
      <c r="W55" s="341"/>
    </row>
    <row r="56" spans="12:23" ht="15" customHeight="1">
      <c r="L56" s="341"/>
      <c r="M56" s="341"/>
      <c r="N56" s="341"/>
      <c r="O56" s="345"/>
      <c r="R56" s="341"/>
      <c r="S56" s="341"/>
      <c r="T56" s="341"/>
      <c r="U56" s="344"/>
      <c r="V56" s="344"/>
      <c r="W56" s="341"/>
    </row>
    <row r="57" spans="12:23" ht="15" customHeight="1">
      <c r="L57" s="341"/>
      <c r="M57" s="341"/>
      <c r="N57" s="341"/>
      <c r="O57" s="345"/>
      <c r="R57" s="341"/>
      <c r="S57" s="341"/>
      <c r="T57" s="341"/>
      <c r="U57" s="344"/>
      <c r="V57" s="344"/>
      <c r="W57" s="341"/>
    </row>
    <row r="58" spans="12:23" ht="15" customHeight="1">
      <c r="L58" s="341"/>
      <c r="M58" s="341"/>
      <c r="N58" s="341"/>
      <c r="O58" s="345"/>
      <c r="R58" s="341"/>
      <c r="S58" s="341"/>
      <c r="T58" s="341"/>
      <c r="U58" s="344"/>
      <c r="V58" s="344"/>
      <c r="W58" s="341"/>
    </row>
    <row r="59" spans="12:23" ht="15" customHeight="1">
      <c r="L59" s="341"/>
      <c r="M59" s="341"/>
      <c r="N59" s="341"/>
      <c r="O59" s="345"/>
      <c r="R59" s="341"/>
      <c r="S59" s="341"/>
      <c r="T59" s="341"/>
      <c r="U59" s="344"/>
      <c r="V59" s="344"/>
      <c r="W59" s="341"/>
    </row>
    <row r="60" spans="12:23" ht="15" customHeight="1">
      <c r="L60" s="341"/>
      <c r="M60" s="341"/>
      <c r="N60" s="341"/>
      <c r="O60" s="345"/>
      <c r="R60" s="341"/>
      <c r="S60" s="341"/>
      <c r="T60" s="341"/>
      <c r="U60" s="344"/>
      <c r="V60" s="344"/>
      <c r="W60" s="341"/>
    </row>
    <row r="61" spans="12:23" ht="15" customHeight="1">
      <c r="L61" s="341"/>
      <c r="M61" s="341"/>
      <c r="N61" s="341"/>
      <c r="O61" s="345"/>
      <c r="R61" s="341"/>
      <c r="S61" s="341"/>
      <c r="T61" s="341"/>
      <c r="U61" s="344"/>
      <c r="V61" s="344"/>
      <c r="W61" s="341"/>
    </row>
    <row r="62" spans="12:23" ht="15" customHeight="1">
      <c r="L62" s="341"/>
      <c r="M62" s="341"/>
      <c r="N62" s="341"/>
      <c r="O62" s="345"/>
      <c r="R62" s="341"/>
      <c r="S62" s="341"/>
      <c r="T62" s="341"/>
      <c r="U62" s="344"/>
      <c r="V62" s="344"/>
      <c r="W62" s="341"/>
    </row>
    <row r="63" spans="12:23" ht="15" customHeight="1">
      <c r="L63" s="341"/>
      <c r="M63" s="341"/>
      <c r="N63" s="341"/>
      <c r="O63" s="345"/>
      <c r="R63" s="341"/>
      <c r="S63" s="341"/>
      <c r="T63" s="341"/>
      <c r="U63" s="344"/>
      <c r="V63" s="344"/>
      <c r="W63" s="341"/>
    </row>
    <row r="64" spans="12:23" ht="15" customHeight="1">
      <c r="L64" s="341"/>
      <c r="M64" s="341"/>
      <c r="N64" s="341"/>
      <c r="O64" s="345"/>
      <c r="R64" s="341"/>
      <c r="S64" s="341"/>
      <c r="T64" s="341"/>
      <c r="U64" s="344"/>
      <c r="V64" s="344"/>
      <c r="W64" s="341"/>
    </row>
    <row r="65" spans="2:23" ht="15" customHeight="1">
      <c r="L65" s="341"/>
      <c r="M65" s="341"/>
      <c r="N65" s="341"/>
      <c r="O65" s="345"/>
      <c r="R65" s="341"/>
      <c r="S65" s="341"/>
      <c r="T65" s="341"/>
      <c r="U65" s="344"/>
      <c r="V65" s="344"/>
      <c r="W65" s="341"/>
    </row>
    <row r="66" spans="2:23" ht="15" customHeight="1">
      <c r="L66" s="341"/>
      <c r="M66" s="341"/>
      <c r="N66" s="341"/>
      <c r="O66" s="345"/>
      <c r="R66" s="341"/>
      <c r="S66" s="341"/>
      <c r="T66" s="341"/>
      <c r="U66" s="344"/>
      <c r="V66" s="344"/>
      <c r="W66" s="341"/>
    </row>
    <row r="67" spans="2:23" ht="15" customHeight="1">
      <c r="B67" s="395"/>
      <c r="C67" s="395"/>
      <c r="D67" s="395"/>
      <c r="E67" s="395"/>
      <c r="F67" s="395"/>
      <c r="G67" s="395"/>
      <c r="H67" s="395"/>
      <c r="I67" s="395"/>
      <c r="L67" s="341"/>
      <c r="M67" s="341"/>
      <c r="N67" s="341"/>
      <c r="O67" s="345"/>
      <c r="R67" s="341"/>
      <c r="S67" s="341"/>
      <c r="T67" s="341"/>
      <c r="U67" s="344"/>
      <c r="V67" s="344"/>
      <c r="W67" s="341"/>
    </row>
    <row r="68" spans="2:23" ht="15" customHeight="1">
      <c r="L68" s="341"/>
      <c r="M68" s="341"/>
      <c r="N68" s="341"/>
      <c r="O68" s="345"/>
      <c r="R68" s="341"/>
      <c r="S68" s="341"/>
      <c r="T68" s="341"/>
      <c r="U68" s="344"/>
      <c r="V68" s="344"/>
      <c r="W68" s="341"/>
    </row>
    <row r="69" spans="2:23" ht="15" customHeight="1">
      <c r="L69" s="341"/>
      <c r="M69" s="341"/>
      <c r="N69" s="341"/>
      <c r="O69" s="345"/>
      <c r="R69" s="341"/>
      <c r="S69" s="341"/>
      <c r="T69" s="341"/>
      <c r="U69" s="344"/>
      <c r="V69" s="344"/>
      <c r="W69" s="341"/>
    </row>
    <row r="70" spans="2:23" ht="15" customHeight="1">
      <c r="L70" s="341"/>
      <c r="M70" s="341"/>
      <c r="N70" s="341"/>
      <c r="O70" s="345"/>
      <c r="R70" s="341"/>
      <c r="S70" s="341"/>
      <c r="T70" s="341"/>
      <c r="U70" s="344"/>
      <c r="V70" s="344"/>
      <c r="W70" s="341"/>
    </row>
    <row r="71" spans="2:23" ht="15" customHeight="1">
      <c r="L71" s="341"/>
      <c r="M71" s="341"/>
      <c r="N71" s="341"/>
      <c r="O71" s="345"/>
      <c r="R71" s="341"/>
      <c r="S71" s="341"/>
      <c r="T71" s="341"/>
      <c r="U71" s="344"/>
      <c r="V71" s="344"/>
      <c r="W71" s="341"/>
    </row>
    <row r="72" spans="2:23" ht="15" customHeight="1">
      <c r="L72" s="341"/>
      <c r="M72" s="341"/>
      <c r="N72" s="341"/>
      <c r="O72" s="345"/>
      <c r="R72" s="341"/>
      <c r="S72" s="341"/>
      <c r="T72" s="341"/>
      <c r="U72" s="344"/>
      <c r="V72" s="344"/>
      <c r="W72" s="341"/>
    </row>
    <row r="73" spans="2:23" ht="15" customHeight="1">
      <c r="L73" s="341"/>
      <c r="M73" s="341"/>
      <c r="N73" s="341"/>
      <c r="O73" s="345"/>
      <c r="R73" s="341"/>
      <c r="S73" s="341"/>
      <c r="T73" s="341"/>
      <c r="U73" s="344"/>
      <c r="V73" s="344"/>
      <c r="W73" s="341"/>
    </row>
    <row r="74" spans="2:23" ht="15" customHeight="1">
      <c r="L74" s="341"/>
      <c r="M74" s="341"/>
      <c r="N74" s="341"/>
      <c r="O74" s="345"/>
      <c r="R74" s="341"/>
      <c r="S74" s="341"/>
      <c r="T74" s="341"/>
      <c r="U74" s="344"/>
      <c r="V74" s="344"/>
      <c r="W74" s="341"/>
    </row>
    <row r="75" spans="2:23" ht="15" customHeight="1">
      <c r="L75" s="341"/>
      <c r="M75" s="341"/>
      <c r="N75" s="341"/>
      <c r="O75" s="345"/>
      <c r="R75" s="341"/>
      <c r="S75" s="341"/>
      <c r="T75" s="341"/>
      <c r="U75" s="344"/>
      <c r="V75" s="344"/>
      <c r="W75" s="341"/>
    </row>
    <row r="76" spans="2:23" ht="15" customHeight="1">
      <c r="L76" s="341"/>
      <c r="M76" s="341"/>
      <c r="N76" s="341"/>
      <c r="O76" s="345"/>
      <c r="R76" s="341"/>
      <c r="S76" s="341"/>
      <c r="T76" s="341"/>
      <c r="U76" s="344"/>
      <c r="V76" s="344"/>
      <c r="W76" s="341"/>
    </row>
    <row r="77" spans="2:23" ht="15" customHeight="1">
      <c r="L77" s="341"/>
      <c r="M77" s="341"/>
      <c r="N77" s="341"/>
      <c r="O77" s="341"/>
      <c r="P77" s="341"/>
      <c r="Q77" s="341"/>
      <c r="R77" s="341"/>
      <c r="S77" s="341"/>
      <c r="T77" s="341"/>
      <c r="U77" s="341"/>
      <c r="V77" s="341"/>
      <c r="W77" s="341"/>
    </row>
    <row r="78" spans="2:23" ht="15" customHeight="1"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1"/>
    </row>
    <row r="79" spans="2:23" ht="15" customHeight="1">
      <c r="L79" s="34"/>
      <c r="M79" s="34"/>
      <c r="N79" s="34"/>
      <c r="O79" s="34"/>
      <c r="P79" s="5"/>
      <c r="Q79" s="5"/>
      <c r="R79" s="34"/>
      <c r="S79" s="34"/>
      <c r="T79" s="34"/>
      <c r="U79" s="34"/>
      <c r="V79" s="34"/>
      <c r="W79" s="341"/>
    </row>
    <row r="80" spans="2:23" ht="15" customHeight="1">
      <c r="L80" s="347"/>
      <c r="M80" s="347"/>
      <c r="N80" s="34"/>
      <c r="O80" s="347"/>
      <c r="P80" s="347"/>
      <c r="Q80" s="347"/>
      <c r="R80" s="347"/>
      <c r="S80" s="347"/>
      <c r="T80" s="346"/>
      <c r="U80" s="347"/>
      <c r="V80" s="34"/>
      <c r="W80" s="341"/>
    </row>
    <row r="81" spans="12:23" ht="15" customHeight="1">
      <c r="L81" s="34"/>
      <c r="M81" s="351"/>
      <c r="N81" s="352"/>
      <c r="O81" s="350"/>
      <c r="P81" s="349"/>
      <c r="Q81" s="350"/>
      <c r="R81" s="350"/>
      <c r="S81" s="348"/>
      <c r="T81" s="349"/>
      <c r="U81" s="350"/>
      <c r="V81" s="34"/>
      <c r="W81" s="341"/>
    </row>
    <row r="82" spans="12:23" ht="15" customHeight="1">
      <c r="L82" s="34"/>
      <c r="M82" s="349"/>
      <c r="N82" s="34"/>
      <c r="O82" s="353"/>
      <c r="P82" s="349"/>
      <c r="Q82" s="350"/>
      <c r="R82" s="350"/>
      <c r="S82" s="348"/>
      <c r="T82" s="349"/>
      <c r="U82" s="353"/>
      <c r="V82" s="34"/>
      <c r="W82" s="341"/>
    </row>
    <row r="83" spans="12:23" ht="15" customHeight="1">
      <c r="L83" s="34"/>
      <c r="M83" s="349"/>
      <c r="N83" s="34"/>
      <c r="O83" s="354"/>
      <c r="P83" s="349"/>
      <c r="Q83" s="350"/>
      <c r="R83" s="350"/>
      <c r="S83" s="348"/>
      <c r="T83" s="349"/>
      <c r="U83" s="354"/>
      <c r="V83" s="34"/>
      <c r="W83" s="341"/>
    </row>
    <row r="84" spans="12:23" ht="15" customHeight="1">
      <c r="L84" s="34"/>
      <c r="M84" s="349"/>
      <c r="N84" s="34"/>
      <c r="O84" s="355"/>
      <c r="P84" s="349"/>
      <c r="Q84" s="350"/>
      <c r="R84" s="350"/>
      <c r="S84" s="348"/>
      <c r="T84" s="349"/>
      <c r="U84" s="355"/>
      <c r="V84" s="34"/>
      <c r="W84" s="341"/>
    </row>
    <row r="85" spans="12:23" ht="15" customHeight="1">
      <c r="L85" s="34"/>
      <c r="M85" s="349"/>
      <c r="N85" s="34"/>
      <c r="O85" s="355"/>
      <c r="P85" s="349"/>
      <c r="Q85" s="350"/>
      <c r="R85" s="350"/>
      <c r="S85" s="348"/>
      <c r="T85" s="349"/>
      <c r="U85" s="355"/>
      <c r="V85" s="34"/>
      <c r="W85" s="341"/>
    </row>
    <row r="86" spans="12:23" ht="15" customHeight="1">
      <c r="L86" s="34"/>
      <c r="M86" s="349"/>
      <c r="N86" s="34"/>
      <c r="O86" s="355"/>
      <c r="P86" s="349"/>
      <c r="Q86" s="350"/>
      <c r="R86" s="350"/>
      <c r="S86" s="348"/>
      <c r="T86" s="349"/>
      <c r="U86" s="355"/>
      <c r="V86" s="34"/>
      <c r="W86" s="341"/>
    </row>
    <row r="87" spans="12:23" ht="15" customHeight="1">
      <c r="L87" s="34"/>
      <c r="M87" s="349"/>
      <c r="N87" s="34"/>
      <c r="O87" s="355"/>
      <c r="P87" s="349"/>
      <c r="Q87" s="350"/>
      <c r="R87" s="350"/>
      <c r="S87" s="348"/>
      <c r="T87" s="349"/>
      <c r="U87" s="355"/>
      <c r="V87" s="34"/>
      <c r="W87" s="341"/>
    </row>
    <row r="88" spans="12:23" ht="15" customHeight="1">
      <c r="L88" s="34"/>
      <c r="M88" s="349"/>
      <c r="N88" s="34"/>
      <c r="O88" s="355"/>
      <c r="P88" s="349"/>
      <c r="Q88" s="350"/>
      <c r="R88" s="350"/>
      <c r="S88" s="348"/>
      <c r="T88" s="349"/>
      <c r="U88" s="355"/>
      <c r="V88" s="34"/>
      <c r="W88" s="341"/>
    </row>
    <row r="89" spans="12:23" ht="15" customHeight="1">
      <c r="L89" s="34"/>
      <c r="M89" s="349"/>
      <c r="N89" s="34"/>
      <c r="O89" s="355"/>
      <c r="P89" s="349"/>
      <c r="Q89" s="350"/>
      <c r="R89" s="350"/>
      <c r="S89" s="348"/>
      <c r="T89" s="349"/>
      <c r="U89" s="355"/>
      <c r="V89" s="34"/>
      <c r="W89" s="341"/>
    </row>
    <row r="90" spans="12:23" ht="15" customHeight="1">
      <c r="L90" s="349"/>
      <c r="M90" s="34"/>
      <c r="N90" s="34"/>
      <c r="O90" s="355"/>
      <c r="P90" s="349"/>
      <c r="Q90" s="350"/>
      <c r="R90" s="350"/>
      <c r="S90" s="350"/>
      <c r="T90" s="349"/>
      <c r="U90" s="355"/>
      <c r="V90" s="355"/>
      <c r="W90" s="341"/>
    </row>
    <row r="91" spans="12:23" ht="15" customHeight="1">
      <c r="L91" s="349"/>
      <c r="M91" s="34"/>
      <c r="N91" s="34"/>
      <c r="O91" s="355"/>
      <c r="P91" s="349"/>
      <c r="Q91" s="350"/>
      <c r="R91" s="350"/>
      <c r="S91" s="350"/>
      <c r="T91" s="349"/>
      <c r="U91" s="355"/>
      <c r="V91" s="355"/>
      <c r="W91" s="341"/>
    </row>
    <row r="92" spans="12:23" ht="15" customHeight="1">
      <c r="L92" s="349"/>
      <c r="M92" s="34"/>
      <c r="N92" s="34"/>
      <c r="O92" s="355"/>
      <c r="P92" s="349"/>
      <c r="Q92" s="350"/>
      <c r="R92" s="350"/>
      <c r="S92" s="350"/>
      <c r="T92" s="349"/>
      <c r="U92" s="355"/>
      <c r="V92" s="355"/>
      <c r="W92" s="341"/>
    </row>
    <row r="93" spans="12:23" ht="15" customHeight="1">
      <c r="L93" s="349"/>
      <c r="M93" s="34"/>
      <c r="N93" s="34"/>
      <c r="O93" s="355"/>
      <c r="P93" s="349"/>
      <c r="Q93" s="350"/>
      <c r="R93" s="350"/>
      <c r="S93" s="350"/>
      <c r="T93" s="349"/>
      <c r="U93" s="355"/>
      <c r="V93" s="355"/>
      <c r="W93" s="341"/>
    </row>
    <row r="94" spans="12:23" ht="15" customHeight="1">
      <c r="L94" s="349"/>
      <c r="M94" s="34"/>
      <c r="N94" s="34"/>
      <c r="O94" s="355"/>
      <c r="P94" s="349"/>
      <c r="Q94" s="350"/>
      <c r="R94" s="350"/>
      <c r="S94" s="350"/>
      <c r="T94" s="349"/>
      <c r="U94" s="355"/>
      <c r="V94" s="355"/>
      <c r="W94" s="341"/>
    </row>
    <row r="95" spans="12:23" ht="15" customHeight="1">
      <c r="L95" s="349"/>
      <c r="M95" s="34"/>
      <c r="N95" s="34"/>
      <c r="O95" s="355"/>
      <c r="P95" s="349"/>
      <c r="Q95" s="350"/>
      <c r="R95" s="350"/>
      <c r="S95" s="350"/>
      <c r="T95" s="349"/>
      <c r="U95" s="355"/>
      <c r="V95" s="355"/>
      <c r="W95" s="341"/>
    </row>
    <row r="96" spans="12:23" ht="15" customHeight="1">
      <c r="L96" s="349"/>
      <c r="M96" s="34"/>
      <c r="N96" s="34"/>
      <c r="O96" s="355"/>
      <c r="P96" s="349"/>
      <c r="Q96" s="350"/>
      <c r="R96" s="350"/>
      <c r="S96" s="350"/>
      <c r="T96" s="349"/>
      <c r="U96" s="355"/>
      <c r="V96" s="355"/>
      <c r="W96" s="341"/>
    </row>
    <row r="97" spans="12:22" ht="15" customHeight="1">
      <c r="L97" s="336"/>
      <c r="M97" s="44"/>
      <c r="N97" s="44"/>
      <c r="O97" s="338"/>
      <c r="P97" s="336"/>
      <c r="Q97" s="337"/>
      <c r="R97" s="337"/>
      <c r="S97" s="337"/>
      <c r="T97" s="336"/>
      <c r="U97" s="338"/>
      <c r="V97" s="338"/>
    </row>
    <row r="98" spans="12:22" ht="15" customHeight="1">
      <c r="L98" s="336"/>
      <c r="M98" s="44"/>
      <c r="N98" s="44"/>
      <c r="O98" s="338"/>
      <c r="P98" s="336"/>
      <c r="Q98" s="337"/>
      <c r="R98" s="337"/>
      <c r="S98" s="337"/>
      <c r="T98" s="336"/>
      <c r="U98" s="338"/>
      <c r="V98" s="338"/>
    </row>
    <row r="99" spans="12:22" ht="15" customHeight="1">
      <c r="L99" s="336"/>
      <c r="M99" s="44"/>
      <c r="N99" s="44"/>
      <c r="O99" s="338"/>
      <c r="P99" s="336"/>
      <c r="Q99" s="337"/>
      <c r="R99" s="337"/>
      <c r="S99" s="337"/>
      <c r="T99" s="336"/>
      <c r="U99" s="338"/>
      <c r="V99" s="338"/>
    </row>
    <row r="100" spans="12:22" ht="15" customHeight="1">
      <c r="L100" s="336"/>
      <c r="M100" s="44"/>
      <c r="N100" s="44"/>
      <c r="O100" s="338"/>
      <c r="P100" s="336"/>
      <c r="Q100" s="337"/>
      <c r="R100" s="337"/>
      <c r="S100" s="337"/>
      <c r="T100" s="336"/>
      <c r="U100" s="338"/>
      <c r="V100" s="338"/>
    </row>
    <row r="101" spans="12:22" ht="15" customHeight="1">
      <c r="L101" s="336"/>
      <c r="M101" s="44"/>
      <c r="N101" s="44"/>
      <c r="O101" s="338"/>
      <c r="P101" s="336"/>
      <c r="Q101" s="337"/>
      <c r="R101" s="337"/>
      <c r="S101" s="337"/>
      <c r="T101" s="336"/>
      <c r="U101" s="338"/>
      <c r="V101" s="338"/>
    </row>
    <row r="102" spans="12:22" ht="15" customHeight="1">
      <c r="L102" s="336"/>
      <c r="M102" s="44"/>
      <c r="N102" s="44"/>
      <c r="O102" s="338"/>
      <c r="P102" s="336"/>
      <c r="Q102" s="337"/>
      <c r="R102" s="337"/>
      <c r="S102" s="337"/>
      <c r="T102" s="336"/>
      <c r="U102" s="338"/>
      <c r="V102" s="338"/>
    </row>
    <row r="103" spans="12:22" ht="15" customHeight="1">
      <c r="L103" s="336"/>
      <c r="M103" s="44"/>
      <c r="N103" s="44"/>
      <c r="O103" s="338"/>
      <c r="P103" s="336"/>
      <c r="Q103" s="337"/>
      <c r="R103" s="337"/>
      <c r="S103" s="337"/>
      <c r="T103" s="336"/>
      <c r="U103" s="338"/>
      <c r="V103" s="338"/>
    </row>
    <row r="104" spans="12:22" ht="15" customHeight="1">
      <c r="L104" s="336"/>
      <c r="M104" s="44"/>
      <c r="N104" s="44"/>
      <c r="O104" s="338"/>
      <c r="P104" s="336"/>
      <c r="Q104" s="337"/>
      <c r="R104" s="337"/>
      <c r="S104" s="337"/>
      <c r="T104" s="336"/>
      <c r="U104" s="338"/>
      <c r="V104" s="338"/>
    </row>
    <row r="105" spans="12:22" ht="15" customHeight="1">
      <c r="L105" s="336"/>
      <c r="M105" s="44"/>
      <c r="N105" s="44"/>
      <c r="O105" s="338"/>
      <c r="P105" s="336"/>
      <c r="Q105" s="337"/>
      <c r="R105" s="337"/>
      <c r="S105" s="337"/>
      <c r="T105" s="336"/>
      <c r="U105" s="338"/>
      <c r="V105" s="338"/>
    </row>
    <row r="106" spans="12:22" ht="15" customHeight="1">
      <c r="L106" s="336"/>
      <c r="M106" s="44"/>
      <c r="N106" s="44"/>
      <c r="O106" s="338"/>
      <c r="P106" s="336"/>
      <c r="Q106" s="337"/>
      <c r="R106" s="337"/>
      <c r="S106" s="337"/>
      <c r="T106" s="336"/>
      <c r="U106" s="338"/>
      <c r="V106" s="338"/>
    </row>
    <row r="107" spans="12:22">
      <c r="L107" s="336"/>
      <c r="M107" s="44"/>
      <c r="N107" s="44"/>
      <c r="O107" s="338"/>
      <c r="P107" s="336"/>
      <c r="Q107" s="337"/>
      <c r="R107" s="337"/>
      <c r="S107" s="337"/>
      <c r="T107" s="336"/>
      <c r="U107" s="338"/>
      <c r="V107" s="338"/>
    </row>
    <row r="108" spans="12:22">
      <c r="L108" s="335"/>
      <c r="M108" s="44"/>
      <c r="N108" s="44"/>
      <c r="O108" s="338"/>
      <c r="P108" s="336"/>
      <c r="Q108" s="337"/>
      <c r="R108" s="337"/>
      <c r="S108" s="337"/>
      <c r="T108" s="335"/>
      <c r="U108" s="338"/>
      <c r="V108" s="338"/>
    </row>
    <row r="109" spans="12:22">
      <c r="L109" s="336"/>
      <c r="M109" s="44"/>
      <c r="N109" s="44"/>
      <c r="O109" s="338"/>
      <c r="P109" s="336"/>
      <c r="Q109" s="337"/>
      <c r="R109" s="337"/>
      <c r="S109" s="337"/>
      <c r="T109" s="336"/>
      <c r="U109" s="338"/>
      <c r="V109" s="338"/>
    </row>
    <row r="110" spans="12:22">
      <c r="L110" s="336"/>
      <c r="M110" s="44"/>
      <c r="N110" s="44"/>
      <c r="O110" s="338"/>
      <c r="P110" s="336"/>
      <c r="Q110" s="337"/>
      <c r="R110" s="337"/>
      <c r="S110" s="337"/>
      <c r="T110" s="336"/>
      <c r="U110" s="338"/>
      <c r="V110" s="338"/>
    </row>
    <row r="111" spans="12:22">
      <c r="L111" s="336"/>
      <c r="M111" s="44"/>
      <c r="N111" s="44"/>
      <c r="O111" s="338"/>
      <c r="P111" s="336"/>
      <c r="Q111" s="337"/>
      <c r="R111" s="337"/>
      <c r="S111" s="337"/>
      <c r="T111" s="336"/>
      <c r="U111" s="338"/>
      <c r="V111" s="338"/>
    </row>
    <row r="112" spans="12:22">
      <c r="L112" s="336"/>
      <c r="M112" s="44"/>
      <c r="N112" s="44"/>
      <c r="O112" s="338"/>
      <c r="P112" s="336"/>
      <c r="Q112" s="337"/>
      <c r="R112" s="337"/>
      <c r="S112" s="337"/>
      <c r="T112" s="336"/>
      <c r="U112" s="338"/>
      <c r="V112" s="338"/>
    </row>
    <row r="113" spans="12:22">
      <c r="L113" s="336"/>
      <c r="M113" s="44"/>
      <c r="N113" s="44"/>
      <c r="O113" s="338"/>
      <c r="P113" s="336"/>
      <c r="Q113" s="337"/>
      <c r="R113" s="337"/>
      <c r="S113" s="337"/>
      <c r="T113" s="336"/>
      <c r="U113" s="338"/>
      <c r="V113" s="338"/>
    </row>
  </sheetData>
  <sheetProtection sheet="1" objects="1" scenarios="1"/>
  <mergeCells count="1">
    <mergeCell ref="B67:I67"/>
  </mergeCells>
  <printOptions horizontalCentered="1"/>
  <pageMargins left="0.7" right="0.7" top="0.75" bottom="0.75" header="0.3" footer="0.3"/>
  <pageSetup scale="66" orientation="landscape" r:id="rId1"/>
  <headerFooter scaleWithDoc="0">
    <oddFooter>&amp;L&amp;10Data Source: FR Y-15&amp;C&amp;10Page &amp;P of &amp;N&amp;R&amp;10As-of Date: December 31, 2014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6C9513E-70AB-4241-AE1C-608A2660C12C}">
            <xm:f>$D$2=Indicators!$O$5</xm:f>
            <x14:dxf>
              <fill>
                <patternFill>
                  <bgColor theme="7" tint="0.59996337778862885"/>
                </patternFill>
              </fill>
            </x14:dxf>
          </x14:cfRule>
          <x14:cfRule type="expression" priority="2" id="{FF33B107-684C-439E-93F1-419521152226}">
            <xm:f>$D$2=Indicators!$N$5</xm:f>
            <x14:dxf>
              <fill>
                <patternFill>
                  <bgColor theme="7" tint="0.59996337778862885"/>
                </patternFill>
              </fill>
            </x14:dxf>
          </x14:cfRule>
          <x14:cfRule type="expression" priority="3" id="{336C3053-3EDB-45ED-B307-29F101F05BAA}">
            <xm:f>$D$2=Indicators!$M$5</xm:f>
            <x14:dxf>
              <fill>
                <patternFill>
                  <bgColor theme="6" tint="0.59996337778862885"/>
                </patternFill>
              </fill>
            </x14:dxf>
          </x14:cfRule>
          <x14:cfRule type="expression" priority="4" id="{0EDE369C-778F-4FC9-AA15-70DCB3CDC643}">
            <xm:f>$D$2=Indicators!$L$5</xm:f>
            <x14:dxf>
              <fill>
                <patternFill>
                  <bgColor theme="6" tint="0.59996337778862885"/>
                </patternFill>
              </fill>
            </x14:dxf>
          </x14:cfRule>
          <x14:cfRule type="expression" priority="5" id="{43E1A685-727E-4F1C-B1F4-BA03DDD8AC2C}">
            <xm:f>$D$2=Indicators!$K$5</xm:f>
            <x14:dxf>
              <fill>
                <patternFill>
                  <bgColor theme="6" tint="0.59996337778862885"/>
                </patternFill>
              </fill>
            </x14:dxf>
          </x14:cfRule>
          <x14:cfRule type="expression" priority="6" id="{2A008092-BE98-462D-A9B4-5AE7AD29DA26}">
            <xm:f>$D$2=Indicators!$J$5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7" id="{53FEB59F-2054-4500-B400-9D92E96C6945}">
            <xm:f>$D$2=Indicators!$I$5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8" id="{0AB61DB7-6FDC-4990-A864-CBDE4878F7E0}">
            <xm:f>$D$2=Indicators!$H$5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9" id="{2D9B7B5F-D97D-428B-8440-564EDBA055F5}">
            <xm:f>$D$2=Indicators!$G$5</xm:f>
            <x14:dxf>
              <fill>
                <patternFill>
                  <bgColor theme="3" tint="0.79998168889431442"/>
                </patternFill>
              </fill>
            </x14:dxf>
          </x14:cfRule>
          <x14:cfRule type="expression" priority="10" id="{E59E8DD1-C9C4-495F-AA15-D7DA855C330B}">
            <xm:f>$D$2=Indicators!$F$5</xm:f>
            <x14:dxf>
              <fill>
                <patternFill>
                  <bgColor theme="3" tint="0.79998168889431442"/>
                </patternFill>
              </fill>
            </x14:dxf>
          </x14:cfRule>
          <x14:cfRule type="expression" priority="11" id="{65C55B61-6BA8-4E3D-9079-4255AB6DB3CA}">
            <xm:f>$D$2=Indicators!$E$5</xm:f>
            <x14:dxf>
              <fill>
                <patternFill>
                  <bgColor theme="3" tint="0.79998168889431442"/>
                </patternFill>
              </fill>
            </x14:dxf>
          </x14:cfRule>
          <x14:cfRule type="expression" priority="12" id="{8F13D0C1-6C3B-457E-841B-ACAFF6BC216C}">
            <xm:f>$D$2=Indicators!$D$5</xm:f>
            <x14:dxf>
              <fill>
                <patternFill>
                  <bgColor theme="2" tint="-0.24994659260841701"/>
                </patternFill>
              </fill>
            </x14:dxf>
          </x14:cfRule>
          <xm:sqref>X6 R6:T6 B5:I5 B31:I31 D2 N6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Indicators!$D$5:$O$5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3" tint="0.79998168889431442"/>
  </sheetPr>
  <dimension ref="B2:AD46"/>
  <sheetViews>
    <sheetView showGridLines="0" zoomScale="85" zoomScaleNormal="85" zoomScaleSheetLayoutView="40" workbookViewId="0">
      <selection activeCell="Q2" sqref="Q2"/>
    </sheetView>
  </sheetViews>
  <sheetFormatPr defaultRowHeight="14.5"/>
  <cols>
    <col min="1" max="1" width="5.7265625" customWidth="1"/>
    <col min="2" max="2" width="44.7265625" customWidth="1"/>
    <col min="3" max="3" width="12.7265625" customWidth="1"/>
    <col min="4" max="15" width="15.7265625" hidden="1" customWidth="1"/>
    <col min="16" max="28" width="15.7265625" customWidth="1"/>
    <col min="29" max="29" width="3.7265625" customWidth="1"/>
    <col min="30" max="30" width="15.7265625" customWidth="1"/>
    <col min="31" max="31" width="3.7265625" customWidth="1"/>
  </cols>
  <sheetData>
    <row r="2" spans="2:30" ht="18" customHeight="1">
      <c r="B2" s="2"/>
      <c r="C2" s="2"/>
      <c r="Q2" s="48" t="s">
        <v>13</v>
      </c>
      <c r="R2" s="373" t="s">
        <v>14</v>
      </c>
      <c r="S2" s="373"/>
      <c r="T2" s="373"/>
      <c r="U2" s="374" t="s">
        <v>19</v>
      </c>
      <c r="V2" s="374"/>
      <c r="W2" s="374"/>
      <c r="X2" s="375" t="s">
        <v>15</v>
      </c>
      <c r="Y2" s="375"/>
      <c r="Z2" s="375"/>
      <c r="AA2" s="376" t="s">
        <v>16</v>
      </c>
      <c r="AB2" s="376"/>
      <c r="AD2" s="299" t="s">
        <v>19</v>
      </c>
    </row>
    <row r="3" spans="2:30">
      <c r="B3" s="2"/>
      <c r="C3" s="2"/>
      <c r="Q3" s="51" t="s">
        <v>1</v>
      </c>
      <c r="R3" s="287" t="s">
        <v>2</v>
      </c>
      <c r="S3" s="288" t="s">
        <v>3</v>
      </c>
      <c r="T3" s="289" t="s">
        <v>4</v>
      </c>
      <c r="U3" s="287" t="s">
        <v>5</v>
      </c>
      <c r="V3" s="288" t="s">
        <v>6</v>
      </c>
      <c r="W3" s="289" t="s">
        <v>7</v>
      </c>
      <c r="X3" s="287" t="s">
        <v>8</v>
      </c>
      <c r="Y3" s="288" t="s">
        <v>9</v>
      </c>
      <c r="Z3" s="289" t="s">
        <v>10</v>
      </c>
      <c r="AA3" s="287" t="s">
        <v>11</v>
      </c>
      <c r="AB3" s="289" t="s">
        <v>12</v>
      </c>
      <c r="AD3" s="298"/>
    </row>
    <row r="4" spans="2:30" ht="45" customHeight="1">
      <c r="B4" s="286" t="s">
        <v>338</v>
      </c>
      <c r="Q4" s="48" t="s">
        <v>17</v>
      </c>
      <c r="R4" s="302" t="s">
        <v>333</v>
      </c>
      <c r="S4" s="303" t="s">
        <v>334</v>
      </c>
      <c r="T4" s="304" t="s">
        <v>335</v>
      </c>
      <c r="U4" s="305" t="s">
        <v>578</v>
      </c>
      <c r="V4" s="306" t="s">
        <v>24</v>
      </c>
      <c r="W4" s="307" t="s">
        <v>25</v>
      </c>
      <c r="X4" s="314" t="s">
        <v>23</v>
      </c>
      <c r="Y4" s="315" t="s">
        <v>20</v>
      </c>
      <c r="Z4" s="316" t="s">
        <v>21</v>
      </c>
      <c r="AA4" s="317" t="s">
        <v>22</v>
      </c>
      <c r="AB4" s="318" t="s">
        <v>790</v>
      </c>
      <c r="AD4" s="49" t="s">
        <v>583</v>
      </c>
    </row>
    <row r="5" spans="2:30" ht="25">
      <c r="B5" s="294"/>
      <c r="C5" s="290" t="s">
        <v>575</v>
      </c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5" t="s">
        <v>573</v>
      </c>
      <c r="Q5" s="300">
        <f>1/5</f>
        <v>0.2</v>
      </c>
      <c r="R5" s="300">
        <f t="shared" ref="R5:Z5" si="0">1/15</f>
        <v>6.6666666666666666E-2</v>
      </c>
      <c r="S5" s="300">
        <f t="shared" si="0"/>
        <v>6.6666666666666666E-2</v>
      </c>
      <c r="T5" s="300">
        <f t="shared" si="0"/>
        <v>6.6666666666666666E-2</v>
      </c>
      <c r="U5" s="300">
        <f t="shared" si="0"/>
        <v>6.6666666666666666E-2</v>
      </c>
      <c r="V5" s="300">
        <f t="shared" si="0"/>
        <v>6.6666666666666666E-2</v>
      </c>
      <c r="W5" s="300">
        <f t="shared" si="0"/>
        <v>6.6666666666666666E-2</v>
      </c>
      <c r="X5" s="300">
        <f t="shared" si="0"/>
        <v>6.6666666666666666E-2</v>
      </c>
      <c r="Y5" s="300">
        <f t="shared" si="0"/>
        <v>6.6666666666666666E-2</v>
      </c>
      <c r="Z5" s="300">
        <f t="shared" si="0"/>
        <v>6.6666666666666666E-2</v>
      </c>
      <c r="AA5" s="300">
        <f>1/10</f>
        <v>0.1</v>
      </c>
      <c r="AB5" s="300">
        <f>1/10</f>
        <v>0.1</v>
      </c>
      <c r="AD5" s="283">
        <v>500</v>
      </c>
    </row>
    <row r="6" spans="2:30" ht="25">
      <c r="B6" s="296"/>
      <c r="C6" s="292" t="s">
        <v>574</v>
      </c>
      <c r="D6" s="293"/>
      <c r="E6" s="293"/>
      <c r="F6" s="293"/>
      <c r="G6" s="293"/>
      <c r="H6" s="293"/>
      <c r="I6" s="293"/>
      <c r="J6" s="293"/>
      <c r="K6" s="293"/>
      <c r="L6" s="293"/>
      <c r="M6" s="293"/>
      <c r="N6" s="293"/>
      <c r="O6" s="293"/>
      <c r="P6" s="297" t="s">
        <v>573</v>
      </c>
      <c r="Q6" s="301"/>
      <c r="R6" s="301"/>
      <c r="S6" s="301"/>
      <c r="T6" s="301"/>
      <c r="U6" s="301"/>
      <c r="V6" s="301"/>
      <c r="W6" s="301"/>
      <c r="X6" s="301"/>
      <c r="Y6" s="301"/>
      <c r="Z6" s="301"/>
      <c r="AA6" s="301"/>
      <c r="AB6" s="301"/>
    </row>
    <row r="7" spans="2:30">
      <c r="D7" s="225" t="s">
        <v>336</v>
      </c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</row>
    <row r="8" spans="2:30" ht="18" customHeight="1">
      <c r="C8" s="2"/>
      <c r="D8" s="319" t="s">
        <v>13</v>
      </c>
      <c r="E8" s="403" t="s">
        <v>14</v>
      </c>
      <c r="F8" s="404"/>
      <c r="G8" s="405"/>
      <c r="H8" s="406" t="s">
        <v>19</v>
      </c>
      <c r="I8" s="407"/>
      <c r="J8" s="408"/>
      <c r="K8" s="409" t="s">
        <v>15</v>
      </c>
      <c r="L8" s="410"/>
      <c r="M8" s="411"/>
      <c r="N8" s="412" t="s">
        <v>16</v>
      </c>
      <c r="O8" s="413"/>
    </row>
    <row r="9" spans="2:30" hidden="1">
      <c r="B9" s="284" t="s">
        <v>580</v>
      </c>
      <c r="C9" s="285" t="s">
        <v>0</v>
      </c>
      <c r="D9" s="51" t="s">
        <v>1</v>
      </c>
      <c r="E9" s="287" t="s">
        <v>2</v>
      </c>
      <c r="F9" s="288" t="s">
        <v>3</v>
      </c>
      <c r="G9" s="289" t="s">
        <v>4</v>
      </c>
      <c r="H9" s="287" t="s">
        <v>5</v>
      </c>
      <c r="I9" s="288" t="s">
        <v>6</v>
      </c>
      <c r="J9" s="289" t="s">
        <v>7</v>
      </c>
      <c r="K9" s="287" t="s">
        <v>8</v>
      </c>
      <c r="L9" s="288" t="s">
        <v>9</v>
      </c>
      <c r="M9" s="289" t="s">
        <v>10</v>
      </c>
      <c r="N9" s="287" t="s">
        <v>11</v>
      </c>
      <c r="O9" s="289" t="s">
        <v>12</v>
      </c>
    </row>
    <row r="10" spans="2:30" ht="45" customHeight="1">
      <c r="B10" s="229" t="s">
        <v>337</v>
      </c>
      <c r="C10" s="230" t="s">
        <v>581</v>
      </c>
      <c r="D10" s="48" t="s">
        <v>17</v>
      </c>
      <c r="E10" s="302" t="s">
        <v>333</v>
      </c>
      <c r="F10" s="303" t="s">
        <v>334</v>
      </c>
      <c r="G10" s="304" t="s">
        <v>335</v>
      </c>
      <c r="H10" s="305" t="s">
        <v>578</v>
      </c>
      <c r="I10" s="306" t="s">
        <v>24</v>
      </c>
      <c r="J10" s="307" t="s">
        <v>25</v>
      </c>
      <c r="K10" s="314" t="s">
        <v>23</v>
      </c>
      <c r="L10" s="315" t="s">
        <v>20</v>
      </c>
      <c r="M10" s="316" t="s">
        <v>21</v>
      </c>
      <c r="N10" s="317" t="s">
        <v>22</v>
      </c>
      <c r="O10" s="318" t="s">
        <v>790</v>
      </c>
      <c r="P10" s="320" t="s">
        <v>582</v>
      </c>
    </row>
    <row r="11" spans="2:30">
      <c r="B11" s="231" t="str">
        <f>INDEX('FR Y-15 Data'!$A$1:$ED$66,MATCH($C11,'FR Y-15 Data'!$C$1:$C$66,0),MATCH($B$9,'FR Y-15 Data'!$A$1:$EE$1,0))</f>
        <v xml:space="preserve">ALLY FINANCIAL INC.                                                                                                     </v>
      </c>
      <c r="C11" s="35">
        <f>INDEX('FR Y-15 Data'!$A$1:$ED$66,ROWS($C$10:C11)+1,MATCH($C$9,'FR Y-15 Data'!$A$1:$EE$1,0))</f>
        <v>1562859</v>
      </c>
      <c r="D11" s="42">
        <f>INDEX('FR Y-15 Data'!$A$1:$ED$66,MATCH($C11,'FR Y-15 Data'!$C$1:$C$66,0),MATCH(D$9,'FR Y-15 Data'!$A$1:$EE$1,0))/1000</f>
        <v>154346.6</v>
      </c>
      <c r="E11" s="308">
        <f>INDEX('FR Y-15 Data'!$A$1:$ED$66,MATCH($C11,'FR Y-15 Data'!$C$1:$C$66,0),MATCH(E$9,'FR Y-15 Data'!$A$1:$EE$1,0))/1000</f>
        <v>5416</v>
      </c>
      <c r="F11" s="309">
        <f>INDEX('FR Y-15 Data'!$A$1:$ED$66,MATCH($C11,'FR Y-15 Data'!$C$1:$C$66,0),MATCH(F$9,'FR Y-15 Data'!$A$1:$EE$1,0))/1000</f>
        <v>13796</v>
      </c>
      <c r="G11" s="310">
        <f>INDEX('FR Y-15 Data'!$A$1:$ED$66,MATCH($C11,'FR Y-15 Data'!$C$1:$C$66,0),MATCH(G$9,'FR Y-15 Data'!$A$1:$EE$1,0))/1000</f>
        <v>116354</v>
      </c>
      <c r="H11" s="308">
        <f>INDEX('FR Y-15 Data'!$A$1:$ED$66,MATCH($C11,'FR Y-15 Data'!$C$1:$C$66,0),MATCH(H$9,'FR Y-15 Data'!$A$1:$EE$1,0))/1000</f>
        <v>118390</v>
      </c>
      <c r="I11" s="309">
        <f>INDEX('FR Y-15 Data'!$A$1:$ED$66,MATCH($C11,'FR Y-15 Data'!$C$1:$C$66,0),MATCH(I$9,'FR Y-15 Data'!$A$1:$EE$1,0))/1000</f>
        <v>0</v>
      </c>
      <c r="J11" s="310">
        <f>INDEX('FR Y-15 Data'!$A$1:$ED$66,MATCH($C11,'FR Y-15 Data'!$C$1:$C$66,0),MATCH(J$9,'FR Y-15 Data'!$A$1:$EE$1,0))/1000</f>
        <v>0</v>
      </c>
      <c r="K11" s="308">
        <f>INDEX('FR Y-15 Data'!$A$1:$ED$66,MATCH($C11,'FR Y-15 Data'!$C$1:$C$66,0),MATCH(K$9,'FR Y-15 Data'!$A$1:$EE$1,0))/1000</f>
        <v>62313</v>
      </c>
      <c r="L11" s="309">
        <f>INDEX('FR Y-15 Data'!$A$1:$ED$66,MATCH($C11,'FR Y-15 Data'!$C$1:$C$66,0),MATCH(L$9,'FR Y-15 Data'!$A$1:$EE$1,0))/1000</f>
        <v>9089</v>
      </c>
      <c r="M11" s="310">
        <f>INDEX('FR Y-15 Data'!$A$1:$ED$66,MATCH($C11,'FR Y-15 Data'!$C$1:$C$66,0),MATCH(M$9,'FR Y-15 Data'!$A$1:$EE$1,0))/1000</f>
        <v>50</v>
      </c>
      <c r="N11" s="308">
        <f>INDEX('FR Y-15 Data'!$A$1:$ED$66,MATCH($C11,'FR Y-15 Data'!$C$1:$C$66,0),MATCH(N$9,'FR Y-15 Data'!$A$1:$EE$1,0))/1000</f>
        <v>1843</v>
      </c>
      <c r="O11" s="310">
        <f>INDEX('FR Y-15 Data'!$A$1:$ED$66,MATCH($C11,'FR Y-15 Data'!$C$1:$C$66,0),MATCH(O$9,'FR Y-15 Data'!$A$1:$EE$1,0))/1000</f>
        <v>1622</v>
      </c>
      <c r="P11" s="47">
        <f t="shared" ref="P11:P43" si="1">IF(OR(COUNTBLANK($Q$5:$AB$6)+COUNTBLANK($AD$5)&gt;0,ISERROR(SUMPRODUCT(D11:O11,$Q$5:$AB$5,1/$Q$6:$AB$6)*10000)),0,(SUMPRODUCT(D11:O11,$Q$5:$AB$5,1/$Q$6:$AB$6)*10000+IF(SUMPRODUCT(H11:J11,$U$5:$W$5,1/$U$6:$W$6)*10000&gt;$AD$5/5,$AD$5/5-SUMPRODUCT(H11:J11,$U$5:$W$5,1/$U$6:$W$6)*10000,0)))</f>
        <v>0</v>
      </c>
    </row>
    <row r="12" spans="2:30">
      <c r="B12" s="231" t="str">
        <f>INDEX('FR Y-15 Data'!$A$1:$ED$66,MATCH($C12,'FR Y-15 Data'!$C$1:$C$66,0),MATCH($B$9,'FR Y-15 Data'!$A$1:$EE$1,0))</f>
        <v xml:space="preserve">AMERICAN EXPRESS COMPANY                                                                                                </v>
      </c>
      <c r="C12" s="4">
        <f>INDEX('FR Y-15 Data'!$A$1:$ED$66,ROWS($C$10:C12)+1,MATCH($C$9,'FR Y-15 Data'!$A$1:$EE$1,0))</f>
        <v>1275216</v>
      </c>
      <c r="D12" s="42">
        <f>INDEX('FR Y-15 Data'!$A$1:$ED$66,MATCH($C12,'FR Y-15 Data'!$C$1:$C$66,0),MATCH(D$9,'FR Y-15 Data'!$A$1:$EE$1,0))/1000</f>
        <v>184977.1</v>
      </c>
      <c r="E12" s="308">
        <f>INDEX('FR Y-15 Data'!$A$1:$ED$66,MATCH($C12,'FR Y-15 Data'!$C$1:$C$66,0),MATCH(E$9,'FR Y-15 Data'!$A$1:$EE$1,0))/1000</f>
        <v>8243</v>
      </c>
      <c r="F12" s="309">
        <f>INDEX('FR Y-15 Data'!$A$1:$ED$66,MATCH($C12,'FR Y-15 Data'!$C$1:$C$66,0),MATCH(F$9,'FR Y-15 Data'!$A$1:$EE$1,0))/1000</f>
        <v>5794</v>
      </c>
      <c r="G12" s="310">
        <f>INDEX('FR Y-15 Data'!$A$1:$ED$66,MATCH($C12,'FR Y-15 Data'!$C$1:$C$66,0),MATCH(G$9,'FR Y-15 Data'!$A$1:$EE$1,0))/1000</f>
        <v>162085</v>
      </c>
      <c r="H12" s="308">
        <f>INDEX('FR Y-15 Data'!$A$1:$ED$66,MATCH($C12,'FR Y-15 Data'!$C$1:$C$66,0),MATCH(H$9,'FR Y-15 Data'!$A$1:$EE$1,0))/1000</f>
        <v>140455</v>
      </c>
      <c r="I12" s="309">
        <f>INDEX('FR Y-15 Data'!$A$1:$ED$66,MATCH($C12,'FR Y-15 Data'!$C$1:$C$66,0),MATCH(I$9,'FR Y-15 Data'!$A$1:$EE$1,0))/1000</f>
        <v>0</v>
      </c>
      <c r="J12" s="310">
        <f>INDEX('FR Y-15 Data'!$A$1:$ED$66,MATCH($C12,'FR Y-15 Data'!$C$1:$C$66,0),MATCH(J$9,'FR Y-15 Data'!$A$1:$EE$1,0))/1000</f>
        <v>0</v>
      </c>
      <c r="K12" s="308">
        <f>INDEX('FR Y-15 Data'!$A$1:$ED$66,MATCH($C12,'FR Y-15 Data'!$C$1:$C$66,0),MATCH(K$9,'FR Y-15 Data'!$A$1:$EE$1,0))/1000</f>
        <v>47644</v>
      </c>
      <c r="L12" s="309">
        <f>INDEX('FR Y-15 Data'!$A$1:$ED$66,MATCH($C12,'FR Y-15 Data'!$C$1:$C$66,0),MATCH(L$9,'FR Y-15 Data'!$A$1:$EE$1,0))/1000</f>
        <v>3733</v>
      </c>
      <c r="M12" s="310">
        <f>INDEX('FR Y-15 Data'!$A$1:$ED$66,MATCH($C12,'FR Y-15 Data'!$C$1:$C$66,0),MATCH(M$9,'FR Y-15 Data'!$A$1:$EE$1,0))/1000</f>
        <v>0</v>
      </c>
      <c r="N12" s="308">
        <f>INDEX('FR Y-15 Data'!$A$1:$ED$66,MATCH($C12,'FR Y-15 Data'!$C$1:$C$66,0),MATCH(N$9,'FR Y-15 Data'!$A$1:$EE$1,0))/1000</f>
        <v>27728</v>
      </c>
      <c r="O12" s="310">
        <f>INDEX('FR Y-15 Data'!$A$1:$ED$66,MATCH($C12,'FR Y-15 Data'!$C$1:$C$66,0),MATCH(O$9,'FR Y-15 Data'!$A$1:$EE$1,0))/1000</f>
        <v>17541</v>
      </c>
      <c r="P12" s="47">
        <f t="shared" si="1"/>
        <v>0</v>
      </c>
    </row>
    <row r="13" spans="2:30">
      <c r="B13" s="231" t="str">
        <f>INDEX('FR Y-15 Data'!$A$1:$ED$66,MATCH($C13,'FR Y-15 Data'!$C$1:$C$66,0),MATCH($B$9,'FR Y-15 Data'!$A$1:$EE$1,0))</f>
        <v xml:space="preserve">BANCWEST CORPORATION                                                                                                    </v>
      </c>
      <c r="C13" s="4">
        <f>INDEX('FR Y-15 Data'!$A$1:$ED$66,ROWS($C$10:C13)+1,MATCH($C$9,'FR Y-15 Data'!$A$1:$EE$1,0))</f>
        <v>1025608</v>
      </c>
      <c r="D13" s="42">
        <f>INDEX('FR Y-15 Data'!$A$1:$ED$66,MATCH($C13,'FR Y-15 Data'!$C$1:$C$66,0),MATCH(D$9,'FR Y-15 Data'!$A$1:$EE$1,0))/1000</f>
        <v>111924.474</v>
      </c>
      <c r="E13" s="308">
        <f>INDEX('FR Y-15 Data'!$A$1:$ED$66,MATCH($C13,'FR Y-15 Data'!$C$1:$C$66,0),MATCH(E$9,'FR Y-15 Data'!$A$1:$EE$1,0))/1000</f>
        <v>1295.7629999999999</v>
      </c>
      <c r="F13" s="309">
        <f>INDEX('FR Y-15 Data'!$A$1:$ED$66,MATCH($C13,'FR Y-15 Data'!$C$1:$C$66,0),MATCH(F$9,'FR Y-15 Data'!$A$1:$EE$1,0))/1000</f>
        <v>8252.59</v>
      </c>
      <c r="G13" s="310">
        <f>INDEX('FR Y-15 Data'!$A$1:$ED$66,MATCH($C13,'FR Y-15 Data'!$C$1:$C$66,0),MATCH(G$9,'FR Y-15 Data'!$A$1:$EE$1,0))/1000</f>
        <v>12027.017</v>
      </c>
      <c r="H13" s="308">
        <f>INDEX('FR Y-15 Data'!$A$1:$ED$66,MATCH($C13,'FR Y-15 Data'!$C$1:$C$66,0),MATCH(H$9,'FR Y-15 Data'!$A$1:$EE$1,0))/1000</f>
        <v>485680.10200000001</v>
      </c>
      <c r="I13" s="309">
        <f>INDEX('FR Y-15 Data'!$A$1:$ED$66,MATCH($C13,'FR Y-15 Data'!$C$1:$C$66,0),MATCH(I$9,'FR Y-15 Data'!$A$1:$EE$1,0))/1000</f>
        <v>2798.9459999999999</v>
      </c>
      <c r="J13" s="310">
        <f>INDEX('FR Y-15 Data'!$A$1:$ED$66,MATCH($C13,'FR Y-15 Data'!$C$1:$C$66,0),MATCH(J$9,'FR Y-15 Data'!$A$1:$EE$1,0))/1000</f>
        <v>0</v>
      </c>
      <c r="K13" s="308">
        <f>INDEX('FR Y-15 Data'!$A$1:$ED$66,MATCH($C13,'FR Y-15 Data'!$C$1:$C$66,0),MATCH(K$9,'FR Y-15 Data'!$A$1:$EE$1,0))/1000</f>
        <v>18211.094000000001</v>
      </c>
      <c r="L13" s="309">
        <f>INDEX('FR Y-15 Data'!$A$1:$ED$66,MATCH($C13,'FR Y-15 Data'!$C$1:$C$66,0),MATCH(L$9,'FR Y-15 Data'!$A$1:$EE$1,0))/1000</f>
        <v>7175.2730000000001</v>
      </c>
      <c r="M13" s="310">
        <f>INDEX('FR Y-15 Data'!$A$1:$ED$66,MATCH($C13,'FR Y-15 Data'!$C$1:$C$66,0),MATCH(M$9,'FR Y-15 Data'!$A$1:$EE$1,0))/1000</f>
        <v>104.505</v>
      </c>
      <c r="N13" s="308">
        <f>INDEX('FR Y-15 Data'!$A$1:$ED$66,MATCH($C13,'FR Y-15 Data'!$C$1:$C$66,0),MATCH(N$9,'FR Y-15 Data'!$A$1:$EE$1,0))/1000</f>
        <v>726</v>
      </c>
      <c r="O13" s="310">
        <f>INDEX('FR Y-15 Data'!$A$1:$ED$66,MATCH($C13,'FR Y-15 Data'!$C$1:$C$66,0),MATCH(O$9,'FR Y-15 Data'!$A$1:$EE$1,0))/1000</f>
        <v>1548.1379999999999</v>
      </c>
      <c r="P13" s="47">
        <f t="shared" si="1"/>
        <v>0</v>
      </c>
    </row>
    <row r="14" spans="2:30">
      <c r="B14" s="231" t="str">
        <f>INDEX('FR Y-15 Data'!$A$1:$ED$66,MATCH($C14,'FR Y-15 Data'!$C$1:$C$66,0),MATCH($B$9,'FR Y-15 Data'!$A$1:$EE$1,0))</f>
        <v xml:space="preserve">BANK OF AMERICA CORPORATION                                                                                             </v>
      </c>
      <c r="C14" s="4">
        <f>INDEX('FR Y-15 Data'!$A$1:$ED$66,ROWS($C$10:C14)+1,MATCH($C$9,'FR Y-15 Data'!$A$1:$EE$1,0))</f>
        <v>1073757</v>
      </c>
      <c r="D14" s="42">
        <f>INDEX('FR Y-15 Data'!$A$1:$ED$66,MATCH($C14,'FR Y-15 Data'!$C$1:$C$66,0),MATCH(D$9,'FR Y-15 Data'!$A$1:$EE$1,0))/1000</f>
        <v>2810245.9589999998</v>
      </c>
      <c r="E14" s="308">
        <f>INDEX('FR Y-15 Data'!$A$1:$ED$66,MATCH($C14,'FR Y-15 Data'!$C$1:$C$66,0),MATCH(E$9,'FR Y-15 Data'!$A$1:$EE$1,0))/1000</f>
        <v>305364.43400000001</v>
      </c>
      <c r="F14" s="309">
        <f>INDEX('FR Y-15 Data'!$A$1:$ED$66,MATCH($C14,'FR Y-15 Data'!$C$1:$C$66,0),MATCH(F$9,'FR Y-15 Data'!$A$1:$EE$1,0))/1000</f>
        <v>227579.65299999999</v>
      </c>
      <c r="G14" s="310">
        <f>INDEX('FR Y-15 Data'!$A$1:$ED$66,MATCH($C14,'FR Y-15 Data'!$C$1:$C$66,0),MATCH(G$9,'FR Y-15 Data'!$A$1:$EE$1,0))/1000</f>
        <v>499710.859</v>
      </c>
      <c r="H14" s="308">
        <f>INDEX('FR Y-15 Data'!$A$1:$ED$66,MATCH($C14,'FR Y-15 Data'!$C$1:$C$66,0),MATCH(H$9,'FR Y-15 Data'!$A$1:$EE$1,0))/1000</f>
        <v>93184380.421000004</v>
      </c>
      <c r="I14" s="309">
        <f>INDEX('FR Y-15 Data'!$A$1:$ED$66,MATCH($C14,'FR Y-15 Data'!$C$1:$C$66,0),MATCH(I$9,'FR Y-15 Data'!$A$1:$EE$1,0))/1000</f>
        <v>139555</v>
      </c>
      <c r="J14" s="310">
        <f>INDEX('FR Y-15 Data'!$A$1:$ED$66,MATCH($C14,'FR Y-15 Data'!$C$1:$C$66,0),MATCH(J$9,'FR Y-15 Data'!$A$1:$EE$1,0))/1000</f>
        <v>445911.47</v>
      </c>
      <c r="K14" s="308">
        <f>INDEX('FR Y-15 Data'!$A$1:$ED$66,MATCH($C14,'FR Y-15 Data'!$C$1:$C$66,0),MATCH(K$9,'FR Y-15 Data'!$A$1:$EE$1,0))/1000</f>
        <v>52034159.509999998</v>
      </c>
      <c r="L14" s="309">
        <f>INDEX('FR Y-15 Data'!$A$1:$ED$66,MATCH($C14,'FR Y-15 Data'!$C$1:$C$66,0),MATCH(L$9,'FR Y-15 Data'!$A$1:$EE$1,0))/1000</f>
        <v>229594.57</v>
      </c>
      <c r="M14" s="310">
        <f>INDEX('FR Y-15 Data'!$A$1:$ED$66,MATCH($C14,'FR Y-15 Data'!$C$1:$C$66,0),MATCH(M$9,'FR Y-15 Data'!$A$1:$EE$1,0))/1000</f>
        <v>22265</v>
      </c>
      <c r="N14" s="308">
        <f>INDEX('FR Y-15 Data'!$A$1:$ED$66,MATCH($C14,'FR Y-15 Data'!$C$1:$C$66,0),MATCH(N$9,'FR Y-15 Data'!$A$1:$EE$1,0))/1000</f>
        <v>350009</v>
      </c>
      <c r="O14" s="310">
        <f>INDEX('FR Y-15 Data'!$A$1:$ED$66,MATCH($C14,'FR Y-15 Data'!$C$1:$C$66,0),MATCH(O$9,'FR Y-15 Data'!$A$1:$EE$1,0))/1000</f>
        <v>278666</v>
      </c>
      <c r="P14" s="47">
        <f t="shared" si="1"/>
        <v>0</v>
      </c>
    </row>
    <row r="15" spans="2:30">
      <c r="B15" s="231" t="str">
        <f>INDEX('FR Y-15 Data'!$A$1:$ED$66,MATCH($C15,'FR Y-15 Data'!$C$1:$C$66,0),MATCH($B$9,'FR Y-15 Data'!$A$1:$EE$1,0))</f>
        <v xml:space="preserve">BANK OF NEW YORK MELLON CORPORATION, THE                                                                                </v>
      </c>
      <c r="C15" s="4">
        <f>INDEX('FR Y-15 Data'!$A$1:$ED$66,ROWS($C$10:C15)+1,MATCH($C$9,'FR Y-15 Data'!$A$1:$EE$1,0))</f>
        <v>3587146</v>
      </c>
      <c r="D15" s="42">
        <f>INDEX('FR Y-15 Data'!$A$1:$ED$66,MATCH($C15,'FR Y-15 Data'!$C$1:$C$66,0),MATCH(D$9,'FR Y-15 Data'!$A$1:$EE$1,0))/1000</f>
        <v>418631.8</v>
      </c>
      <c r="E15" s="308">
        <f>INDEX('FR Y-15 Data'!$A$1:$ED$66,MATCH($C15,'FR Y-15 Data'!$C$1:$C$66,0),MATCH(E$9,'FR Y-15 Data'!$A$1:$EE$1,0))/1000</f>
        <v>59446</v>
      </c>
      <c r="F15" s="309">
        <f>INDEX('FR Y-15 Data'!$A$1:$ED$66,MATCH($C15,'FR Y-15 Data'!$C$1:$C$66,0),MATCH(F$9,'FR Y-15 Data'!$A$1:$EE$1,0))/1000</f>
        <v>248552</v>
      </c>
      <c r="G15" s="310">
        <f>INDEX('FR Y-15 Data'!$A$1:$ED$66,MATCH($C15,'FR Y-15 Data'!$C$1:$C$66,0),MATCH(G$9,'FR Y-15 Data'!$A$1:$EE$1,0))/1000</f>
        <v>66878</v>
      </c>
      <c r="H15" s="308">
        <f>INDEX('FR Y-15 Data'!$A$1:$ED$66,MATCH($C15,'FR Y-15 Data'!$C$1:$C$66,0),MATCH(H$9,'FR Y-15 Data'!$A$1:$EE$1,0))/1000</f>
        <v>218569391</v>
      </c>
      <c r="I15" s="309">
        <f>INDEX('FR Y-15 Data'!$A$1:$ED$66,MATCH($C15,'FR Y-15 Data'!$C$1:$C$66,0),MATCH(I$9,'FR Y-15 Data'!$A$1:$EE$1,0))/1000</f>
        <v>24632807</v>
      </c>
      <c r="J15" s="310">
        <f>INDEX('FR Y-15 Data'!$A$1:$ED$66,MATCH($C15,'FR Y-15 Data'!$C$1:$C$66,0),MATCH(J$9,'FR Y-15 Data'!$A$1:$EE$1,0))/1000</f>
        <v>4904</v>
      </c>
      <c r="K15" s="308">
        <f>INDEX('FR Y-15 Data'!$A$1:$ED$66,MATCH($C15,'FR Y-15 Data'!$C$1:$C$66,0),MATCH(K$9,'FR Y-15 Data'!$A$1:$EE$1,0))/1000</f>
        <v>1186938</v>
      </c>
      <c r="L15" s="309">
        <f>INDEX('FR Y-15 Data'!$A$1:$ED$66,MATCH($C15,'FR Y-15 Data'!$C$1:$C$66,0),MATCH(L$9,'FR Y-15 Data'!$A$1:$EE$1,0))/1000</f>
        <v>25031</v>
      </c>
      <c r="M15" s="310">
        <f>INDEX('FR Y-15 Data'!$A$1:$ED$66,MATCH($C15,'FR Y-15 Data'!$C$1:$C$66,0),MATCH(M$9,'FR Y-15 Data'!$A$1:$EE$1,0))/1000</f>
        <v>90</v>
      </c>
      <c r="N15" s="308">
        <f>INDEX('FR Y-15 Data'!$A$1:$ED$66,MATCH($C15,'FR Y-15 Data'!$C$1:$C$66,0),MATCH(N$9,'FR Y-15 Data'!$A$1:$EE$1,0))/1000</f>
        <v>94164</v>
      </c>
      <c r="O15" s="310">
        <f>INDEX('FR Y-15 Data'!$A$1:$ED$66,MATCH($C15,'FR Y-15 Data'!$C$1:$C$66,0),MATCH(O$9,'FR Y-15 Data'!$A$1:$EE$1,0))/1000</f>
        <v>173677</v>
      </c>
      <c r="P15" s="47">
        <f t="shared" si="1"/>
        <v>0</v>
      </c>
    </row>
    <row r="16" spans="2:30">
      <c r="B16" s="231" t="str">
        <f>INDEX('FR Y-15 Data'!$A$1:$ED$66,MATCH($C16,'FR Y-15 Data'!$C$1:$C$66,0),MATCH($B$9,'FR Y-15 Data'!$A$1:$EE$1,0))</f>
        <v xml:space="preserve">BB&amp;T CORPORATION                                                                                                        </v>
      </c>
      <c r="C16" s="4">
        <f>INDEX('FR Y-15 Data'!$A$1:$ED$66,ROWS($C$10:C16)+1,MATCH($C$9,'FR Y-15 Data'!$A$1:$EE$1,0))</f>
        <v>1074156</v>
      </c>
      <c r="D16" s="42">
        <f>INDEX('FR Y-15 Data'!$A$1:$ED$66,MATCH($C16,'FR Y-15 Data'!$C$1:$C$66,0),MATCH(D$9,'FR Y-15 Data'!$A$1:$EE$1,0))/1000</f>
        <v>217773.05</v>
      </c>
      <c r="E16" s="308">
        <f>INDEX('FR Y-15 Data'!$A$1:$ED$66,MATCH($C16,'FR Y-15 Data'!$C$1:$C$66,0),MATCH(E$9,'FR Y-15 Data'!$A$1:$EE$1,0))/1000</f>
        <v>1688.0530000000001</v>
      </c>
      <c r="F16" s="309">
        <f>INDEX('FR Y-15 Data'!$A$1:$ED$66,MATCH($C16,'FR Y-15 Data'!$C$1:$C$66,0),MATCH(F$9,'FR Y-15 Data'!$A$1:$EE$1,0))/1000</f>
        <v>4558.3810000000003</v>
      </c>
      <c r="G16" s="310">
        <f>INDEX('FR Y-15 Data'!$A$1:$ED$66,MATCH($C16,'FR Y-15 Data'!$C$1:$C$66,0),MATCH(G$9,'FR Y-15 Data'!$A$1:$EE$1,0))/1000</f>
        <v>68023.414000000004</v>
      </c>
      <c r="H16" s="308">
        <f>INDEX('FR Y-15 Data'!$A$1:$ED$66,MATCH($C16,'FR Y-15 Data'!$C$1:$C$66,0),MATCH(H$9,'FR Y-15 Data'!$A$1:$EE$1,0))/1000</f>
        <v>811414.35400000005</v>
      </c>
      <c r="I16" s="309">
        <f>INDEX('FR Y-15 Data'!$A$1:$ED$66,MATCH($C16,'FR Y-15 Data'!$C$1:$C$66,0),MATCH(I$9,'FR Y-15 Data'!$A$1:$EE$1,0))/1000</f>
        <v>38953.095999999998</v>
      </c>
      <c r="J16" s="310">
        <f>INDEX('FR Y-15 Data'!$A$1:$ED$66,MATCH($C16,'FR Y-15 Data'!$C$1:$C$66,0),MATCH(J$9,'FR Y-15 Data'!$A$1:$EE$1,0))/1000</f>
        <v>5591.56</v>
      </c>
      <c r="K16" s="308">
        <f>INDEX('FR Y-15 Data'!$A$1:$ED$66,MATCH($C16,'FR Y-15 Data'!$C$1:$C$66,0),MATCH(K$9,'FR Y-15 Data'!$A$1:$EE$1,0))/1000</f>
        <v>71581.834000000003</v>
      </c>
      <c r="L16" s="309">
        <f>INDEX('FR Y-15 Data'!$A$1:$ED$66,MATCH($C16,'FR Y-15 Data'!$C$1:$C$66,0),MATCH(L$9,'FR Y-15 Data'!$A$1:$EE$1,0))/1000</f>
        <v>4558.1450000000004</v>
      </c>
      <c r="M16" s="310">
        <f>INDEX('FR Y-15 Data'!$A$1:$ED$66,MATCH($C16,'FR Y-15 Data'!$C$1:$C$66,0),MATCH(M$9,'FR Y-15 Data'!$A$1:$EE$1,0))/1000</f>
        <v>1939.0830000000001</v>
      </c>
      <c r="N16" s="308">
        <f>INDEX('FR Y-15 Data'!$A$1:$ED$66,MATCH($C16,'FR Y-15 Data'!$C$1:$C$66,0),MATCH(N$9,'FR Y-15 Data'!$A$1:$EE$1,0))/1000</f>
        <v>851</v>
      </c>
      <c r="O16" s="310">
        <f>INDEX('FR Y-15 Data'!$A$1:$ED$66,MATCH($C16,'FR Y-15 Data'!$C$1:$C$66,0),MATCH(O$9,'FR Y-15 Data'!$A$1:$EE$1,0))/1000</f>
        <v>1059</v>
      </c>
      <c r="P16" s="47">
        <f t="shared" si="1"/>
        <v>0</v>
      </c>
    </row>
    <row r="17" spans="2:16">
      <c r="B17" s="231" t="str">
        <f>INDEX('FR Y-15 Data'!$A$1:$ED$66,MATCH($C17,'FR Y-15 Data'!$C$1:$C$66,0),MATCH($B$9,'FR Y-15 Data'!$A$1:$EE$1,0))</f>
        <v xml:space="preserve">BBVA COMPASS BANCSHARES, INC.                                                                                           </v>
      </c>
      <c r="C17" s="4">
        <f>INDEX('FR Y-15 Data'!$A$1:$ED$66,ROWS($C$10:C17)+1,MATCH($C$9,'FR Y-15 Data'!$A$1:$EE$1,0))</f>
        <v>1078529</v>
      </c>
      <c r="D17" s="42">
        <f>INDEX('FR Y-15 Data'!$A$1:$ED$66,MATCH($C17,'FR Y-15 Data'!$C$1:$C$66,0),MATCH(D$9,'FR Y-15 Data'!$A$1:$EE$1,0))/1000</f>
        <v>107580.046</v>
      </c>
      <c r="E17" s="308">
        <f>INDEX('FR Y-15 Data'!$A$1:$ED$66,MATCH($C17,'FR Y-15 Data'!$C$1:$C$66,0),MATCH(E$9,'FR Y-15 Data'!$A$1:$EE$1,0))/1000</f>
        <v>3897.0120000000002</v>
      </c>
      <c r="F17" s="309">
        <f>INDEX('FR Y-15 Data'!$A$1:$ED$66,MATCH($C17,'FR Y-15 Data'!$C$1:$C$66,0),MATCH(F$9,'FR Y-15 Data'!$A$1:$EE$1,0))/1000</f>
        <v>2656.66</v>
      </c>
      <c r="G17" s="310">
        <f>INDEX('FR Y-15 Data'!$A$1:$ED$66,MATCH($C17,'FR Y-15 Data'!$C$1:$C$66,0),MATCH(G$9,'FR Y-15 Data'!$A$1:$EE$1,0))/1000</f>
        <v>14487.727999999999</v>
      </c>
      <c r="H17" s="308">
        <f>INDEX('FR Y-15 Data'!$A$1:$ED$66,MATCH($C17,'FR Y-15 Data'!$C$1:$C$66,0),MATCH(H$9,'FR Y-15 Data'!$A$1:$EE$1,0))/1000</f>
        <v>245028.01199999999</v>
      </c>
      <c r="I17" s="309">
        <f>INDEX('FR Y-15 Data'!$A$1:$ED$66,MATCH($C17,'FR Y-15 Data'!$C$1:$C$66,0),MATCH(I$9,'FR Y-15 Data'!$A$1:$EE$1,0))/1000</f>
        <v>2616.6170000000002</v>
      </c>
      <c r="J17" s="310">
        <f>INDEX('FR Y-15 Data'!$A$1:$ED$66,MATCH($C17,'FR Y-15 Data'!$C$1:$C$66,0),MATCH(J$9,'FR Y-15 Data'!$A$1:$EE$1,0))/1000</f>
        <v>206041.103</v>
      </c>
      <c r="K17" s="308">
        <f>INDEX('FR Y-15 Data'!$A$1:$ED$66,MATCH($C17,'FR Y-15 Data'!$C$1:$C$66,0),MATCH(K$9,'FR Y-15 Data'!$A$1:$EE$1,0))/1000</f>
        <v>25000.098000000002</v>
      </c>
      <c r="L17" s="309">
        <f>INDEX('FR Y-15 Data'!$A$1:$ED$66,MATCH($C17,'FR Y-15 Data'!$C$1:$C$66,0),MATCH(L$9,'FR Y-15 Data'!$A$1:$EE$1,0))/1000</f>
        <v>802.34900000000005</v>
      </c>
      <c r="M17" s="310">
        <f>INDEX('FR Y-15 Data'!$A$1:$ED$66,MATCH($C17,'FR Y-15 Data'!$C$1:$C$66,0),MATCH(M$9,'FR Y-15 Data'!$A$1:$EE$1,0))/1000</f>
        <v>39.401000000000003</v>
      </c>
      <c r="N17" s="308">
        <f>INDEX('FR Y-15 Data'!$A$1:$ED$66,MATCH($C17,'FR Y-15 Data'!$C$1:$C$66,0),MATCH(N$9,'FR Y-15 Data'!$A$1:$EE$1,0))/1000</f>
        <v>1509</v>
      </c>
      <c r="O17" s="310">
        <f>INDEX('FR Y-15 Data'!$A$1:$ED$66,MATCH($C17,'FR Y-15 Data'!$C$1:$C$66,0),MATCH(O$9,'FR Y-15 Data'!$A$1:$EE$1,0))/1000</f>
        <v>1929</v>
      </c>
      <c r="P17" s="47">
        <f t="shared" si="1"/>
        <v>0</v>
      </c>
    </row>
    <row r="18" spans="2:16">
      <c r="B18" s="231" t="str">
        <f>INDEX('FR Y-15 Data'!$A$1:$ED$66,MATCH($C18,'FR Y-15 Data'!$C$1:$C$66,0),MATCH($B$9,'FR Y-15 Data'!$A$1:$EE$1,0))</f>
        <v xml:space="preserve">BMO FINANCIAL CORP.                                                                                                     </v>
      </c>
      <c r="C18" s="4">
        <f>INDEX('FR Y-15 Data'!$A$1:$ED$66,ROWS($C$10:C18)+1,MATCH($C$9,'FR Y-15 Data'!$A$1:$EE$1,0))</f>
        <v>1245415</v>
      </c>
      <c r="D18" s="42">
        <f>INDEX('FR Y-15 Data'!$A$1:$ED$66,MATCH($C18,'FR Y-15 Data'!$C$1:$C$66,0),MATCH(D$9,'FR Y-15 Data'!$A$1:$EE$1,0))/1000</f>
        <v>155869.27799999999</v>
      </c>
      <c r="E18" s="308">
        <f>INDEX('FR Y-15 Data'!$A$1:$ED$66,MATCH($C18,'FR Y-15 Data'!$C$1:$C$66,0),MATCH(E$9,'FR Y-15 Data'!$A$1:$EE$1,0))/1000</f>
        <v>16264.165999999999</v>
      </c>
      <c r="F18" s="309">
        <f>INDEX('FR Y-15 Data'!$A$1:$ED$66,MATCH($C18,'FR Y-15 Data'!$C$1:$C$66,0),MATCH(F$9,'FR Y-15 Data'!$A$1:$EE$1,0))/1000</f>
        <v>881.24099999999999</v>
      </c>
      <c r="G18" s="310">
        <f>INDEX('FR Y-15 Data'!$A$1:$ED$66,MATCH($C18,'FR Y-15 Data'!$C$1:$C$66,0),MATCH(G$9,'FR Y-15 Data'!$A$1:$EE$1,0))/1000</f>
        <v>20465.563999999998</v>
      </c>
      <c r="H18" s="308">
        <f>INDEX('FR Y-15 Data'!$A$1:$ED$66,MATCH($C18,'FR Y-15 Data'!$C$1:$C$66,0),MATCH(H$9,'FR Y-15 Data'!$A$1:$EE$1,0))/1000</f>
        <v>6179034.4989999998</v>
      </c>
      <c r="I18" s="309">
        <f>INDEX('FR Y-15 Data'!$A$1:$ED$66,MATCH($C18,'FR Y-15 Data'!$C$1:$C$66,0),MATCH(I$9,'FR Y-15 Data'!$A$1:$EE$1,0))/1000</f>
        <v>135147.14499999999</v>
      </c>
      <c r="J18" s="310">
        <f>INDEX('FR Y-15 Data'!$A$1:$ED$66,MATCH($C18,'FR Y-15 Data'!$C$1:$C$66,0),MATCH(J$9,'FR Y-15 Data'!$A$1:$EE$1,0))/1000</f>
        <v>8401.4519999999993</v>
      </c>
      <c r="K18" s="308">
        <f>INDEX('FR Y-15 Data'!$A$1:$ED$66,MATCH($C18,'FR Y-15 Data'!$C$1:$C$66,0),MATCH(K$9,'FR Y-15 Data'!$A$1:$EE$1,0))/1000</f>
        <v>27762.685000000001</v>
      </c>
      <c r="L18" s="309">
        <f>INDEX('FR Y-15 Data'!$A$1:$ED$66,MATCH($C18,'FR Y-15 Data'!$C$1:$C$66,0),MATCH(L$9,'FR Y-15 Data'!$A$1:$EE$1,0))/1000</f>
        <v>5567.1120000000001</v>
      </c>
      <c r="M18" s="310">
        <f>INDEX('FR Y-15 Data'!$A$1:$ED$66,MATCH($C18,'FR Y-15 Data'!$C$1:$C$66,0),MATCH(M$9,'FR Y-15 Data'!$A$1:$EE$1,0))/1000</f>
        <v>78.019000000000005</v>
      </c>
      <c r="N18" s="308">
        <f>INDEX('FR Y-15 Data'!$A$1:$ED$66,MATCH($C18,'FR Y-15 Data'!$C$1:$C$66,0),MATCH(N$9,'FR Y-15 Data'!$A$1:$EE$1,0))/1000</f>
        <v>7177</v>
      </c>
      <c r="O18" s="310">
        <f>INDEX('FR Y-15 Data'!$A$1:$ED$66,MATCH($C18,'FR Y-15 Data'!$C$1:$C$66,0),MATCH(O$9,'FR Y-15 Data'!$A$1:$EE$1,0))/1000</f>
        <v>7177</v>
      </c>
      <c r="P18" s="47">
        <f t="shared" si="1"/>
        <v>0</v>
      </c>
    </row>
    <row r="19" spans="2:16">
      <c r="B19" s="231" t="str">
        <f>INDEX('FR Y-15 Data'!$A$1:$ED$66,MATCH($C19,'FR Y-15 Data'!$C$1:$C$66,0),MATCH($B$9,'FR Y-15 Data'!$A$1:$EE$1,0))</f>
        <v xml:space="preserve">CAPITAL ONE FINANCIAL CORPORATION                                                                                       </v>
      </c>
      <c r="C19" s="4">
        <f>INDEX('FR Y-15 Data'!$A$1:$ED$66,ROWS($C$10:C19)+1,MATCH($C$9,'FR Y-15 Data'!$A$1:$EE$1,0))</f>
        <v>2277860</v>
      </c>
      <c r="D19" s="42">
        <f>INDEX('FR Y-15 Data'!$A$1:$ED$66,MATCH($C19,'FR Y-15 Data'!$C$1:$C$66,0),MATCH(D$9,'FR Y-15 Data'!$A$1:$EE$1,0))/1000</f>
        <v>353601.304</v>
      </c>
      <c r="E19" s="308">
        <f>INDEX('FR Y-15 Data'!$A$1:$ED$66,MATCH($C19,'FR Y-15 Data'!$C$1:$C$66,0),MATCH(E$9,'FR Y-15 Data'!$A$1:$EE$1,0))/1000</f>
        <v>17493.034</v>
      </c>
      <c r="F19" s="309">
        <f>INDEX('FR Y-15 Data'!$A$1:$ED$66,MATCH($C19,'FR Y-15 Data'!$C$1:$C$66,0),MATCH(F$9,'FR Y-15 Data'!$A$1:$EE$1,0))/1000</f>
        <v>1682.001</v>
      </c>
      <c r="G19" s="310">
        <f>INDEX('FR Y-15 Data'!$A$1:$ED$66,MATCH($C19,'FR Y-15 Data'!$C$1:$C$66,0),MATCH(G$9,'FR Y-15 Data'!$A$1:$EE$1,0))/1000</f>
        <v>104286.648</v>
      </c>
      <c r="H19" s="308">
        <f>INDEX('FR Y-15 Data'!$A$1:$ED$66,MATCH($C19,'FR Y-15 Data'!$C$1:$C$66,0),MATCH(H$9,'FR Y-15 Data'!$A$1:$EE$1,0))/1000</f>
        <v>772586.03799999994</v>
      </c>
      <c r="I19" s="309">
        <f>INDEX('FR Y-15 Data'!$A$1:$ED$66,MATCH($C19,'FR Y-15 Data'!$C$1:$C$66,0),MATCH(I$9,'FR Y-15 Data'!$A$1:$EE$1,0))/1000</f>
        <v>4396.4110000000001</v>
      </c>
      <c r="J19" s="310">
        <f>INDEX('FR Y-15 Data'!$A$1:$ED$66,MATCH($C19,'FR Y-15 Data'!$C$1:$C$66,0),MATCH(J$9,'FR Y-15 Data'!$A$1:$EE$1,0))/1000</f>
        <v>2414.2080000000001</v>
      </c>
      <c r="K19" s="308">
        <f>INDEX('FR Y-15 Data'!$A$1:$ED$66,MATCH($C19,'FR Y-15 Data'!$C$1:$C$66,0),MATCH(K$9,'FR Y-15 Data'!$A$1:$EE$1,0))/1000</f>
        <v>88638.547000000006</v>
      </c>
      <c r="L19" s="309">
        <f>INDEX('FR Y-15 Data'!$A$1:$ED$66,MATCH($C19,'FR Y-15 Data'!$C$1:$C$66,0),MATCH(L$9,'FR Y-15 Data'!$A$1:$EE$1,0))/1000</f>
        <v>10913.084999999999</v>
      </c>
      <c r="M19" s="310">
        <f>INDEX('FR Y-15 Data'!$A$1:$ED$66,MATCH($C19,'FR Y-15 Data'!$C$1:$C$66,0),MATCH(M$9,'FR Y-15 Data'!$A$1:$EE$1,0))/1000</f>
        <v>1545.268</v>
      </c>
      <c r="N19" s="308">
        <f>INDEX('FR Y-15 Data'!$A$1:$ED$66,MATCH($C19,'FR Y-15 Data'!$C$1:$C$66,0),MATCH(N$9,'FR Y-15 Data'!$A$1:$EE$1,0))/1000</f>
        <v>8878</v>
      </c>
      <c r="O19" s="310">
        <f>INDEX('FR Y-15 Data'!$A$1:$ED$66,MATCH($C19,'FR Y-15 Data'!$C$1:$C$66,0),MATCH(O$9,'FR Y-15 Data'!$A$1:$EE$1,0))/1000</f>
        <v>469.49799999999999</v>
      </c>
      <c r="P19" s="47">
        <f t="shared" si="1"/>
        <v>0</v>
      </c>
    </row>
    <row r="20" spans="2:16">
      <c r="B20" s="231" t="str">
        <f>INDEX('FR Y-15 Data'!$A$1:$ED$66,MATCH($C20,'FR Y-15 Data'!$C$1:$C$66,0),MATCH($B$9,'FR Y-15 Data'!$A$1:$EE$1,0))</f>
        <v xml:space="preserve">CITIGROUP INC.                                                                                                          </v>
      </c>
      <c r="C20" s="4">
        <f>INDEX('FR Y-15 Data'!$A$1:$ED$66,ROWS($C$10:C20)+1,MATCH($C$9,'FR Y-15 Data'!$A$1:$EE$1,0))</f>
        <v>1951350</v>
      </c>
      <c r="D20" s="42">
        <f>INDEX('FR Y-15 Data'!$A$1:$ED$66,MATCH($C20,'FR Y-15 Data'!$C$1:$C$66,0),MATCH(D$9,'FR Y-15 Data'!$A$1:$EE$1,0))/1000</f>
        <v>2765877.5</v>
      </c>
      <c r="E20" s="308">
        <f>INDEX('FR Y-15 Data'!$A$1:$ED$66,MATCH($C20,'FR Y-15 Data'!$C$1:$C$66,0),MATCH(E$9,'FR Y-15 Data'!$A$1:$EE$1,0))/1000</f>
        <v>317240</v>
      </c>
      <c r="F20" s="309">
        <f>INDEX('FR Y-15 Data'!$A$1:$ED$66,MATCH($C20,'FR Y-15 Data'!$C$1:$C$66,0),MATCH(F$9,'FR Y-15 Data'!$A$1:$EE$1,0))/1000</f>
        <v>458603</v>
      </c>
      <c r="G20" s="310">
        <f>INDEX('FR Y-15 Data'!$A$1:$ED$66,MATCH($C20,'FR Y-15 Data'!$C$1:$C$66,0),MATCH(G$9,'FR Y-15 Data'!$A$1:$EE$1,0))/1000</f>
        <v>505808</v>
      </c>
      <c r="H20" s="308">
        <f>INDEX('FR Y-15 Data'!$A$1:$ED$66,MATCH($C20,'FR Y-15 Data'!$C$1:$C$66,0),MATCH(H$9,'FR Y-15 Data'!$A$1:$EE$1,0))/1000</f>
        <v>274865406</v>
      </c>
      <c r="I20" s="309">
        <f>INDEX('FR Y-15 Data'!$A$1:$ED$66,MATCH($C20,'FR Y-15 Data'!$C$1:$C$66,0),MATCH(I$9,'FR Y-15 Data'!$A$1:$EE$1,0))/1000</f>
        <v>12520569</v>
      </c>
      <c r="J20" s="310">
        <f>INDEX('FR Y-15 Data'!$A$1:$ED$66,MATCH($C20,'FR Y-15 Data'!$C$1:$C$66,0),MATCH(J$9,'FR Y-15 Data'!$A$1:$EE$1,0))/1000</f>
        <v>370772</v>
      </c>
      <c r="K20" s="308">
        <f>INDEX('FR Y-15 Data'!$A$1:$ED$66,MATCH($C20,'FR Y-15 Data'!$C$1:$C$66,0),MATCH(K$9,'FR Y-15 Data'!$A$1:$EE$1,0))/1000</f>
        <v>54952090</v>
      </c>
      <c r="L20" s="309">
        <f>INDEX('FR Y-15 Data'!$A$1:$ED$66,MATCH($C20,'FR Y-15 Data'!$C$1:$C$66,0),MATCH(L$9,'FR Y-15 Data'!$A$1:$EE$1,0))/1000</f>
        <v>168630</v>
      </c>
      <c r="M20" s="310">
        <f>INDEX('FR Y-15 Data'!$A$1:$ED$66,MATCH($C20,'FR Y-15 Data'!$C$1:$C$66,0),MATCH(M$9,'FR Y-15 Data'!$A$1:$EE$1,0))/1000</f>
        <v>43018</v>
      </c>
      <c r="N20" s="308">
        <f>INDEX('FR Y-15 Data'!$A$1:$ED$66,MATCH($C20,'FR Y-15 Data'!$C$1:$C$66,0),MATCH(N$9,'FR Y-15 Data'!$A$1:$EE$1,0))/1000</f>
        <v>832923</v>
      </c>
      <c r="O20" s="310">
        <f>INDEX('FR Y-15 Data'!$A$1:$ED$66,MATCH($C20,'FR Y-15 Data'!$C$1:$C$66,0),MATCH(O$9,'FR Y-15 Data'!$A$1:$EE$1,0))/1000</f>
        <v>756438</v>
      </c>
      <c r="P20" s="47">
        <f t="shared" si="1"/>
        <v>0</v>
      </c>
    </row>
    <row r="21" spans="2:16">
      <c r="B21" s="231" t="str">
        <f>INDEX('FR Y-15 Data'!$A$1:$ED$66,MATCH($C21,'FR Y-15 Data'!$C$1:$C$66,0),MATCH($B$9,'FR Y-15 Data'!$A$1:$EE$1,0))</f>
        <v xml:space="preserve">CITIZENS FINANCIAL GROUP, INC.                                                                                          </v>
      </c>
      <c r="C21" s="4">
        <f>INDEX('FR Y-15 Data'!$A$1:$ED$66,ROWS($C$10:C21)+1,MATCH($C$9,'FR Y-15 Data'!$A$1:$EE$1,0))</f>
        <v>1132449</v>
      </c>
      <c r="D21" s="42">
        <f>INDEX('FR Y-15 Data'!$A$1:$ED$66,MATCH($C21,'FR Y-15 Data'!$C$1:$C$66,0),MATCH(D$9,'FR Y-15 Data'!$A$1:$EE$1,0))/1000</f>
        <v>157363.598</v>
      </c>
      <c r="E21" s="308">
        <f>INDEX('FR Y-15 Data'!$A$1:$ED$66,MATCH($C21,'FR Y-15 Data'!$C$1:$C$66,0),MATCH(E$9,'FR Y-15 Data'!$A$1:$EE$1,0))/1000</f>
        <v>4738.5550000000003</v>
      </c>
      <c r="F21" s="309">
        <f>INDEX('FR Y-15 Data'!$A$1:$ED$66,MATCH($C21,'FR Y-15 Data'!$C$1:$C$66,0),MATCH(F$9,'FR Y-15 Data'!$A$1:$EE$1,0))/1000</f>
        <v>5785.5119999999997</v>
      </c>
      <c r="G21" s="310">
        <f>INDEX('FR Y-15 Data'!$A$1:$ED$66,MATCH($C21,'FR Y-15 Data'!$C$1:$C$66,0),MATCH(G$9,'FR Y-15 Data'!$A$1:$EE$1,0))/1000</f>
        <v>8052.46</v>
      </c>
      <c r="H21" s="308">
        <f>INDEX('FR Y-15 Data'!$A$1:$ED$66,MATCH($C21,'FR Y-15 Data'!$C$1:$C$66,0),MATCH(H$9,'FR Y-15 Data'!$A$1:$EE$1,0))/1000</f>
        <v>1883787.997</v>
      </c>
      <c r="I21" s="309">
        <f>INDEX('FR Y-15 Data'!$A$1:$ED$66,MATCH($C21,'FR Y-15 Data'!$C$1:$C$66,0),MATCH(I$9,'FR Y-15 Data'!$A$1:$EE$1,0))/1000</f>
        <v>3912.6950000000002</v>
      </c>
      <c r="J21" s="310">
        <f>INDEX('FR Y-15 Data'!$A$1:$ED$66,MATCH($C21,'FR Y-15 Data'!$C$1:$C$66,0),MATCH(J$9,'FR Y-15 Data'!$A$1:$EE$1,0))/1000</f>
        <v>0</v>
      </c>
      <c r="K21" s="308">
        <f>INDEX('FR Y-15 Data'!$A$1:$ED$66,MATCH($C21,'FR Y-15 Data'!$C$1:$C$66,0),MATCH(K$9,'FR Y-15 Data'!$A$1:$EE$1,0))/1000</f>
        <v>46638.853000000003</v>
      </c>
      <c r="L21" s="309">
        <f>INDEX('FR Y-15 Data'!$A$1:$ED$66,MATCH($C21,'FR Y-15 Data'!$C$1:$C$66,0),MATCH(L$9,'FR Y-15 Data'!$A$1:$EE$1,0))/1000</f>
        <v>936.702</v>
      </c>
      <c r="M21" s="310">
        <f>INDEX('FR Y-15 Data'!$A$1:$ED$66,MATCH($C21,'FR Y-15 Data'!$C$1:$C$66,0),MATCH(M$9,'FR Y-15 Data'!$A$1:$EE$1,0))/1000</f>
        <v>0.86</v>
      </c>
      <c r="N21" s="308">
        <f>INDEX('FR Y-15 Data'!$A$1:$ED$66,MATCH($C21,'FR Y-15 Data'!$C$1:$C$66,0),MATCH(N$9,'FR Y-15 Data'!$A$1:$EE$1,0))/1000</f>
        <v>1550</v>
      </c>
      <c r="O21" s="310">
        <f>INDEX('FR Y-15 Data'!$A$1:$ED$66,MATCH($C21,'FR Y-15 Data'!$C$1:$C$66,0),MATCH(O$9,'FR Y-15 Data'!$A$1:$EE$1,0))/1000</f>
        <v>947</v>
      </c>
      <c r="P21" s="47">
        <f t="shared" si="1"/>
        <v>0</v>
      </c>
    </row>
    <row r="22" spans="2:16">
      <c r="B22" s="231" t="str">
        <f>INDEX('FR Y-15 Data'!$A$1:$ED$66,MATCH($C22,'FR Y-15 Data'!$C$1:$C$66,0),MATCH($B$9,'FR Y-15 Data'!$A$1:$EE$1,0))</f>
        <v xml:space="preserve">COMERICA INCORPORATED                                                                                                   </v>
      </c>
      <c r="C22" s="4">
        <f>INDEX('FR Y-15 Data'!$A$1:$ED$66,ROWS($C$10:C22)+1,MATCH($C$9,'FR Y-15 Data'!$A$1:$EE$1,0))</f>
        <v>1199844</v>
      </c>
      <c r="D22" s="42">
        <f>INDEX('FR Y-15 Data'!$A$1:$ED$66,MATCH($C22,'FR Y-15 Data'!$C$1:$C$66,0),MATCH(D$9,'FR Y-15 Data'!$A$1:$EE$1,0))/1000</f>
        <v>102554.103</v>
      </c>
      <c r="E22" s="308">
        <f>INDEX('FR Y-15 Data'!$A$1:$ED$66,MATCH($C22,'FR Y-15 Data'!$C$1:$C$66,0),MATCH(E$9,'FR Y-15 Data'!$A$1:$EE$1,0))/1000</f>
        <v>6057.5720000000001</v>
      </c>
      <c r="F22" s="309">
        <f>INDEX('FR Y-15 Data'!$A$1:$ED$66,MATCH($C22,'FR Y-15 Data'!$C$1:$C$66,0),MATCH(F$9,'FR Y-15 Data'!$A$1:$EE$1,0))/1000</f>
        <v>4756.9089999999997</v>
      </c>
      <c r="G22" s="310">
        <f>INDEX('FR Y-15 Data'!$A$1:$ED$66,MATCH($C22,'FR Y-15 Data'!$C$1:$C$66,0),MATCH(G$9,'FR Y-15 Data'!$A$1:$EE$1,0))/1000</f>
        <v>15463.120999999999</v>
      </c>
      <c r="H22" s="308">
        <f>INDEX('FR Y-15 Data'!$A$1:$ED$66,MATCH($C22,'FR Y-15 Data'!$C$1:$C$66,0),MATCH(H$9,'FR Y-15 Data'!$A$1:$EE$1,0))/1000</f>
        <v>250361.02</v>
      </c>
      <c r="I22" s="309">
        <f>INDEX('FR Y-15 Data'!$A$1:$ED$66,MATCH($C22,'FR Y-15 Data'!$C$1:$C$66,0),MATCH(I$9,'FR Y-15 Data'!$A$1:$EE$1,0))/1000</f>
        <v>55913.241999999998</v>
      </c>
      <c r="J22" s="310">
        <f>INDEX('FR Y-15 Data'!$A$1:$ED$66,MATCH($C22,'FR Y-15 Data'!$C$1:$C$66,0),MATCH(J$9,'FR Y-15 Data'!$A$1:$EE$1,0))/1000</f>
        <v>1556</v>
      </c>
      <c r="K22" s="308">
        <f>INDEX('FR Y-15 Data'!$A$1:$ED$66,MATCH($C22,'FR Y-15 Data'!$C$1:$C$66,0),MATCH(K$9,'FR Y-15 Data'!$A$1:$EE$1,0))/1000</f>
        <v>21561.311000000002</v>
      </c>
      <c r="L22" s="309">
        <f>INDEX('FR Y-15 Data'!$A$1:$ED$66,MATCH($C22,'FR Y-15 Data'!$C$1:$C$66,0),MATCH(L$9,'FR Y-15 Data'!$A$1:$EE$1,0))/1000</f>
        <v>1333.855</v>
      </c>
      <c r="M22" s="310">
        <f>INDEX('FR Y-15 Data'!$A$1:$ED$66,MATCH($C22,'FR Y-15 Data'!$C$1:$C$66,0),MATCH(M$9,'FR Y-15 Data'!$A$1:$EE$1,0))/1000</f>
        <v>138.553</v>
      </c>
      <c r="N22" s="308">
        <f>INDEX('FR Y-15 Data'!$A$1:$ED$66,MATCH($C22,'FR Y-15 Data'!$C$1:$C$66,0),MATCH(N$9,'FR Y-15 Data'!$A$1:$EE$1,0))/1000</f>
        <v>2051</v>
      </c>
      <c r="O22" s="310">
        <f>INDEX('FR Y-15 Data'!$A$1:$ED$66,MATCH($C22,'FR Y-15 Data'!$C$1:$C$66,0),MATCH(O$9,'FR Y-15 Data'!$A$1:$EE$1,0))/1000</f>
        <v>1662</v>
      </c>
      <c r="P22" s="47">
        <f t="shared" si="1"/>
        <v>0</v>
      </c>
    </row>
    <row r="23" spans="2:16">
      <c r="B23" s="231" t="str">
        <f>INDEX('FR Y-15 Data'!$A$1:$ED$66,MATCH($C23,'FR Y-15 Data'!$C$1:$C$66,0),MATCH($B$9,'FR Y-15 Data'!$A$1:$EE$1,0))</f>
        <v xml:space="preserve">DEUTSCHE BANK TRUST CORPORATION                                                                                         </v>
      </c>
      <c r="C23" s="4">
        <f>INDEX('FR Y-15 Data'!$A$1:$ED$66,ROWS($C$10:C23)+1,MATCH($C$9,'FR Y-15 Data'!$A$1:$EE$1,0))</f>
        <v>1032473</v>
      </c>
      <c r="D23" s="42">
        <f>INDEX('FR Y-15 Data'!$A$1:$ED$66,MATCH($C23,'FR Y-15 Data'!$C$1:$C$66,0),MATCH(D$9,'FR Y-15 Data'!$A$1:$EE$1,0))/1000</f>
        <v>52700.800000000003</v>
      </c>
      <c r="E23" s="308">
        <f>INDEX('FR Y-15 Data'!$A$1:$ED$66,MATCH($C23,'FR Y-15 Data'!$C$1:$C$66,0),MATCH(E$9,'FR Y-15 Data'!$A$1:$EE$1,0))/1000</f>
        <v>24422.799999999999</v>
      </c>
      <c r="F23" s="309">
        <f>INDEX('FR Y-15 Data'!$A$1:$ED$66,MATCH($C23,'FR Y-15 Data'!$C$1:$C$66,0),MATCH(F$9,'FR Y-15 Data'!$A$1:$EE$1,0))/1000</f>
        <v>26104</v>
      </c>
      <c r="G23" s="310">
        <f>INDEX('FR Y-15 Data'!$A$1:$ED$66,MATCH($C23,'FR Y-15 Data'!$C$1:$C$66,0),MATCH(G$9,'FR Y-15 Data'!$A$1:$EE$1,0))/1000</f>
        <v>158.5</v>
      </c>
      <c r="H23" s="308">
        <f>INDEX('FR Y-15 Data'!$A$1:$ED$66,MATCH($C23,'FR Y-15 Data'!$C$1:$C$66,0),MATCH(H$9,'FR Y-15 Data'!$A$1:$EE$1,0))/1000</f>
        <v>76992937</v>
      </c>
      <c r="I23" s="309">
        <f>INDEX('FR Y-15 Data'!$A$1:$ED$66,MATCH($C23,'FR Y-15 Data'!$C$1:$C$66,0),MATCH(I$9,'FR Y-15 Data'!$A$1:$EE$1,0))/1000</f>
        <v>0</v>
      </c>
      <c r="J23" s="310">
        <f>INDEX('FR Y-15 Data'!$A$1:$ED$66,MATCH($C23,'FR Y-15 Data'!$C$1:$C$66,0),MATCH(J$9,'FR Y-15 Data'!$A$1:$EE$1,0))/1000</f>
        <v>0</v>
      </c>
      <c r="K23" s="308">
        <f>INDEX('FR Y-15 Data'!$A$1:$ED$66,MATCH($C23,'FR Y-15 Data'!$C$1:$C$66,0),MATCH(K$9,'FR Y-15 Data'!$A$1:$EE$1,0))/1000</f>
        <v>9046</v>
      </c>
      <c r="L23" s="309">
        <f>INDEX('FR Y-15 Data'!$A$1:$ED$66,MATCH($C23,'FR Y-15 Data'!$C$1:$C$66,0),MATCH(L$9,'FR Y-15 Data'!$A$1:$EE$1,0))/1000</f>
        <v>0.9</v>
      </c>
      <c r="M23" s="310">
        <f>INDEX('FR Y-15 Data'!$A$1:$ED$66,MATCH($C23,'FR Y-15 Data'!$C$1:$C$66,0),MATCH(M$9,'FR Y-15 Data'!$A$1:$EE$1,0))/1000</f>
        <v>83</v>
      </c>
      <c r="N23" s="308">
        <f>INDEX('FR Y-15 Data'!$A$1:$ED$66,MATCH($C23,'FR Y-15 Data'!$C$1:$C$66,0),MATCH(N$9,'FR Y-15 Data'!$A$1:$EE$1,0))/1000</f>
        <v>1074</v>
      </c>
      <c r="O23" s="310">
        <f>INDEX('FR Y-15 Data'!$A$1:$ED$66,MATCH($C23,'FR Y-15 Data'!$C$1:$C$66,0),MATCH(O$9,'FR Y-15 Data'!$A$1:$EE$1,0))/1000</f>
        <v>1</v>
      </c>
      <c r="P23" s="47">
        <f t="shared" si="1"/>
        <v>0</v>
      </c>
    </row>
    <row r="24" spans="2:16">
      <c r="B24" s="231" t="str">
        <f>INDEX('FR Y-15 Data'!$A$1:$ED$66,MATCH($C24,'FR Y-15 Data'!$C$1:$C$66,0),MATCH($B$9,'FR Y-15 Data'!$A$1:$EE$1,0))</f>
        <v xml:space="preserve">DISCOVER FINANCIAL SERVICES                                                                                             </v>
      </c>
      <c r="C24" s="4">
        <f>INDEX('FR Y-15 Data'!$A$1:$ED$66,ROWS($C$10:C24)+1,MATCH($C$9,'FR Y-15 Data'!$A$1:$EE$1,0))</f>
        <v>3846375</v>
      </c>
      <c r="D24" s="42">
        <f>INDEX('FR Y-15 Data'!$A$1:$ED$66,MATCH($C24,'FR Y-15 Data'!$C$1:$C$66,0),MATCH(D$9,'FR Y-15 Data'!$A$1:$EE$1,0))/1000</f>
        <v>100186.019</v>
      </c>
      <c r="E24" s="308">
        <f>INDEX('FR Y-15 Data'!$A$1:$ED$66,MATCH($C24,'FR Y-15 Data'!$C$1:$C$66,0),MATCH(E$9,'FR Y-15 Data'!$A$1:$EE$1,0))/1000</f>
        <v>7507.7309999999998</v>
      </c>
      <c r="F24" s="309">
        <f>INDEX('FR Y-15 Data'!$A$1:$ED$66,MATCH($C24,'FR Y-15 Data'!$C$1:$C$66,0),MATCH(F$9,'FR Y-15 Data'!$A$1:$EE$1,0))/1000</f>
        <v>233.917</v>
      </c>
      <c r="G24" s="310">
        <f>INDEX('FR Y-15 Data'!$A$1:$ED$66,MATCH($C24,'FR Y-15 Data'!$C$1:$C$66,0),MATCH(G$9,'FR Y-15 Data'!$A$1:$EE$1,0))/1000</f>
        <v>79096.437999999995</v>
      </c>
      <c r="H24" s="308">
        <f>INDEX('FR Y-15 Data'!$A$1:$ED$66,MATCH($C24,'FR Y-15 Data'!$C$1:$C$66,0),MATCH(H$9,'FR Y-15 Data'!$A$1:$EE$1,0))/1000</f>
        <v>321440.96299999999</v>
      </c>
      <c r="I24" s="309">
        <f>INDEX('FR Y-15 Data'!$A$1:$ED$66,MATCH($C24,'FR Y-15 Data'!$C$1:$C$66,0),MATCH(I$9,'FR Y-15 Data'!$A$1:$EE$1,0))/1000</f>
        <v>0</v>
      </c>
      <c r="J24" s="310">
        <f>INDEX('FR Y-15 Data'!$A$1:$ED$66,MATCH($C24,'FR Y-15 Data'!$C$1:$C$66,0),MATCH(J$9,'FR Y-15 Data'!$A$1:$EE$1,0))/1000</f>
        <v>0</v>
      </c>
      <c r="K24" s="308">
        <f>INDEX('FR Y-15 Data'!$A$1:$ED$66,MATCH($C24,'FR Y-15 Data'!$C$1:$C$66,0),MATCH(K$9,'FR Y-15 Data'!$A$1:$EE$1,0))/1000</f>
        <v>11227.315000000001</v>
      </c>
      <c r="L24" s="309">
        <f>INDEX('FR Y-15 Data'!$A$1:$ED$66,MATCH($C24,'FR Y-15 Data'!$C$1:$C$66,0),MATCH(L$9,'FR Y-15 Data'!$A$1:$EE$1,0))/1000</f>
        <v>432.589</v>
      </c>
      <c r="M24" s="310">
        <f>INDEX('FR Y-15 Data'!$A$1:$ED$66,MATCH($C24,'FR Y-15 Data'!$C$1:$C$66,0),MATCH(M$9,'FR Y-15 Data'!$A$1:$EE$1,0))/1000</f>
        <v>7.4960000000000004</v>
      </c>
      <c r="N24" s="308">
        <f>INDEX('FR Y-15 Data'!$A$1:$ED$66,MATCH($C24,'FR Y-15 Data'!$C$1:$C$66,0),MATCH(N$9,'FR Y-15 Data'!$A$1:$EE$1,0))/1000</f>
        <v>129</v>
      </c>
      <c r="O24" s="310">
        <f>INDEX('FR Y-15 Data'!$A$1:$ED$66,MATCH($C24,'FR Y-15 Data'!$C$1:$C$66,0),MATCH(O$9,'FR Y-15 Data'!$A$1:$EE$1,0))/1000</f>
        <v>18</v>
      </c>
      <c r="P24" s="47">
        <f t="shared" si="1"/>
        <v>0</v>
      </c>
    </row>
    <row r="25" spans="2:16">
      <c r="B25" s="231" t="str">
        <f>INDEX('FR Y-15 Data'!$A$1:$ED$66,MATCH($C25,'FR Y-15 Data'!$C$1:$C$66,0),MATCH($B$9,'FR Y-15 Data'!$A$1:$EE$1,0))</f>
        <v xml:space="preserve">FIFTH THIRD BANCORP                                                                                                     </v>
      </c>
      <c r="C25" s="4">
        <f>INDEX('FR Y-15 Data'!$A$1:$ED$66,ROWS($C$10:C25)+1,MATCH($C$9,'FR Y-15 Data'!$A$1:$EE$1,0))</f>
        <v>1070345</v>
      </c>
      <c r="D25" s="42">
        <f>INDEX('FR Y-15 Data'!$A$1:$ED$66,MATCH($C25,'FR Y-15 Data'!$C$1:$C$66,0),MATCH(D$9,'FR Y-15 Data'!$A$1:$EE$1,0))/1000</f>
        <v>184945.58799999999</v>
      </c>
      <c r="E25" s="308">
        <f>INDEX('FR Y-15 Data'!$A$1:$ED$66,MATCH($C25,'FR Y-15 Data'!$C$1:$C$66,0),MATCH(E$9,'FR Y-15 Data'!$A$1:$EE$1,0))/1000</f>
        <v>3247.5880000000002</v>
      </c>
      <c r="F25" s="309">
        <f>INDEX('FR Y-15 Data'!$A$1:$ED$66,MATCH($C25,'FR Y-15 Data'!$C$1:$C$66,0),MATCH(F$9,'FR Y-15 Data'!$A$1:$EE$1,0))/1000</f>
        <v>3231.8560000000002</v>
      </c>
      <c r="G25" s="310">
        <f>INDEX('FR Y-15 Data'!$A$1:$ED$66,MATCH($C25,'FR Y-15 Data'!$C$1:$C$66,0),MATCH(G$9,'FR Y-15 Data'!$A$1:$EE$1,0))/1000</f>
        <v>38466.464</v>
      </c>
      <c r="H25" s="308">
        <f>INDEX('FR Y-15 Data'!$A$1:$ED$66,MATCH($C25,'FR Y-15 Data'!$C$1:$C$66,0),MATCH(H$9,'FR Y-15 Data'!$A$1:$EE$1,0))/1000</f>
        <v>1479898.463</v>
      </c>
      <c r="I25" s="309">
        <f>INDEX('FR Y-15 Data'!$A$1:$ED$66,MATCH($C25,'FR Y-15 Data'!$C$1:$C$66,0),MATCH(I$9,'FR Y-15 Data'!$A$1:$EE$1,0))/1000</f>
        <v>246920.64499999999</v>
      </c>
      <c r="J25" s="310">
        <f>INDEX('FR Y-15 Data'!$A$1:$ED$66,MATCH($C25,'FR Y-15 Data'!$C$1:$C$66,0),MATCH(J$9,'FR Y-15 Data'!$A$1:$EE$1,0))/1000</f>
        <v>6068.4260000000004</v>
      </c>
      <c r="K25" s="308">
        <f>INDEX('FR Y-15 Data'!$A$1:$ED$66,MATCH($C25,'FR Y-15 Data'!$C$1:$C$66,0),MATCH(K$9,'FR Y-15 Data'!$A$1:$EE$1,0))/1000</f>
        <v>62852.773000000001</v>
      </c>
      <c r="L25" s="309">
        <f>INDEX('FR Y-15 Data'!$A$1:$ED$66,MATCH($C25,'FR Y-15 Data'!$C$1:$C$66,0),MATCH(L$9,'FR Y-15 Data'!$A$1:$EE$1,0))/1000</f>
        <v>5398.9290000000001</v>
      </c>
      <c r="M25" s="310">
        <f>INDEX('FR Y-15 Data'!$A$1:$ED$66,MATCH($C25,'FR Y-15 Data'!$C$1:$C$66,0),MATCH(M$9,'FR Y-15 Data'!$A$1:$EE$1,0))/1000</f>
        <v>535.39599999999996</v>
      </c>
      <c r="N25" s="308">
        <f>INDEX('FR Y-15 Data'!$A$1:$ED$66,MATCH($C25,'FR Y-15 Data'!$C$1:$C$66,0),MATCH(N$9,'FR Y-15 Data'!$A$1:$EE$1,0))/1000</f>
        <v>4463</v>
      </c>
      <c r="O25" s="310">
        <f>INDEX('FR Y-15 Data'!$A$1:$ED$66,MATCH($C25,'FR Y-15 Data'!$C$1:$C$66,0),MATCH(O$9,'FR Y-15 Data'!$A$1:$EE$1,0))/1000</f>
        <v>593</v>
      </c>
      <c r="P25" s="47">
        <f t="shared" si="1"/>
        <v>0</v>
      </c>
    </row>
    <row r="26" spans="2:16">
      <c r="B26" s="231" t="str">
        <f>INDEX('FR Y-15 Data'!$A$1:$ED$66,MATCH($C26,'FR Y-15 Data'!$C$1:$C$66,0),MATCH($B$9,'FR Y-15 Data'!$A$1:$EE$1,0))</f>
        <v xml:space="preserve">GOLDMAN SACHS GROUP, INC., THE                                                                                          </v>
      </c>
      <c r="C26" s="4">
        <f>INDEX('FR Y-15 Data'!$A$1:$ED$66,ROWS($C$10:C26)+1,MATCH($C$9,'FR Y-15 Data'!$A$1:$EE$1,0))</f>
        <v>2380443</v>
      </c>
      <c r="D26" s="42">
        <f>INDEX('FR Y-15 Data'!$A$1:$ED$66,MATCH($C26,'FR Y-15 Data'!$C$1:$C$66,0),MATCH(D$9,'FR Y-15 Data'!$A$1:$EE$1,0))/1000</f>
        <v>1484013</v>
      </c>
      <c r="E26" s="308">
        <f>INDEX('FR Y-15 Data'!$A$1:$ED$66,MATCH($C26,'FR Y-15 Data'!$C$1:$C$66,0),MATCH(E$9,'FR Y-15 Data'!$A$1:$EE$1,0))/1000</f>
        <v>326951</v>
      </c>
      <c r="F26" s="309">
        <f>INDEX('FR Y-15 Data'!$A$1:$ED$66,MATCH($C26,'FR Y-15 Data'!$C$1:$C$66,0),MATCH(F$9,'FR Y-15 Data'!$A$1:$EE$1,0))/1000</f>
        <v>113405</v>
      </c>
      <c r="G26" s="310">
        <f>INDEX('FR Y-15 Data'!$A$1:$ED$66,MATCH($C26,'FR Y-15 Data'!$C$1:$C$66,0),MATCH(G$9,'FR Y-15 Data'!$A$1:$EE$1,0))/1000</f>
        <v>328277</v>
      </c>
      <c r="H26" s="308">
        <f>INDEX('FR Y-15 Data'!$A$1:$ED$66,MATCH($C26,'FR Y-15 Data'!$C$1:$C$66,0),MATCH(H$9,'FR Y-15 Data'!$A$1:$EE$1,0))/1000</f>
        <v>11306295</v>
      </c>
      <c r="I26" s="309">
        <f>INDEX('FR Y-15 Data'!$A$1:$ED$66,MATCH($C26,'FR Y-15 Data'!$C$1:$C$66,0),MATCH(I$9,'FR Y-15 Data'!$A$1:$EE$1,0))/1000</f>
        <v>1013139</v>
      </c>
      <c r="J26" s="310">
        <f>INDEX('FR Y-15 Data'!$A$1:$ED$66,MATCH($C26,'FR Y-15 Data'!$C$1:$C$66,0),MATCH(J$9,'FR Y-15 Data'!$A$1:$EE$1,0))/1000</f>
        <v>346000</v>
      </c>
      <c r="K26" s="308">
        <f>INDEX('FR Y-15 Data'!$A$1:$ED$66,MATCH($C26,'FR Y-15 Data'!$C$1:$C$66,0),MATCH(K$9,'FR Y-15 Data'!$A$1:$EE$1,0))/1000</f>
        <v>53478619</v>
      </c>
      <c r="L26" s="309">
        <f>INDEX('FR Y-15 Data'!$A$1:$ED$66,MATCH($C26,'FR Y-15 Data'!$C$1:$C$66,0),MATCH(L$9,'FR Y-15 Data'!$A$1:$EE$1,0))/1000</f>
        <v>148746</v>
      </c>
      <c r="M26" s="310">
        <f>INDEX('FR Y-15 Data'!$A$1:$ED$66,MATCH($C26,'FR Y-15 Data'!$C$1:$C$66,0),MATCH(M$9,'FR Y-15 Data'!$A$1:$EE$1,0))/1000</f>
        <v>44666</v>
      </c>
      <c r="N26" s="308">
        <f>INDEX('FR Y-15 Data'!$A$1:$ED$66,MATCH($C26,'FR Y-15 Data'!$C$1:$C$66,0),MATCH(N$9,'FR Y-15 Data'!$A$1:$EE$1,0))/1000</f>
        <v>333240</v>
      </c>
      <c r="O26" s="310">
        <f>INDEX('FR Y-15 Data'!$A$1:$ED$66,MATCH($C26,'FR Y-15 Data'!$C$1:$C$66,0),MATCH(O$9,'FR Y-15 Data'!$A$1:$EE$1,0))/1000</f>
        <v>289812</v>
      </c>
      <c r="P26" s="47">
        <f t="shared" si="1"/>
        <v>0</v>
      </c>
    </row>
    <row r="27" spans="2:16">
      <c r="B27" s="231" t="str">
        <f>INDEX('FR Y-15 Data'!$A$1:$ED$66,MATCH($C27,'FR Y-15 Data'!$C$1:$C$66,0),MATCH($B$9,'FR Y-15 Data'!$A$1:$EE$1,0))</f>
        <v xml:space="preserve">HSBC NORTH AMERICA HOLDINGS INC.                                                                                        </v>
      </c>
      <c r="C27" s="4">
        <f>INDEX('FR Y-15 Data'!$A$1:$ED$66,ROWS($C$10:C27)+1,MATCH($C$9,'FR Y-15 Data'!$A$1:$EE$1,0))</f>
        <v>3232316</v>
      </c>
      <c r="D27" s="42">
        <f>INDEX('FR Y-15 Data'!$A$1:$ED$66,MATCH($C27,'FR Y-15 Data'!$C$1:$C$66,0),MATCH(D$9,'FR Y-15 Data'!$A$1:$EE$1,0))/1000</f>
        <v>416909.71299999999</v>
      </c>
      <c r="E27" s="308">
        <f>INDEX('FR Y-15 Data'!$A$1:$ED$66,MATCH($C27,'FR Y-15 Data'!$C$1:$C$66,0),MATCH(E$9,'FR Y-15 Data'!$A$1:$EE$1,0))/1000</f>
        <v>36445.146999999997</v>
      </c>
      <c r="F27" s="309">
        <f>INDEX('FR Y-15 Data'!$A$1:$ED$66,MATCH($C27,'FR Y-15 Data'!$C$1:$C$66,0),MATCH(F$9,'FR Y-15 Data'!$A$1:$EE$1,0))/1000</f>
        <v>41279.038</v>
      </c>
      <c r="G27" s="310">
        <f>INDEX('FR Y-15 Data'!$A$1:$ED$66,MATCH($C27,'FR Y-15 Data'!$C$1:$C$66,0),MATCH(G$9,'FR Y-15 Data'!$A$1:$EE$1,0))/1000</f>
        <v>54211.152999999998</v>
      </c>
      <c r="H27" s="308">
        <f>INDEX('FR Y-15 Data'!$A$1:$ED$66,MATCH($C27,'FR Y-15 Data'!$C$1:$C$66,0),MATCH(H$9,'FR Y-15 Data'!$A$1:$EE$1,0))/1000</f>
        <v>3704706.9369999999</v>
      </c>
      <c r="I27" s="309">
        <f>INDEX('FR Y-15 Data'!$A$1:$ED$66,MATCH($C27,'FR Y-15 Data'!$C$1:$C$66,0),MATCH(I$9,'FR Y-15 Data'!$A$1:$EE$1,0))/1000</f>
        <v>39475.866000000002</v>
      </c>
      <c r="J27" s="310">
        <f>INDEX('FR Y-15 Data'!$A$1:$ED$66,MATCH($C27,'FR Y-15 Data'!$C$1:$C$66,0),MATCH(J$9,'FR Y-15 Data'!$A$1:$EE$1,0))/1000</f>
        <v>51887.06</v>
      </c>
      <c r="K27" s="308">
        <f>INDEX('FR Y-15 Data'!$A$1:$ED$66,MATCH($C27,'FR Y-15 Data'!$C$1:$C$66,0),MATCH(K$9,'FR Y-15 Data'!$A$1:$EE$1,0))/1000</f>
        <v>4737666.1229999997</v>
      </c>
      <c r="L27" s="309">
        <f>INDEX('FR Y-15 Data'!$A$1:$ED$66,MATCH($C27,'FR Y-15 Data'!$C$1:$C$66,0),MATCH(L$9,'FR Y-15 Data'!$A$1:$EE$1,0))/1000</f>
        <v>43561.152000000002</v>
      </c>
      <c r="M27" s="310">
        <f>INDEX('FR Y-15 Data'!$A$1:$ED$66,MATCH($C27,'FR Y-15 Data'!$C$1:$C$66,0),MATCH(M$9,'FR Y-15 Data'!$A$1:$EE$1,0))/1000</f>
        <v>4231.6059999999998</v>
      </c>
      <c r="N27" s="308">
        <f>INDEX('FR Y-15 Data'!$A$1:$ED$66,MATCH($C27,'FR Y-15 Data'!$C$1:$C$66,0),MATCH(N$9,'FR Y-15 Data'!$A$1:$EE$1,0))/1000</f>
        <v>44431</v>
      </c>
      <c r="O27" s="310">
        <f>INDEX('FR Y-15 Data'!$A$1:$ED$66,MATCH($C27,'FR Y-15 Data'!$C$1:$C$66,0),MATCH(O$9,'FR Y-15 Data'!$A$1:$EE$1,0))/1000</f>
        <v>3</v>
      </c>
      <c r="P27" s="47">
        <f t="shared" si="1"/>
        <v>0</v>
      </c>
    </row>
    <row r="28" spans="2:16">
      <c r="B28" s="231" t="str">
        <f>INDEX('FR Y-15 Data'!$A$1:$ED$66,MATCH($C28,'FR Y-15 Data'!$C$1:$C$66,0),MATCH($B$9,'FR Y-15 Data'!$A$1:$EE$1,0))</f>
        <v xml:space="preserve">HUNTINGTON BANCSHARES INCORPORATED                                                                                      </v>
      </c>
      <c r="C28" s="4">
        <f>INDEX('FR Y-15 Data'!$A$1:$ED$66,ROWS($C$10:C28)+1,MATCH($C$9,'FR Y-15 Data'!$A$1:$EE$1,0))</f>
        <v>1068191</v>
      </c>
      <c r="D28" s="42">
        <f>INDEX('FR Y-15 Data'!$A$1:$ED$66,MATCH($C28,'FR Y-15 Data'!$C$1:$C$66,0),MATCH(D$9,'FR Y-15 Data'!$A$1:$EE$1,0))/1000</f>
        <v>80340.612999999998</v>
      </c>
      <c r="E28" s="308">
        <f>INDEX('FR Y-15 Data'!$A$1:$ED$66,MATCH($C28,'FR Y-15 Data'!$C$1:$C$66,0),MATCH(E$9,'FR Y-15 Data'!$A$1:$EE$1,0))/1000</f>
        <v>2270.14</v>
      </c>
      <c r="F28" s="309">
        <f>INDEX('FR Y-15 Data'!$A$1:$ED$66,MATCH($C28,'FR Y-15 Data'!$C$1:$C$66,0),MATCH(F$9,'FR Y-15 Data'!$A$1:$EE$1,0))/1000</f>
        <v>1273.6780000000001</v>
      </c>
      <c r="G28" s="310">
        <f>INDEX('FR Y-15 Data'!$A$1:$ED$66,MATCH($C28,'FR Y-15 Data'!$C$1:$C$66,0),MATCH(G$9,'FR Y-15 Data'!$A$1:$EE$1,0))/1000</f>
        <v>16114.478999999999</v>
      </c>
      <c r="H28" s="308">
        <f>INDEX('FR Y-15 Data'!$A$1:$ED$66,MATCH($C28,'FR Y-15 Data'!$C$1:$C$66,0),MATCH(H$9,'FR Y-15 Data'!$A$1:$EE$1,0))/1000</f>
        <v>431901.65399999998</v>
      </c>
      <c r="I28" s="309">
        <f>INDEX('FR Y-15 Data'!$A$1:$ED$66,MATCH($C28,'FR Y-15 Data'!$C$1:$C$66,0),MATCH(I$9,'FR Y-15 Data'!$A$1:$EE$1,0))/1000</f>
        <v>79217.167000000001</v>
      </c>
      <c r="J28" s="310">
        <f>INDEX('FR Y-15 Data'!$A$1:$ED$66,MATCH($C28,'FR Y-15 Data'!$C$1:$C$66,0),MATCH(J$9,'FR Y-15 Data'!$A$1:$EE$1,0))/1000</f>
        <v>1142.4849999999999</v>
      </c>
      <c r="K28" s="308">
        <f>INDEX('FR Y-15 Data'!$A$1:$ED$66,MATCH($C28,'FR Y-15 Data'!$C$1:$C$66,0),MATCH(K$9,'FR Y-15 Data'!$A$1:$EE$1,0))/1000</f>
        <v>29096.081999999999</v>
      </c>
      <c r="L28" s="309">
        <f>INDEX('FR Y-15 Data'!$A$1:$ED$66,MATCH($C28,'FR Y-15 Data'!$C$1:$C$66,0),MATCH(L$9,'FR Y-15 Data'!$A$1:$EE$1,0))/1000</f>
        <v>3693.1309999999999</v>
      </c>
      <c r="M28" s="310">
        <f>INDEX('FR Y-15 Data'!$A$1:$ED$66,MATCH($C28,'FR Y-15 Data'!$C$1:$C$66,0),MATCH(M$9,'FR Y-15 Data'!$A$1:$EE$1,0))/1000</f>
        <v>1568.2339999999999</v>
      </c>
      <c r="N28" s="308">
        <f>INDEX('FR Y-15 Data'!$A$1:$ED$66,MATCH($C28,'FR Y-15 Data'!$C$1:$C$66,0),MATCH(N$9,'FR Y-15 Data'!$A$1:$EE$1,0))/1000</f>
        <v>1529</v>
      </c>
      <c r="O28" s="310">
        <f>INDEX('FR Y-15 Data'!$A$1:$ED$66,MATCH($C28,'FR Y-15 Data'!$C$1:$C$66,0),MATCH(O$9,'FR Y-15 Data'!$A$1:$EE$1,0))/1000</f>
        <v>0</v>
      </c>
      <c r="P28" s="47">
        <f t="shared" si="1"/>
        <v>0</v>
      </c>
    </row>
    <row r="29" spans="2:16">
      <c r="B29" s="231" t="str">
        <f>INDEX('FR Y-15 Data'!$A$1:$ED$66,MATCH($C29,'FR Y-15 Data'!$C$1:$C$66,0),MATCH($B$9,'FR Y-15 Data'!$A$1:$EE$1,0))</f>
        <v xml:space="preserve">JPMORGAN CHASE &amp; CO.                                                                                                    </v>
      </c>
      <c r="C29" s="4">
        <f>INDEX('FR Y-15 Data'!$A$1:$ED$66,ROWS($C$10:C29)+1,MATCH($C$9,'FR Y-15 Data'!$A$1:$EE$1,0))</f>
        <v>1039502</v>
      </c>
      <c r="D29" s="42">
        <f>INDEX('FR Y-15 Data'!$A$1:$ED$66,MATCH($C29,'FR Y-15 Data'!$C$1:$C$66,0),MATCH(D$9,'FR Y-15 Data'!$A$1:$EE$1,0))/1000</f>
        <v>3743113</v>
      </c>
      <c r="E29" s="308">
        <f>INDEX('FR Y-15 Data'!$A$1:$ED$66,MATCH($C29,'FR Y-15 Data'!$C$1:$C$66,0),MATCH(E$9,'FR Y-15 Data'!$A$1:$EE$1,0))/1000</f>
        <v>461425</v>
      </c>
      <c r="F29" s="309">
        <f>INDEX('FR Y-15 Data'!$A$1:$ED$66,MATCH($C29,'FR Y-15 Data'!$C$1:$C$66,0),MATCH(F$9,'FR Y-15 Data'!$A$1:$EE$1,0))/1000</f>
        <v>570830</v>
      </c>
      <c r="G29" s="310">
        <f>INDEX('FR Y-15 Data'!$A$1:$ED$66,MATCH($C29,'FR Y-15 Data'!$C$1:$C$66,0),MATCH(G$9,'FR Y-15 Data'!$A$1:$EE$1,0))/1000</f>
        <v>641607</v>
      </c>
      <c r="H29" s="308">
        <f>INDEX('FR Y-15 Data'!$A$1:$ED$66,MATCH($C29,'FR Y-15 Data'!$C$1:$C$66,0),MATCH(H$9,'FR Y-15 Data'!$A$1:$EE$1,0))/1000</f>
        <v>323173878</v>
      </c>
      <c r="I29" s="309">
        <f>INDEX('FR Y-15 Data'!$A$1:$ED$66,MATCH($C29,'FR Y-15 Data'!$C$1:$C$66,0),MATCH(I$9,'FR Y-15 Data'!$A$1:$EE$1,0))/1000</f>
        <v>21097734</v>
      </c>
      <c r="J29" s="310">
        <f>INDEX('FR Y-15 Data'!$A$1:$ED$66,MATCH($C29,'FR Y-15 Data'!$C$1:$C$66,0),MATCH(J$9,'FR Y-15 Data'!$A$1:$EE$1,0))/1000</f>
        <v>490698</v>
      </c>
      <c r="K29" s="308">
        <f>INDEX('FR Y-15 Data'!$A$1:$ED$66,MATCH($C29,'FR Y-15 Data'!$C$1:$C$66,0),MATCH(K$9,'FR Y-15 Data'!$A$1:$EE$1,0))/1000</f>
        <v>65268349</v>
      </c>
      <c r="L29" s="309">
        <f>INDEX('FR Y-15 Data'!$A$1:$ED$66,MATCH($C29,'FR Y-15 Data'!$C$1:$C$66,0),MATCH(L$9,'FR Y-15 Data'!$A$1:$EE$1,0))/1000</f>
        <v>323285</v>
      </c>
      <c r="M29" s="310">
        <f>INDEX('FR Y-15 Data'!$A$1:$ED$66,MATCH($C29,'FR Y-15 Data'!$C$1:$C$66,0),MATCH(M$9,'FR Y-15 Data'!$A$1:$EE$1,0))/1000</f>
        <v>50457</v>
      </c>
      <c r="N29" s="308">
        <f>INDEX('FR Y-15 Data'!$A$1:$ED$66,MATCH($C29,'FR Y-15 Data'!$C$1:$C$66,0),MATCH(N$9,'FR Y-15 Data'!$A$1:$EE$1,0))/1000</f>
        <v>616296</v>
      </c>
      <c r="O29" s="310">
        <f>INDEX('FR Y-15 Data'!$A$1:$ED$66,MATCH($C29,'FR Y-15 Data'!$C$1:$C$66,0),MATCH(O$9,'FR Y-15 Data'!$A$1:$EE$1,0))/1000</f>
        <v>625601</v>
      </c>
      <c r="P29" s="47">
        <f t="shared" si="1"/>
        <v>0</v>
      </c>
    </row>
    <row r="30" spans="2:16">
      <c r="B30" s="231" t="str">
        <f>INDEX('FR Y-15 Data'!$A$1:$ED$66,MATCH($C30,'FR Y-15 Data'!$C$1:$C$66,0),MATCH($B$9,'FR Y-15 Data'!$A$1:$EE$1,0))</f>
        <v xml:space="preserve">KEYCORP                                                                                                                 </v>
      </c>
      <c r="C30" s="4">
        <f>INDEX('FR Y-15 Data'!$A$1:$ED$66,ROWS($C$10:C30)+1,MATCH($C$9,'FR Y-15 Data'!$A$1:$EE$1,0))</f>
        <v>1068025</v>
      </c>
      <c r="D30" s="42">
        <f>INDEX('FR Y-15 Data'!$A$1:$ED$66,MATCH($C30,'FR Y-15 Data'!$C$1:$C$66,0),MATCH(D$9,'FR Y-15 Data'!$A$1:$EE$1,0))/1000</f>
        <v>140421.22899999999</v>
      </c>
      <c r="E30" s="308">
        <f>INDEX('FR Y-15 Data'!$A$1:$ED$66,MATCH($C30,'FR Y-15 Data'!$C$1:$C$66,0),MATCH(E$9,'FR Y-15 Data'!$A$1:$EE$1,0))/1000</f>
        <v>5423.3310000000001</v>
      </c>
      <c r="F30" s="309">
        <f>INDEX('FR Y-15 Data'!$A$1:$ED$66,MATCH($C30,'FR Y-15 Data'!$C$1:$C$66,0),MATCH(F$9,'FR Y-15 Data'!$A$1:$EE$1,0))/1000</f>
        <v>2139.61</v>
      </c>
      <c r="G30" s="310">
        <f>INDEX('FR Y-15 Data'!$A$1:$ED$66,MATCH($C30,'FR Y-15 Data'!$C$1:$C$66,0),MATCH(G$9,'FR Y-15 Data'!$A$1:$EE$1,0))/1000</f>
        <v>25397.323</v>
      </c>
      <c r="H30" s="308">
        <f>INDEX('FR Y-15 Data'!$A$1:$ED$66,MATCH($C30,'FR Y-15 Data'!$C$1:$C$66,0),MATCH(H$9,'FR Y-15 Data'!$A$1:$EE$1,0))/1000</f>
        <v>945763.05200000003</v>
      </c>
      <c r="I30" s="309">
        <f>INDEX('FR Y-15 Data'!$A$1:$ED$66,MATCH($C30,'FR Y-15 Data'!$C$1:$C$66,0),MATCH(I$9,'FR Y-15 Data'!$A$1:$EE$1,0))/1000</f>
        <v>89323.600999999995</v>
      </c>
      <c r="J30" s="310">
        <f>INDEX('FR Y-15 Data'!$A$1:$ED$66,MATCH($C30,'FR Y-15 Data'!$C$1:$C$66,0),MATCH(J$9,'FR Y-15 Data'!$A$1:$EE$1,0))/1000</f>
        <v>5838.0169999999998</v>
      </c>
      <c r="K30" s="308">
        <f>INDEX('FR Y-15 Data'!$A$1:$ED$66,MATCH($C30,'FR Y-15 Data'!$C$1:$C$66,0),MATCH(K$9,'FR Y-15 Data'!$A$1:$EE$1,0))/1000</f>
        <v>55642.767999999996</v>
      </c>
      <c r="L30" s="309">
        <f>INDEX('FR Y-15 Data'!$A$1:$ED$66,MATCH($C30,'FR Y-15 Data'!$C$1:$C$66,0),MATCH(L$9,'FR Y-15 Data'!$A$1:$EE$1,0))/1000</f>
        <v>1371.9390000000001</v>
      </c>
      <c r="M30" s="310">
        <f>INDEX('FR Y-15 Data'!$A$1:$ED$66,MATCH($C30,'FR Y-15 Data'!$C$1:$C$66,0),MATCH(M$9,'FR Y-15 Data'!$A$1:$EE$1,0))/1000</f>
        <v>632.41700000000003</v>
      </c>
      <c r="N30" s="308">
        <f>INDEX('FR Y-15 Data'!$A$1:$ED$66,MATCH($C30,'FR Y-15 Data'!$C$1:$C$66,0),MATCH(N$9,'FR Y-15 Data'!$A$1:$EE$1,0))/1000</f>
        <v>1903</v>
      </c>
      <c r="O30" s="310">
        <f>INDEX('FR Y-15 Data'!$A$1:$ED$66,MATCH($C30,'FR Y-15 Data'!$C$1:$C$66,0),MATCH(O$9,'FR Y-15 Data'!$A$1:$EE$1,0))/1000</f>
        <v>8</v>
      </c>
      <c r="P30" s="47">
        <f t="shared" si="1"/>
        <v>0</v>
      </c>
    </row>
    <row r="31" spans="2:16">
      <c r="B31" s="231" t="str">
        <f>INDEX('FR Y-15 Data'!$A$1:$ED$66,MATCH($C31,'FR Y-15 Data'!$C$1:$C$66,0),MATCH($B$9,'FR Y-15 Data'!$A$1:$EE$1,0))</f>
        <v xml:space="preserve">M&amp;T BANK CORPORATION                                                                                                    </v>
      </c>
      <c r="C31" s="4">
        <f>INDEX('FR Y-15 Data'!$A$1:$ED$66,ROWS($C$10:C31)+1,MATCH($C$9,'FR Y-15 Data'!$A$1:$EE$1,0))</f>
        <v>1037003</v>
      </c>
      <c r="D31" s="42">
        <f>INDEX('FR Y-15 Data'!$A$1:$ED$66,MATCH($C31,'FR Y-15 Data'!$C$1:$C$66,0),MATCH(D$9,'FR Y-15 Data'!$A$1:$EE$1,0))/1000</f>
        <v>119589.791</v>
      </c>
      <c r="E31" s="308">
        <f>INDEX('FR Y-15 Data'!$A$1:$ED$66,MATCH($C31,'FR Y-15 Data'!$C$1:$C$66,0),MATCH(E$9,'FR Y-15 Data'!$A$1:$EE$1,0))/1000</f>
        <v>2260.067</v>
      </c>
      <c r="F31" s="309">
        <f>INDEX('FR Y-15 Data'!$A$1:$ED$66,MATCH($C31,'FR Y-15 Data'!$C$1:$C$66,0),MATCH(F$9,'FR Y-15 Data'!$A$1:$EE$1,0))/1000</f>
        <v>5014.0479999999998</v>
      </c>
      <c r="G31" s="310">
        <f>INDEX('FR Y-15 Data'!$A$1:$ED$66,MATCH($C31,'FR Y-15 Data'!$C$1:$C$66,0),MATCH(G$9,'FR Y-15 Data'!$A$1:$EE$1,0))/1000</f>
        <v>25803.718000000001</v>
      </c>
      <c r="H31" s="308">
        <f>INDEX('FR Y-15 Data'!$A$1:$ED$66,MATCH($C31,'FR Y-15 Data'!$C$1:$C$66,0),MATCH(H$9,'FR Y-15 Data'!$A$1:$EE$1,0))/1000</f>
        <v>1546287.7309999999</v>
      </c>
      <c r="I31" s="309">
        <f>INDEX('FR Y-15 Data'!$A$1:$ED$66,MATCH($C31,'FR Y-15 Data'!$C$1:$C$66,0),MATCH(I$9,'FR Y-15 Data'!$A$1:$EE$1,0))/1000</f>
        <v>112906.36599999999</v>
      </c>
      <c r="J31" s="310">
        <f>INDEX('FR Y-15 Data'!$A$1:$ED$66,MATCH($C31,'FR Y-15 Data'!$C$1:$C$66,0),MATCH(J$9,'FR Y-15 Data'!$A$1:$EE$1,0))/1000</f>
        <v>25633.255000000001</v>
      </c>
      <c r="K31" s="308">
        <f>INDEX('FR Y-15 Data'!$A$1:$ED$66,MATCH($C31,'FR Y-15 Data'!$C$1:$C$66,0),MATCH(K$9,'FR Y-15 Data'!$A$1:$EE$1,0))/1000</f>
        <v>22149.042000000001</v>
      </c>
      <c r="L31" s="309">
        <f>INDEX('FR Y-15 Data'!$A$1:$ED$66,MATCH($C31,'FR Y-15 Data'!$C$1:$C$66,0),MATCH(L$9,'FR Y-15 Data'!$A$1:$EE$1,0))/1000</f>
        <v>1118.271</v>
      </c>
      <c r="M31" s="310">
        <f>INDEX('FR Y-15 Data'!$A$1:$ED$66,MATCH($C31,'FR Y-15 Data'!$C$1:$C$66,0),MATCH(M$9,'FR Y-15 Data'!$A$1:$EE$1,0))/1000</f>
        <v>68.364999999999995</v>
      </c>
      <c r="N31" s="308">
        <f>INDEX('FR Y-15 Data'!$A$1:$ED$66,MATCH($C31,'FR Y-15 Data'!$C$1:$C$66,0),MATCH(N$9,'FR Y-15 Data'!$A$1:$EE$1,0))/1000</f>
        <v>316.90100000000001</v>
      </c>
      <c r="O31" s="310">
        <f>INDEX('FR Y-15 Data'!$A$1:$ED$66,MATCH($C31,'FR Y-15 Data'!$C$1:$C$66,0),MATCH(O$9,'FR Y-15 Data'!$A$1:$EE$1,0))/1000</f>
        <v>36.478000000000002</v>
      </c>
      <c r="P31" s="47">
        <f t="shared" si="1"/>
        <v>0</v>
      </c>
    </row>
    <row r="32" spans="2:16">
      <c r="B32" s="231" t="str">
        <f>INDEX('FR Y-15 Data'!$A$1:$ED$66,MATCH($C32,'FR Y-15 Data'!$C$1:$C$66,0),MATCH($B$9,'FR Y-15 Data'!$A$1:$EE$1,0))</f>
        <v xml:space="preserve">MORGAN STANLEY                                                                                                          </v>
      </c>
      <c r="C32" s="4">
        <f>INDEX('FR Y-15 Data'!$A$1:$ED$66,ROWS($C$10:C32)+1,MATCH($C$9,'FR Y-15 Data'!$A$1:$EE$1,0))</f>
        <v>2162966</v>
      </c>
      <c r="D32" s="42">
        <f>INDEX('FR Y-15 Data'!$A$1:$ED$66,MATCH($C32,'FR Y-15 Data'!$C$1:$C$66,0),MATCH(D$9,'FR Y-15 Data'!$A$1:$EE$1,0))/1000</f>
        <v>1281234.6640000001</v>
      </c>
      <c r="E32" s="308">
        <f>INDEX('FR Y-15 Data'!$A$1:$ED$66,MATCH($C32,'FR Y-15 Data'!$C$1:$C$66,0),MATCH(E$9,'FR Y-15 Data'!$A$1:$EE$1,0))/1000</f>
        <v>221710.37700000001</v>
      </c>
      <c r="F32" s="309">
        <f>INDEX('FR Y-15 Data'!$A$1:$ED$66,MATCH($C32,'FR Y-15 Data'!$C$1:$C$66,0),MATCH(F$9,'FR Y-15 Data'!$A$1:$EE$1,0))/1000</f>
        <v>118359.86599999999</v>
      </c>
      <c r="G32" s="310">
        <f>INDEX('FR Y-15 Data'!$A$1:$ED$66,MATCH($C32,'FR Y-15 Data'!$C$1:$C$66,0),MATCH(G$9,'FR Y-15 Data'!$A$1:$EE$1,0))/1000</f>
        <v>246186.644</v>
      </c>
      <c r="H32" s="308">
        <f>INDEX('FR Y-15 Data'!$A$1:$ED$66,MATCH($C32,'FR Y-15 Data'!$C$1:$C$66,0),MATCH(H$9,'FR Y-15 Data'!$A$1:$EE$1,0))/1000</f>
        <v>11640647.738</v>
      </c>
      <c r="I32" s="309">
        <f>INDEX('FR Y-15 Data'!$A$1:$ED$66,MATCH($C32,'FR Y-15 Data'!$C$1:$C$66,0),MATCH(I$9,'FR Y-15 Data'!$A$1:$EE$1,0))/1000</f>
        <v>1573836.5220000001</v>
      </c>
      <c r="J32" s="310">
        <f>INDEX('FR Y-15 Data'!$A$1:$ED$66,MATCH($C32,'FR Y-15 Data'!$C$1:$C$66,0),MATCH(J$9,'FR Y-15 Data'!$A$1:$EE$1,0))/1000</f>
        <v>331344</v>
      </c>
      <c r="K32" s="308">
        <f>INDEX('FR Y-15 Data'!$A$1:$ED$66,MATCH($C32,'FR Y-15 Data'!$C$1:$C$66,0),MATCH(K$9,'FR Y-15 Data'!$A$1:$EE$1,0))/1000</f>
        <v>34515890.479999997</v>
      </c>
      <c r="L32" s="309">
        <f>INDEX('FR Y-15 Data'!$A$1:$ED$66,MATCH($C32,'FR Y-15 Data'!$C$1:$C$66,0),MATCH(L$9,'FR Y-15 Data'!$A$1:$EE$1,0))/1000</f>
        <v>286974.81300000002</v>
      </c>
      <c r="M32" s="310">
        <f>INDEX('FR Y-15 Data'!$A$1:$ED$66,MATCH($C32,'FR Y-15 Data'!$C$1:$C$66,0),MATCH(M$9,'FR Y-15 Data'!$A$1:$EE$1,0))/1000</f>
        <v>22137</v>
      </c>
      <c r="N32" s="308">
        <f>INDEX('FR Y-15 Data'!$A$1:$ED$66,MATCH($C32,'FR Y-15 Data'!$C$1:$C$66,0),MATCH(N$9,'FR Y-15 Data'!$A$1:$EE$1,0))/1000</f>
        <v>350157</v>
      </c>
      <c r="O32" s="310">
        <f>INDEX('FR Y-15 Data'!$A$1:$ED$66,MATCH($C32,'FR Y-15 Data'!$C$1:$C$66,0),MATCH(O$9,'FR Y-15 Data'!$A$1:$EE$1,0))/1000</f>
        <v>298181.19300000003</v>
      </c>
      <c r="P32" s="47">
        <f t="shared" si="1"/>
        <v>0</v>
      </c>
    </row>
    <row r="33" spans="2:16">
      <c r="B33" s="231" t="str">
        <f>INDEX('FR Y-15 Data'!$A$1:$ED$66,MATCH($C33,'FR Y-15 Data'!$C$1:$C$66,0),MATCH($B$9,'FR Y-15 Data'!$A$1:$EE$1,0))</f>
        <v xml:space="preserve">MUFG AMERICAS HOLDINGS CORPORATION                                                                                      </v>
      </c>
      <c r="C33" s="4">
        <f>INDEX('FR Y-15 Data'!$A$1:$ED$66,ROWS($C$10:C33)+1,MATCH($C$9,'FR Y-15 Data'!$A$1:$EE$1,0))</f>
        <v>1378434</v>
      </c>
      <c r="D33" s="42">
        <f>INDEX('FR Y-15 Data'!$A$1:$ED$66,MATCH($C33,'FR Y-15 Data'!$C$1:$C$66,0),MATCH(D$9,'FR Y-15 Data'!$A$1:$EE$1,0))/1000</f>
        <v>153901.38399999999</v>
      </c>
      <c r="E33" s="308">
        <f>INDEX('FR Y-15 Data'!$A$1:$ED$66,MATCH($C33,'FR Y-15 Data'!$C$1:$C$66,0),MATCH(E$9,'FR Y-15 Data'!$A$1:$EE$1,0))/1000</f>
        <v>10971.438</v>
      </c>
      <c r="F33" s="309">
        <f>INDEX('FR Y-15 Data'!$A$1:$ED$66,MATCH($C33,'FR Y-15 Data'!$C$1:$C$66,0),MATCH(F$9,'FR Y-15 Data'!$A$1:$EE$1,0))/1000</f>
        <v>5362.9380000000001</v>
      </c>
      <c r="G33" s="310">
        <f>INDEX('FR Y-15 Data'!$A$1:$ED$66,MATCH($C33,'FR Y-15 Data'!$C$1:$C$66,0),MATCH(G$9,'FR Y-15 Data'!$A$1:$EE$1,0))/1000</f>
        <v>18188.98</v>
      </c>
      <c r="H33" s="308">
        <f>INDEX('FR Y-15 Data'!$A$1:$ED$66,MATCH($C33,'FR Y-15 Data'!$C$1:$C$66,0),MATCH(H$9,'FR Y-15 Data'!$A$1:$EE$1,0))/1000</f>
        <v>947515.26899999997</v>
      </c>
      <c r="I33" s="309">
        <f>INDEX('FR Y-15 Data'!$A$1:$ED$66,MATCH($C33,'FR Y-15 Data'!$C$1:$C$66,0),MATCH(I$9,'FR Y-15 Data'!$A$1:$EE$1,0))/1000</f>
        <v>128819.09299999999</v>
      </c>
      <c r="J33" s="310">
        <f>INDEX('FR Y-15 Data'!$A$1:$ED$66,MATCH($C33,'FR Y-15 Data'!$C$1:$C$66,0),MATCH(J$9,'FR Y-15 Data'!$A$1:$EE$1,0))/1000</f>
        <v>0</v>
      </c>
      <c r="K33" s="308">
        <f>INDEX('FR Y-15 Data'!$A$1:$ED$66,MATCH($C33,'FR Y-15 Data'!$C$1:$C$66,0),MATCH(K$9,'FR Y-15 Data'!$A$1:$EE$1,0))/1000</f>
        <v>71678.107000000004</v>
      </c>
      <c r="L33" s="309">
        <f>INDEX('FR Y-15 Data'!$A$1:$ED$66,MATCH($C33,'FR Y-15 Data'!$C$1:$C$66,0),MATCH(L$9,'FR Y-15 Data'!$A$1:$EE$1,0))/1000</f>
        <v>7297.11</v>
      </c>
      <c r="M33" s="310">
        <f>INDEX('FR Y-15 Data'!$A$1:$ED$66,MATCH($C33,'FR Y-15 Data'!$C$1:$C$66,0),MATCH(M$9,'FR Y-15 Data'!$A$1:$EE$1,0))/1000</f>
        <v>2102.1060000000002</v>
      </c>
      <c r="N33" s="308">
        <f>INDEX('FR Y-15 Data'!$A$1:$ED$66,MATCH($C33,'FR Y-15 Data'!$C$1:$C$66,0),MATCH(N$9,'FR Y-15 Data'!$A$1:$EE$1,0))/1000</f>
        <v>4097</v>
      </c>
      <c r="O33" s="310">
        <f>INDEX('FR Y-15 Data'!$A$1:$ED$66,MATCH($C33,'FR Y-15 Data'!$C$1:$C$66,0),MATCH(O$9,'FR Y-15 Data'!$A$1:$EE$1,0))/1000</f>
        <v>2439</v>
      </c>
      <c r="P33" s="47">
        <f t="shared" si="1"/>
        <v>0</v>
      </c>
    </row>
    <row r="34" spans="2:16">
      <c r="B34" s="231" t="str">
        <f>INDEX('FR Y-15 Data'!$A$1:$ED$66,MATCH($C34,'FR Y-15 Data'!$C$1:$C$66,0),MATCH($B$9,'FR Y-15 Data'!$A$1:$EE$1,0))</f>
        <v xml:space="preserve">NORTHERN TRUST CORPORATION                                                                                              </v>
      </c>
      <c r="C34" s="4">
        <f>INDEX('FR Y-15 Data'!$A$1:$ED$66,ROWS($C$10:C34)+1,MATCH($C$9,'FR Y-15 Data'!$A$1:$EE$1,0))</f>
        <v>1199611</v>
      </c>
      <c r="D34" s="42">
        <f>INDEX('FR Y-15 Data'!$A$1:$ED$66,MATCH($C34,'FR Y-15 Data'!$C$1:$C$66,0),MATCH(D$9,'FR Y-15 Data'!$A$1:$EE$1,0))/1000</f>
        <v>151569.46599999999</v>
      </c>
      <c r="E34" s="308">
        <f>INDEX('FR Y-15 Data'!$A$1:$ED$66,MATCH($C34,'FR Y-15 Data'!$C$1:$C$66,0),MATCH(E$9,'FR Y-15 Data'!$A$1:$EE$1,0))/1000</f>
        <v>43202.591</v>
      </c>
      <c r="F34" s="309">
        <f>INDEX('FR Y-15 Data'!$A$1:$ED$66,MATCH($C34,'FR Y-15 Data'!$C$1:$C$66,0),MATCH(F$9,'FR Y-15 Data'!$A$1:$EE$1,0))/1000</f>
        <v>17567.797999999999</v>
      </c>
      <c r="G34" s="310">
        <f>INDEX('FR Y-15 Data'!$A$1:$ED$66,MATCH($C34,'FR Y-15 Data'!$C$1:$C$66,0),MATCH(G$9,'FR Y-15 Data'!$A$1:$EE$1,0))/1000</f>
        <v>16212.311</v>
      </c>
      <c r="H34" s="308">
        <f>INDEX('FR Y-15 Data'!$A$1:$ED$66,MATCH($C34,'FR Y-15 Data'!$C$1:$C$66,0),MATCH(H$9,'FR Y-15 Data'!$A$1:$EE$1,0))/1000</f>
        <v>35333968.064999998</v>
      </c>
      <c r="I34" s="309">
        <f>INDEX('FR Y-15 Data'!$A$1:$ED$66,MATCH($C34,'FR Y-15 Data'!$C$1:$C$66,0),MATCH(I$9,'FR Y-15 Data'!$A$1:$EE$1,0))/1000</f>
        <v>5968800</v>
      </c>
      <c r="J34" s="310">
        <f>INDEX('FR Y-15 Data'!$A$1:$ED$66,MATCH($C34,'FR Y-15 Data'!$C$1:$C$66,0),MATCH(J$9,'FR Y-15 Data'!$A$1:$EE$1,0))/1000</f>
        <v>0</v>
      </c>
      <c r="K34" s="308">
        <f>INDEX('FR Y-15 Data'!$A$1:$ED$66,MATCH($C34,'FR Y-15 Data'!$C$1:$C$66,0),MATCH(K$9,'FR Y-15 Data'!$A$1:$EE$1,0))/1000</f>
        <v>270053.50300000003</v>
      </c>
      <c r="L34" s="309">
        <f>INDEX('FR Y-15 Data'!$A$1:$ED$66,MATCH($C34,'FR Y-15 Data'!$C$1:$C$66,0),MATCH(L$9,'FR Y-15 Data'!$A$1:$EE$1,0))/1000</f>
        <v>7492.2380000000003</v>
      </c>
      <c r="M34" s="310">
        <f>INDEX('FR Y-15 Data'!$A$1:$ED$66,MATCH($C34,'FR Y-15 Data'!$C$1:$C$66,0),MATCH(M$9,'FR Y-15 Data'!$A$1:$EE$1,0))/1000</f>
        <v>18.109000000000002</v>
      </c>
      <c r="N34" s="308">
        <f>INDEX('FR Y-15 Data'!$A$1:$ED$66,MATCH($C34,'FR Y-15 Data'!$C$1:$C$66,0),MATCH(N$9,'FR Y-15 Data'!$A$1:$EE$1,0))/1000</f>
        <v>26139</v>
      </c>
      <c r="O34" s="310">
        <f>INDEX('FR Y-15 Data'!$A$1:$ED$66,MATCH($C34,'FR Y-15 Data'!$C$1:$C$66,0),MATCH(O$9,'FR Y-15 Data'!$A$1:$EE$1,0))/1000</f>
        <v>50515</v>
      </c>
      <c r="P34" s="47">
        <f t="shared" si="1"/>
        <v>0</v>
      </c>
    </row>
    <row r="35" spans="2:16">
      <c r="B35" s="231" t="str">
        <f>INDEX('FR Y-15 Data'!$A$1:$ED$66,MATCH($C35,'FR Y-15 Data'!$C$1:$C$66,0),MATCH($B$9,'FR Y-15 Data'!$A$1:$EE$1,0))</f>
        <v xml:space="preserve">PNC FINANCIAL SERVICES GROUP, INC., THE                                                                                 </v>
      </c>
      <c r="C35" s="4">
        <f>INDEX('FR Y-15 Data'!$A$1:$ED$66,ROWS($C$10:C35)+1,MATCH($C$9,'FR Y-15 Data'!$A$1:$EE$1,0))</f>
        <v>1069778</v>
      </c>
      <c r="D35" s="42">
        <f>INDEX('FR Y-15 Data'!$A$1:$ED$66,MATCH($C35,'FR Y-15 Data'!$C$1:$C$66,0),MATCH(D$9,'FR Y-15 Data'!$A$1:$EE$1,0))/1000</f>
        <v>459925.08100000001</v>
      </c>
      <c r="E35" s="308">
        <f>INDEX('FR Y-15 Data'!$A$1:$ED$66,MATCH($C35,'FR Y-15 Data'!$C$1:$C$66,0),MATCH(E$9,'FR Y-15 Data'!$A$1:$EE$1,0))/1000</f>
        <v>18636</v>
      </c>
      <c r="F35" s="309">
        <f>INDEX('FR Y-15 Data'!$A$1:$ED$66,MATCH($C35,'FR Y-15 Data'!$C$1:$C$66,0),MATCH(F$9,'FR Y-15 Data'!$A$1:$EE$1,0))/1000</f>
        <v>8342</v>
      </c>
      <c r="G35" s="310">
        <f>INDEX('FR Y-15 Data'!$A$1:$ED$66,MATCH($C35,'FR Y-15 Data'!$C$1:$C$66,0),MATCH(G$9,'FR Y-15 Data'!$A$1:$EE$1,0))/1000</f>
        <v>78034.804000000004</v>
      </c>
      <c r="H35" s="308">
        <f>INDEX('FR Y-15 Data'!$A$1:$ED$66,MATCH($C35,'FR Y-15 Data'!$C$1:$C$66,0),MATCH(H$9,'FR Y-15 Data'!$A$1:$EE$1,0))/1000</f>
        <v>2598451</v>
      </c>
      <c r="I35" s="309">
        <f>INDEX('FR Y-15 Data'!$A$1:$ED$66,MATCH($C35,'FR Y-15 Data'!$C$1:$C$66,0),MATCH(I$9,'FR Y-15 Data'!$A$1:$EE$1,0))/1000</f>
        <v>171000</v>
      </c>
      <c r="J35" s="310">
        <f>INDEX('FR Y-15 Data'!$A$1:$ED$66,MATCH($C35,'FR Y-15 Data'!$C$1:$C$66,0),MATCH(J$9,'FR Y-15 Data'!$A$1:$EE$1,0))/1000</f>
        <v>12740</v>
      </c>
      <c r="K35" s="308">
        <f>INDEX('FR Y-15 Data'!$A$1:$ED$66,MATCH($C35,'FR Y-15 Data'!$C$1:$C$66,0),MATCH(K$9,'FR Y-15 Data'!$A$1:$EE$1,0))/1000</f>
        <v>278409</v>
      </c>
      <c r="L35" s="309">
        <f>INDEX('FR Y-15 Data'!$A$1:$ED$66,MATCH($C35,'FR Y-15 Data'!$C$1:$C$66,0),MATCH(L$9,'FR Y-15 Data'!$A$1:$EE$1,0))/1000</f>
        <v>16384.612000000001</v>
      </c>
      <c r="M35" s="310">
        <f>INDEX('FR Y-15 Data'!$A$1:$ED$66,MATCH($C35,'FR Y-15 Data'!$C$1:$C$66,0),MATCH(M$9,'FR Y-15 Data'!$A$1:$EE$1,0))/1000</f>
        <v>10257.986999999999</v>
      </c>
      <c r="N35" s="308">
        <f>INDEX('FR Y-15 Data'!$A$1:$ED$66,MATCH($C35,'FR Y-15 Data'!$C$1:$C$66,0),MATCH(N$9,'FR Y-15 Data'!$A$1:$EE$1,0))/1000</f>
        <v>5343</v>
      </c>
      <c r="O35" s="310">
        <f>INDEX('FR Y-15 Data'!$A$1:$ED$66,MATCH($C35,'FR Y-15 Data'!$C$1:$C$66,0),MATCH(O$9,'FR Y-15 Data'!$A$1:$EE$1,0))/1000</f>
        <v>2659</v>
      </c>
      <c r="P35" s="47">
        <f t="shared" si="1"/>
        <v>0</v>
      </c>
    </row>
    <row r="36" spans="2:16">
      <c r="B36" s="231" t="str">
        <f>INDEX('FR Y-15 Data'!$A$1:$ED$66,MATCH($C36,'FR Y-15 Data'!$C$1:$C$66,0),MATCH($B$9,'FR Y-15 Data'!$A$1:$EE$1,0))</f>
        <v xml:space="preserve">REGIONS FINANCIAL CORPORATION                                                                                           </v>
      </c>
      <c r="C36" s="4">
        <f>INDEX('FR Y-15 Data'!$A$1:$ED$66,ROWS($C$10:C36)+1,MATCH($C$9,'FR Y-15 Data'!$A$1:$EE$1,0))</f>
        <v>3242838</v>
      </c>
      <c r="D36" s="42">
        <f>INDEX('FR Y-15 Data'!$A$1:$ED$66,MATCH($C36,'FR Y-15 Data'!$C$1:$C$66,0),MATCH(D$9,'FR Y-15 Data'!$A$1:$EE$1,0))/1000</f>
        <v>151156.76300000001</v>
      </c>
      <c r="E36" s="308">
        <f>INDEX('FR Y-15 Data'!$A$1:$ED$66,MATCH($C36,'FR Y-15 Data'!$C$1:$C$66,0),MATCH(E$9,'FR Y-15 Data'!$A$1:$EE$1,0))/1000</f>
        <v>1314.25</v>
      </c>
      <c r="F36" s="309">
        <f>INDEX('FR Y-15 Data'!$A$1:$ED$66,MATCH($C36,'FR Y-15 Data'!$C$1:$C$66,0),MATCH(F$9,'FR Y-15 Data'!$A$1:$EE$1,0))/1000</f>
        <v>6831.84</v>
      </c>
      <c r="G36" s="310">
        <f>INDEX('FR Y-15 Data'!$A$1:$ED$66,MATCH($C36,'FR Y-15 Data'!$C$1:$C$66,0),MATCH(G$9,'FR Y-15 Data'!$A$1:$EE$1,0))/1000</f>
        <v>27305.881000000001</v>
      </c>
      <c r="H36" s="308">
        <f>INDEX('FR Y-15 Data'!$A$1:$ED$66,MATCH($C36,'FR Y-15 Data'!$C$1:$C$66,0),MATCH(H$9,'FR Y-15 Data'!$A$1:$EE$1,0))/1000</f>
        <v>800829.83799999999</v>
      </c>
      <c r="I36" s="309">
        <f>INDEX('FR Y-15 Data'!$A$1:$ED$66,MATCH($C36,'FR Y-15 Data'!$C$1:$C$66,0),MATCH(I$9,'FR Y-15 Data'!$A$1:$EE$1,0))/1000</f>
        <v>17108.381000000001</v>
      </c>
      <c r="J36" s="310">
        <f>INDEX('FR Y-15 Data'!$A$1:$ED$66,MATCH($C36,'FR Y-15 Data'!$C$1:$C$66,0),MATCH(J$9,'FR Y-15 Data'!$A$1:$EE$1,0))/1000</f>
        <v>1400.2049999999999</v>
      </c>
      <c r="K36" s="308">
        <f>INDEX('FR Y-15 Data'!$A$1:$ED$66,MATCH($C36,'FR Y-15 Data'!$C$1:$C$66,0),MATCH(K$9,'FR Y-15 Data'!$A$1:$EE$1,0))/1000</f>
        <v>79236.517999999996</v>
      </c>
      <c r="L36" s="309">
        <f>INDEX('FR Y-15 Data'!$A$1:$ED$66,MATCH($C36,'FR Y-15 Data'!$C$1:$C$66,0),MATCH(L$9,'FR Y-15 Data'!$A$1:$EE$1,0))/1000</f>
        <v>4813.7709999999997</v>
      </c>
      <c r="M36" s="310">
        <f>INDEX('FR Y-15 Data'!$A$1:$ED$66,MATCH($C36,'FR Y-15 Data'!$C$1:$C$66,0),MATCH(M$9,'FR Y-15 Data'!$A$1:$EE$1,0))/1000</f>
        <v>275.71300000000002</v>
      </c>
      <c r="N36" s="308">
        <f>INDEX('FR Y-15 Data'!$A$1:$ED$66,MATCH($C36,'FR Y-15 Data'!$C$1:$C$66,0),MATCH(N$9,'FR Y-15 Data'!$A$1:$EE$1,0))/1000</f>
        <v>937</v>
      </c>
      <c r="O36" s="310">
        <f>INDEX('FR Y-15 Data'!$A$1:$ED$66,MATCH($C36,'FR Y-15 Data'!$C$1:$C$66,0),MATCH(O$9,'FR Y-15 Data'!$A$1:$EE$1,0))/1000</f>
        <v>483</v>
      </c>
      <c r="P36" s="47">
        <f t="shared" si="1"/>
        <v>0</v>
      </c>
    </row>
    <row r="37" spans="2:16">
      <c r="B37" s="231" t="str">
        <f>INDEX('FR Y-15 Data'!$A$1:$ED$66,MATCH($C37,'FR Y-15 Data'!$C$1:$C$66,0),MATCH($B$9,'FR Y-15 Data'!$A$1:$EE$1,0))</f>
        <v xml:space="preserve">SANTANDER HOLDINGS USA, INC.                                                                                            </v>
      </c>
      <c r="C37" s="4">
        <f>INDEX('FR Y-15 Data'!$A$1:$ED$66,ROWS($C$10:C37)+1,MATCH($C$9,'FR Y-15 Data'!$A$1:$EE$1,0))</f>
        <v>3981856</v>
      </c>
      <c r="D37" s="42">
        <f>INDEX('FR Y-15 Data'!$A$1:$ED$66,MATCH($C37,'FR Y-15 Data'!$C$1:$C$66,0),MATCH(D$9,'FR Y-15 Data'!$A$1:$EE$1,0))/1000</f>
        <v>146358.35699999999</v>
      </c>
      <c r="E37" s="308">
        <f>INDEX('FR Y-15 Data'!$A$1:$ED$66,MATCH($C37,'FR Y-15 Data'!$C$1:$C$66,0),MATCH(E$9,'FR Y-15 Data'!$A$1:$EE$1,0))/1000</f>
        <v>3821.355</v>
      </c>
      <c r="F37" s="309">
        <f>INDEX('FR Y-15 Data'!$A$1:$ED$66,MATCH($C37,'FR Y-15 Data'!$C$1:$C$66,0),MATCH(F$9,'FR Y-15 Data'!$A$1:$EE$1,0))/1000</f>
        <v>7289.9480000000003</v>
      </c>
      <c r="G37" s="310">
        <f>INDEX('FR Y-15 Data'!$A$1:$ED$66,MATCH($C37,'FR Y-15 Data'!$C$1:$C$66,0),MATCH(G$9,'FR Y-15 Data'!$A$1:$EE$1,0))/1000</f>
        <v>21681.932000000001</v>
      </c>
      <c r="H37" s="308">
        <f>INDEX('FR Y-15 Data'!$A$1:$ED$66,MATCH($C37,'FR Y-15 Data'!$C$1:$C$66,0),MATCH(H$9,'FR Y-15 Data'!$A$1:$EE$1,0))/1000</f>
        <v>51581.190999999999</v>
      </c>
      <c r="I37" s="309">
        <f>INDEX('FR Y-15 Data'!$A$1:$ED$66,MATCH($C37,'FR Y-15 Data'!$C$1:$C$66,0),MATCH(I$9,'FR Y-15 Data'!$A$1:$EE$1,0))/1000</f>
        <v>0</v>
      </c>
      <c r="J37" s="310">
        <f>INDEX('FR Y-15 Data'!$A$1:$ED$66,MATCH($C37,'FR Y-15 Data'!$C$1:$C$66,0),MATCH(J$9,'FR Y-15 Data'!$A$1:$EE$1,0))/1000</f>
        <v>0</v>
      </c>
      <c r="K37" s="308">
        <f>INDEX('FR Y-15 Data'!$A$1:$ED$66,MATCH($C37,'FR Y-15 Data'!$C$1:$C$66,0),MATCH(K$9,'FR Y-15 Data'!$A$1:$EE$1,0))/1000</f>
        <v>49005.497000000003</v>
      </c>
      <c r="L37" s="309">
        <f>INDEX('FR Y-15 Data'!$A$1:$ED$66,MATCH($C37,'FR Y-15 Data'!$C$1:$C$66,0),MATCH(L$9,'FR Y-15 Data'!$A$1:$EE$1,0))/1000</f>
        <v>9122.5840000000007</v>
      </c>
      <c r="M37" s="310">
        <f>INDEX('FR Y-15 Data'!$A$1:$ED$66,MATCH($C37,'FR Y-15 Data'!$C$1:$C$66,0),MATCH(M$9,'FR Y-15 Data'!$A$1:$EE$1,0))/1000</f>
        <v>2261.6709999999998</v>
      </c>
      <c r="N37" s="308">
        <f>INDEX('FR Y-15 Data'!$A$1:$ED$66,MATCH($C37,'FR Y-15 Data'!$C$1:$C$66,0),MATCH(N$9,'FR Y-15 Data'!$A$1:$EE$1,0))/1000</f>
        <v>3785.125</v>
      </c>
      <c r="O37" s="310">
        <f>INDEX('FR Y-15 Data'!$A$1:$ED$66,MATCH($C37,'FR Y-15 Data'!$C$1:$C$66,0),MATCH(O$9,'FR Y-15 Data'!$A$1:$EE$1,0))/1000</f>
        <v>574.06899999999996</v>
      </c>
      <c r="P37" s="47">
        <f t="shared" si="1"/>
        <v>0</v>
      </c>
    </row>
    <row r="38" spans="2:16">
      <c r="B38" s="231" t="str">
        <f>INDEX('FR Y-15 Data'!$A$1:$ED$66,MATCH($C38,'FR Y-15 Data'!$C$1:$C$66,0),MATCH($B$9,'FR Y-15 Data'!$A$1:$EE$1,0))</f>
        <v xml:space="preserve">STATE STREET CORPORATION                                                                                                </v>
      </c>
      <c r="C38" s="4">
        <f>INDEX('FR Y-15 Data'!$A$1:$ED$66,ROWS($C$10:C38)+1,MATCH($C$9,'FR Y-15 Data'!$A$1:$EE$1,0))</f>
        <v>1111435</v>
      </c>
      <c r="D38" s="42">
        <f>INDEX('FR Y-15 Data'!$A$1:$ED$66,MATCH($C38,'FR Y-15 Data'!$C$1:$C$66,0),MATCH(D$9,'FR Y-15 Data'!$A$1:$EE$1,0))/1000</f>
        <v>292211.65500000003</v>
      </c>
      <c r="E38" s="308">
        <f>INDEX('FR Y-15 Data'!$A$1:$ED$66,MATCH($C38,'FR Y-15 Data'!$C$1:$C$66,0),MATCH(E$9,'FR Y-15 Data'!$A$1:$EE$1,0))/1000</f>
        <v>38366.180999999997</v>
      </c>
      <c r="F38" s="309">
        <f>INDEX('FR Y-15 Data'!$A$1:$ED$66,MATCH($C38,'FR Y-15 Data'!$C$1:$C$66,0),MATCH(F$9,'FR Y-15 Data'!$A$1:$EE$1,0))/1000</f>
        <v>214038.86900000001</v>
      </c>
      <c r="G38" s="310">
        <f>INDEX('FR Y-15 Data'!$A$1:$ED$66,MATCH($C38,'FR Y-15 Data'!$C$1:$C$66,0),MATCH(G$9,'FR Y-15 Data'!$A$1:$EE$1,0))/1000</f>
        <v>60107.008999999998</v>
      </c>
      <c r="H38" s="308">
        <f>INDEX('FR Y-15 Data'!$A$1:$ED$66,MATCH($C38,'FR Y-15 Data'!$C$1:$C$66,0),MATCH(H$9,'FR Y-15 Data'!$A$1:$EE$1,0))/1000</f>
        <v>71014770.240999997</v>
      </c>
      <c r="I38" s="309">
        <f>INDEX('FR Y-15 Data'!$A$1:$ED$66,MATCH($C38,'FR Y-15 Data'!$C$1:$C$66,0),MATCH(I$9,'FR Y-15 Data'!$A$1:$EE$1,0))/1000</f>
        <v>21656000</v>
      </c>
      <c r="J38" s="310">
        <f>INDEX('FR Y-15 Data'!$A$1:$ED$66,MATCH($C38,'FR Y-15 Data'!$C$1:$C$66,0),MATCH(J$9,'FR Y-15 Data'!$A$1:$EE$1,0))/1000</f>
        <v>0</v>
      </c>
      <c r="K38" s="308">
        <f>INDEX('FR Y-15 Data'!$A$1:$ED$66,MATCH($C38,'FR Y-15 Data'!$C$1:$C$66,0),MATCH(K$9,'FR Y-15 Data'!$A$1:$EE$1,0))/1000</f>
        <v>1239187.564</v>
      </c>
      <c r="L38" s="309">
        <f>INDEX('FR Y-15 Data'!$A$1:$ED$66,MATCH($C38,'FR Y-15 Data'!$C$1:$C$66,0),MATCH(L$9,'FR Y-15 Data'!$A$1:$EE$1,0))/1000</f>
        <v>33982.639999999999</v>
      </c>
      <c r="M38" s="310">
        <f>INDEX('FR Y-15 Data'!$A$1:$ED$66,MATCH($C38,'FR Y-15 Data'!$C$1:$C$66,0),MATCH(M$9,'FR Y-15 Data'!$A$1:$EE$1,0))/1000</f>
        <v>5446.1840000000002</v>
      </c>
      <c r="N38" s="308">
        <f>INDEX('FR Y-15 Data'!$A$1:$ED$66,MATCH($C38,'FR Y-15 Data'!$C$1:$C$66,0),MATCH(N$9,'FR Y-15 Data'!$A$1:$EE$1,0))/1000</f>
        <v>74588.706000000006</v>
      </c>
      <c r="O38" s="310">
        <f>INDEX('FR Y-15 Data'!$A$1:$ED$66,MATCH($C38,'FR Y-15 Data'!$C$1:$C$66,0),MATCH(O$9,'FR Y-15 Data'!$A$1:$EE$1,0))/1000</f>
        <v>138801</v>
      </c>
      <c r="P38" s="47">
        <f t="shared" si="1"/>
        <v>0</v>
      </c>
    </row>
    <row r="39" spans="2:16">
      <c r="B39" s="231" t="str">
        <f>INDEX('FR Y-15 Data'!$A$1:$ED$66,MATCH($C39,'FR Y-15 Data'!$C$1:$C$66,0),MATCH($B$9,'FR Y-15 Data'!$A$1:$EE$1,0))</f>
        <v xml:space="preserve">SUNTRUST BANKS, INC.                                                                                                    </v>
      </c>
      <c r="C39" s="4">
        <f>INDEX('FR Y-15 Data'!$A$1:$ED$66,ROWS($C$10:C39)+1,MATCH($C$9,'FR Y-15 Data'!$A$1:$EE$1,0))</f>
        <v>1131787</v>
      </c>
      <c r="D39" s="42">
        <f>INDEX('FR Y-15 Data'!$A$1:$ED$66,MATCH($C39,'FR Y-15 Data'!$C$1:$C$66,0),MATCH(D$9,'FR Y-15 Data'!$A$1:$EE$1,0))/1000</f>
        <v>252483.177</v>
      </c>
      <c r="E39" s="308">
        <f>INDEX('FR Y-15 Data'!$A$1:$ED$66,MATCH($C39,'FR Y-15 Data'!$C$1:$C$66,0),MATCH(E$9,'FR Y-15 Data'!$A$1:$EE$1,0))/1000</f>
        <v>3520.1979999999999</v>
      </c>
      <c r="F39" s="309">
        <f>INDEX('FR Y-15 Data'!$A$1:$ED$66,MATCH($C39,'FR Y-15 Data'!$C$1:$C$66,0),MATCH(F$9,'FR Y-15 Data'!$A$1:$EE$1,0))/1000</f>
        <v>1281.693</v>
      </c>
      <c r="G39" s="310">
        <f>INDEX('FR Y-15 Data'!$A$1:$ED$66,MATCH($C39,'FR Y-15 Data'!$C$1:$C$66,0),MATCH(G$9,'FR Y-15 Data'!$A$1:$EE$1,0))/1000</f>
        <v>51740.993000000002</v>
      </c>
      <c r="H39" s="308">
        <f>INDEX('FR Y-15 Data'!$A$1:$ED$66,MATCH($C39,'FR Y-15 Data'!$C$1:$C$66,0),MATCH(H$9,'FR Y-15 Data'!$A$1:$EE$1,0))/1000</f>
        <v>781719.61499999999</v>
      </c>
      <c r="I39" s="309">
        <f>INDEX('FR Y-15 Data'!$A$1:$ED$66,MATCH($C39,'FR Y-15 Data'!$C$1:$C$66,0),MATCH(I$9,'FR Y-15 Data'!$A$1:$EE$1,0))/1000</f>
        <v>58848.508999999998</v>
      </c>
      <c r="J39" s="310">
        <f>INDEX('FR Y-15 Data'!$A$1:$ED$66,MATCH($C39,'FR Y-15 Data'!$C$1:$C$66,0),MATCH(J$9,'FR Y-15 Data'!$A$1:$EE$1,0))/1000</f>
        <v>11870.763000000001</v>
      </c>
      <c r="K39" s="308">
        <f>INDEX('FR Y-15 Data'!$A$1:$ED$66,MATCH($C39,'FR Y-15 Data'!$C$1:$C$66,0),MATCH(K$9,'FR Y-15 Data'!$A$1:$EE$1,0))/1000</f>
        <v>195902.55799999999</v>
      </c>
      <c r="L39" s="309">
        <f>INDEX('FR Y-15 Data'!$A$1:$ED$66,MATCH($C39,'FR Y-15 Data'!$C$1:$C$66,0),MATCH(L$9,'FR Y-15 Data'!$A$1:$EE$1,0))/1000</f>
        <v>3331.768</v>
      </c>
      <c r="M39" s="310">
        <f>INDEX('FR Y-15 Data'!$A$1:$ED$66,MATCH($C39,'FR Y-15 Data'!$C$1:$C$66,0),MATCH(M$9,'FR Y-15 Data'!$A$1:$EE$1,0))/1000</f>
        <v>2450.076</v>
      </c>
      <c r="N39" s="308">
        <f>INDEX('FR Y-15 Data'!$A$1:$ED$66,MATCH($C39,'FR Y-15 Data'!$C$1:$C$66,0),MATCH(N$9,'FR Y-15 Data'!$A$1:$EE$1,0))/1000</f>
        <v>1963</v>
      </c>
      <c r="O39" s="310">
        <f>INDEX('FR Y-15 Data'!$A$1:$ED$66,MATCH($C39,'FR Y-15 Data'!$C$1:$C$66,0),MATCH(O$9,'FR Y-15 Data'!$A$1:$EE$1,0))/1000</f>
        <v>2063.3510000000001</v>
      </c>
      <c r="P39" s="47">
        <f t="shared" si="1"/>
        <v>0</v>
      </c>
    </row>
    <row r="40" spans="2:16">
      <c r="B40" s="231" t="str">
        <f>INDEX('FR Y-15 Data'!$A$1:$ED$66,MATCH($C40,'FR Y-15 Data'!$C$1:$C$66,0),MATCH($B$9,'FR Y-15 Data'!$A$1:$EE$1,0))</f>
        <v xml:space="preserve">TD BANK US HOLDING COMPANY                                                                                              </v>
      </c>
      <c r="C40" s="4">
        <f>INDEX('FR Y-15 Data'!$A$1:$ED$66,ROWS($C$10:C40)+1,MATCH($C$9,'FR Y-15 Data'!$A$1:$EE$1,0))</f>
        <v>1249196</v>
      </c>
      <c r="D40" s="42">
        <f>INDEX('FR Y-15 Data'!$A$1:$ED$66,MATCH($C40,'FR Y-15 Data'!$C$1:$C$66,0),MATCH(D$9,'FR Y-15 Data'!$A$1:$EE$1,0))/1000</f>
        <v>283631.859</v>
      </c>
      <c r="E40" s="308">
        <f>INDEX('FR Y-15 Data'!$A$1:$ED$66,MATCH($C40,'FR Y-15 Data'!$C$1:$C$66,0),MATCH(E$9,'FR Y-15 Data'!$A$1:$EE$1,0))/1000</f>
        <v>12414.462</v>
      </c>
      <c r="F40" s="309">
        <f>INDEX('FR Y-15 Data'!$A$1:$ED$66,MATCH($C40,'FR Y-15 Data'!$C$1:$C$66,0),MATCH(F$9,'FR Y-15 Data'!$A$1:$EE$1,0))/1000</f>
        <v>4472.2439999999997</v>
      </c>
      <c r="G40" s="310">
        <f>INDEX('FR Y-15 Data'!$A$1:$ED$66,MATCH($C40,'FR Y-15 Data'!$C$1:$C$66,0),MATCH(G$9,'FR Y-15 Data'!$A$1:$EE$1,0))/1000</f>
        <v>9665.7260000000006</v>
      </c>
      <c r="H40" s="308">
        <f>INDEX('FR Y-15 Data'!$A$1:$ED$66,MATCH($C40,'FR Y-15 Data'!$C$1:$C$66,0),MATCH(H$9,'FR Y-15 Data'!$A$1:$EE$1,0))/1000</f>
        <v>2417350.4539999999</v>
      </c>
      <c r="I40" s="309">
        <f>INDEX('FR Y-15 Data'!$A$1:$ED$66,MATCH($C40,'FR Y-15 Data'!$C$1:$C$66,0),MATCH(I$9,'FR Y-15 Data'!$A$1:$EE$1,0))/1000</f>
        <v>9512.5759999999991</v>
      </c>
      <c r="J40" s="310">
        <f>INDEX('FR Y-15 Data'!$A$1:$ED$66,MATCH($C40,'FR Y-15 Data'!$C$1:$C$66,0),MATCH(J$9,'FR Y-15 Data'!$A$1:$EE$1,0))/1000</f>
        <v>0</v>
      </c>
      <c r="K40" s="308">
        <f>INDEX('FR Y-15 Data'!$A$1:$ED$66,MATCH($C40,'FR Y-15 Data'!$C$1:$C$66,0),MATCH(K$9,'FR Y-15 Data'!$A$1:$EE$1,0))/1000</f>
        <v>234593.80900000001</v>
      </c>
      <c r="L40" s="309">
        <f>INDEX('FR Y-15 Data'!$A$1:$ED$66,MATCH($C40,'FR Y-15 Data'!$C$1:$C$66,0),MATCH(L$9,'FR Y-15 Data'!$A$1:$EE$1,0))/1000</f>
        <v>39308.286</v>
      </c>
      <c r="M40" s="310">
        <f>INDEX('FR Y-15 Data'!$A$1:$ED$66,MATCH($C40,'FR Y-15 Data'!$C$1:$C$66,0),MATCH(M$9,'FR Y-15 Data'!$A$1:$EE$1,0))/1000</f>
        <v>1498.489</v>
      </c>
      <c r="N40" s="308">
        <f>INDEX('FR Y-15 Data'!$A$1:$ED$66,MATCH($C40,'FR Y-15 Data'!$C$1:$C$66,0),MATCH(N$9,'FR Y-15 Data'!$A$1:$EE$1,0))/1000</f>
        <v>28605</v>
      </c>
      <c r="O40" s="310">
        <f>INDEX('FR Y-15 Data'!$A$1:$ED$66,MATCH($C40,'FR Y-15 Data'!$C$1:$C$66,0),MATCH(O$9,'FR Y-15 Data'!$A$1:$EE$1,0))/1000</f>
        <v>1806</v>
      </c>
      <c r="P40" s="47">
        <f t="shared" si="1"/>
        <v>0</v>
      </c>
    </row>
    <row r="41" spans="2:16">
      <c r="B41" s="231" t="str">
        <f>INDEX('FR Y-15 Data'!$A$1:$ED$66,MATCH($C41,'FR Y-15 Data'!$C$1:$C$66,0),MATCH($B$9,'FR Y-15 Data'!$A$1:$EE$1,0))</f>
        <v xml:space="preserve">U.S. BANCORP                                                                                                            </v>
      </c>
      <c r="C41" s="4">
        <f>INDEX('FR Y-15 Data'!$A$1:$ED$66,ROWS($C$10:C41)+1,MATCH($C$9,'FR Y-15 Data'!$A$1:$EE$1,0))</f>
        <v>1119794</v>
      </c>
      <c r="D41" s="42">
        <f>INDEX('FR Y-15 Data'!$A$1:$ED$66,MATCH($C41,'FR Y-15 Data'!$C$1:$C$66,0),MATCH(D$9,'FR Y-15 Data'!$A$1:$EE$1,0))/1000</f>
        <v>538755.69999999995</v>
      </c>
      <c r="E41" s="308">
        <f>INDEX('FR Y-15 Data'!$A$1:$ED$66,MATCH($C41,'FR Y-15 Data'!$C$1:$C$66,0),MATCH(E$9,'FR Y-15 Data'!$A$1:$EE$1,0))/1000</f>
        <v>15130</v>
      </c>
      <c r="F41" s="309">
        <f>INDEX('FR Y-15 Data'!$A$1:$ED$66,MATCH($C41,'FR Y-15 Data'!$C$1:$C$66,0),MATCH(F$9,'FR Y-15 Data'!$A$1:$EE$1,0))/1000</f>
        <v>13976</v>
      </c>
      <c r="G41" s="310">
        <f>INDEX('FR Y-15 Data'!$A$1:$ED$66,MATCH($C41,'FR Y-15 Data'!$C$1:$C$66,0),MATCH(G$9,'FR Y-15 Data'!$A$1:$EE$1,0))/1000</f>
        <v>174515</v>
      </c>
      <c r="H41" s="308">
        <f>INDEX('FR Y-15 Data'!$A$1:$ED$66,MATCH($C41,'FR Y-15 Data'!$C$1:$C$66,0),MATCH(H$9,'FR Y-15 Data'!$A$1:$EE$1,0))/1000</f>
        <v>7772596</v>
      </c>
      <c r="I41" s="309">
        <f>INDEX('FR Y-15 Data'!$A$1:$ED$66,MATCH($C41,'FR Y-15 Data'!$C$1:$C$66,0),MATCH(I$9,'FR Y-15 Data'!$A$1:$EE$1,0))/1000</f>
        <v>1102084</v>
      </c>
      <c r="J41" s="310">
        <f>INDEX('FR Y-15 Data'!$A$1:$ED$66,MATCH($C41,'FR Y-15 Data'!$C$1:$C$66,0),MATCH(J$9,'FR Y-15 Data'!$A$1:$EE$1,0))/1000</f>
        <v>27517</v>
      </c>
      <c r="K41" s="308">
        <f>INDEX('FR Y-15 Data'!$A$1:$ED$66,MATCH($C41,'FR Y-15 Data'!$C$1:$C$66,0),MATCH(K$9,'FR Y-15 Data'!$A$1:$EE$1,0))/1000</f>
        <v>136400</v>
      </c>
      <c r="L41" s="309">
        <f>INDEX('FR Y-15 Data'!$A$1:$ED$66,MATCH($C41,'FR Y-15 Data'!$C$1:$C$66,0),MATCH(L$9,'FR Y-15 Data'!$A$1:$EE$1,0))/1000</f>
        <v>13830</v>
      </c>
      <c r="M41" s="310">
        <f>INDEX('FR Y-15 Data'!$A$1:$ED$66,MATCH($C41,'FR Y-15 Data'!$C$1:$C$66,0),MATCH(M$9,'FR Y-15 Data'!$A$1:$EE$1,0))/1000</f>
        <v>3754</v>
      </c>
      <c r="N41" s="308">
        <f>INDEX('FR Y-15 Data'!$A$1:$ED$66,MATCH($C41,'FR Y-15 Data'!$C$1:$C$66,0),MATCH(N$9,'FR Y-15 Data'!$A$1:$EE$1,0))/1000</f>
        <v>3192</v>
      </c>
      <c r="O41" s="310">
        <f>INDEX('FR Y-15 Data'!$A$1:$ED$66,MATCH($C41,'FR Y-15 Data'!$C$1:$C$66,0),MATCH(O$9,'FR Y-15 Data'!$A$1:$EE$1,0))/1000</f>
        <v>32731</v>
      </c>
      <c r="P41" s="47">
        <f t="shared" si="1"/>
        <v>0</v>
      </c>
    </row>
    <row r="42" spans="2:16">
      <c r="B42" s="231" t="str">
        <f>INDEX('FR Y-15 Data'!$A$1:$ED$66,MATCH($C42,'FR Y-15 Data'!$C$1:$C$66,0),MATCH($B$9,'FR Y-15 Data'!$A$1:$EE$1,0))</f>
        <v xml:space="preserve">WELLS FARGO &amp; COMPANY                                                                                                   </v>
      </c>
      <c r="C42" s="4">
        <f>INDEX('FR Y-15 Data'!$A$1:$ED$66,ROWS($C$10:C42)+1,MATCH($C$9,'FR Y-15 Data'!$A$1:$EE$1,0))</f>
        <v>1120754</v>
      </c>
      <c r="D42" s="42">
        <f>INDEX('FR Y-15 Data'!$A$1:$ED$66,MATCH($C42,'FR Y-15 Data'!$C$1:$C$66,0),MATCH(D$9,'FR Y-15 Data'!$A$1:$EE$1,0))/1000</f>
        <v>2191752.2999999998</v>
      </c>
      <c r="E42" s="308">
        <f>INDEX('FR Y-15 Data'!$A$1:$ED$66,MATCH($C42,'FR Y-15 Data'!$C$1:$C$66,0),MATCH(E$9,'FR Y-15 Data'!$A$1:$EE$1,0))/1000</f>
        <v>167007</v>
      </c>
      <c r="F42" s="309">
        <f>INDEX('FR Y-15 Data'!$A$1:$ED$66,MATCH($C42,'FR Y-15 Data'!$C$1:$C$66,0),MATCH(F$9,'FR Y-15 Data'!$A$1:$EE$1,0))/1000</f>
        <v>170841</v>
      </c>
      <c r="G42" s="310">
        <f>INDEX('FR Y-15 Data'!$A$1:$ED$66,MATCH($C42,'FR Y-15 Data'!$C$1:$C$66,0),MATCH(G$9,'FR Y-15 Data'!$A$1:$EE$1,0))/1000</f>
        <v>590283</v>
      </c>
      <c r="H42" s="308">
        <f>INDEX('FR Y-15 Data'!$A$1:$ED$66,MATCH($C42,'FR Y-15 Data'!$C$1:$C$66,0),MATCH(H$9,'FR Y-15 Data'!$A$1:$EE$1,0))/1000</f>
        <v>34295107</v>
      </c>
      <c r="I42" s="309">
        <f>INDEX('FR Y-15 Data'!$A$1:$ED$66,MATCH($C42,'FR Y-15 Data'!$C$1:$C$66,0),MATCH(I$9,'FR Y-15 Data'!$A$1:$EE$1,0))/1000</f>
        <v>2500000</v>
      </c>
      <c r="J42" s="310">
        <f>INDEX('FR Y-15 Data'!$A$1:$ED$66,MATCH($C42,'FR Y-15 Data'!$C$1:$C$66,0),MATCH(J$9,'FR Y-15 Data'!$A$1:$EE$1,0))/1000</f>
        <v>167681</v>
      </c>
      <c r="K42" s="308">
        <f>INDEX('FR Y-15 Data'!$A$1:$ED$66,MATCH($C42,'FR Y-15 Data'!$C$1:$C$66,0),MATCH(K$9,'FR Y-15 Data'!$A$1:$EE$1,0))/1000</f>
        <v>5643148</v>
      </c>
      <c r="L42" s="309">
        <f>INDEX('FR Y-15 Data'!$A$1:$ED$66,MATCH($C42,'FR Y-15 Data'!$C$1:$C$66,0),MATCH(L$9,'FR Y-15 Data'!$A$1:$EE$1,0))/1000</f>
        <v>135221</v>
      </c>
      <c r="M42" s="310">
        <f>INDEX('FR Y-15 Data'!$A$1:$ED$66,MATCH($C42,'FR Y-15 Data'!$C$1:$C$66,0),MATCH(M$9,'FR Y-15 Data'!$A$1:$EE$1,0))/1000</f>
        <v>32324</v>
      </c>
      <c r="N42" s="308">
        <f>INDEX('FR Y-15 Data'!$A$1:$ED$66,MATCH($C42,'FR Y-15 Data'!$C$1:$C$66,0),MATCH(N$9,'FR Y-15 Data'!$A$1:$EE$1,0))/1000</f>
        <v>100542</v>
      </c>
      <c r="O42" s="310">
        <f>INDEX('FR Y-15 Data'!$A$1:$ED$66,MATCH($C42,'FR Y-15 Data'!$C$1:$C$66,0),MATCH(O$9,'FR Y-15 Data'!$A$1:$EE$1,0))/1000</f>
        <v>147496</v>
      </c>
      <c r="P42" s="47">
        <f t="shared" si="1"/>
        <v>0</v>
      </c>
    </row>
    <row r="43" spans="2:16">
      <c r="B43" s="232" t="str">
        <f>INDEX('FR Y-15 Data'!$A$1:$ED$66,MATCH($C43,'FR Y-15 Data'!$C$1:$C$66,0),MATCH($B$9,'FR Y-15 Data'!$A$1:$EE$1,0))</f>
        <v xml:space="preserve">ZIONS BANCORPORATION                                                                                                    </v>
      </c>
      <c r="C43" s="188">
        <f>INDEX('FR Y-15 Data'!$A$1:$ED$66,ROWS($C$10:C43)+1,MATCH($C$9,'FR Y-15 Data'!$A$1:$EE$1,0))</f>
        <v>1027004</v>
      </c>
      <c r="D43" s="189">
        <f>INDEX('FR Y-15 Data'!$A$1:$ED$66,MATCH($C43,'FR Y-15 Data'!$C$1:$C$66,0),MATCH(D$9,'FR Y-15 Data'!$A$1:$EE$1,0))/1000</f>
        <v>74391.153000000006</v>
      </c>
      <c r="E43" s="311">
        <f>INDEX('FR Y-15 Data'!$A$1:$ED$66,MATCH($C43,'FR Y-15 Data'!$C$1:$C$66,0),MATCH(E$9,'FR Y-15 Data'!$A$1:$EE$1,0))/1000</f>
        <v>1745.942</v>
      </c>
      <c r="F43" s="312">
        <f>INDEX('FR Y-15 Data'!$A$1:$ED$66,MATCH($C43,'FR Y-15 Data'!$C$1:$C$66,0),MATCH(F$9,'FR Y-15 Data'!$A$1:$EE$1,0))/1000</f>
        <v>2713.3409999999999</v>
      </c>
      <c r="G43" s="313">
        <f>INDEX('FR Y-15 Data'!$A$1:$ED$66,MATCH($C43,'FR Y-15 Data'!$C$1:$C$66,0),MATCH(G$9,'FR Y-15 Data'!$A$1:$EE$1,0))/1000</f>
        <v>9868.09</v>
      </c>
      <c r="H43" s="311">
        <f>INDEX('FR Y-15 Data'!$A$1:$ED$66,MATCH($C43,'FR Y-15 Data'!$C$1:$C$66,0),MATCH(H$9,'FR Y-15 Data'!$A$1:$EE$1,0))/1000</f>
        <v>417119.391</v>
      </c>
      <c r="I43" s="312">
        <f>INDEX('FR Y-15 Data'!$A$1:$ED$66,MATCH($C43,'FR Y-15 Data'!$C$1:$C$66,0),MATCH(I$9,'FR Y-15 Data'!$A$1:$EE$1,0))/1000</f>
        <v>3580.7449999999999</v>
      </c>
      <c r="J43" s="313">
        <f>INDEX('FR Y-15 Data'!$A$1:$ED$66,MATCH($C43,'FR Y-15 Data'!$C$1:$C$66,0),MATCH(J$9,'FR Y-15 Data'!$A$1:$EE$1,0))/1000</f>
        <v>155.17500000000001</v>
      </c>
      <c r="K43" s="311">
        <f>INDEX('FR Y-15 Data'!$A$1:$ED$66,MATCH($C43,'FR Y-15 Data'!$C$1:$C$66,0),MATCH(K$9,'FR Y-15 Data'!$A$1:$EE$1,0))/1000</f>
        <v>3070.0520000000001</v>
      </c>
      <c r="L43" s="312">
        <f>INDEX('FR Y-15 Data'!$A$1:$ED$66,MATCH($C43,'FR Y-15 Data'!$C$1:$C$66,0),MATCH(L$9,'FR Y-15 Data'!$A$1:$EE$1,0))/1000</f>
        <v>1640.664</v>
      </c>
      <c r="M43" s="313">
        <f>INDEX('FR Y-15 Data'!$A$1:$ED$66,MATCH($C43,'FR Y-15 Data'!$C$1:$C$66,0),MATCH(M$9,'FR Y-15 Data'!$A$1:$EE$1,0))/1000</f>
        <v>514.04899999999998</v>
      </c>
      <c r="N43" s="311">
        <f>INDEX('FR Y-15 Data'!$A$1:$ED$66,MATCH($C43,'FR Y-15 Data'!$C$1:$C$66,0),MATCH(N$9,'FR Y-15 Data'!$A$1:$EE$1,0))/1000</f>
        <v>95.17</v>
      </c>
      <c r="O43" s="313">
        <f>INDEX('FR Y-15 Data'!$A$1:$ED$66,MATCH($C43,'FR Y-15 Data'!$C$1:$C$66,0),MATCH(O$9,'FR Y-15 Data'!$A$1:$EE$1,0))/1000</f>
        <v>629.23</v>
      </c>
      <c r="P43" s="50">
        <f t="shared" si="1"/>
        <v>0</v>
      </c>
    </row>
    <row r="44" spans="2:16">
      <c r="B44" s="38"/>
      <c r="C44" s="38"/>
      <c r="D44" s="39"/>
      <c r="E44" s="39"/>
      <c r="F44" s="40"/>
      <c r="G44" s="39"/>
      <c r="H44" s="39"/>
      <c r="I44" s="40"/>
      <c r="J44" s="39"/>
      <c r="K44" s="39"/>
      <c r="L44" s="40"/>
      <c r="M44" s="39"/>
      <c r="N44" s="39"/>
      <c r="O44" s="39"/>
    </row>
    <row r="46" spans="2:16">
      <c r="D46" s="37"/>
      <c r="E46" s="37"/>
      <c r="F46" s="37"/>
      <c r="G46" s="37"/>
      <c r="H46" s="37"/>
    </row>
  </sheetData>
  <sheetProtection sheet="1" objects="1" scenarios="1"/>
  <sortState ref="B7:P39">
    <sortCondition ref="B7"/>
  </sortState>
  <mergeCells count="8">
    <mergeCell ref="U2:W2"/>
    <mergeCell ref="X2:Z2"/>
    <mergeCell ref="AA2:AB2"/>
    <mergeCell ref="E8:G8"/>
    <mergeCell ref="H8:J8"/>
    <mergeCell ref="K8:M8"/>
    <mergeCell ref="N8:O8"/>
    <mergeCell ref="R2:T2"/>
  </mergeCells>
  <printOptions horizontalCentered="1"/>
  <pageMargins left="0.7" right="0.7" top="0.75" bottom="0.75" header="0.3" footer="0.3"/>
  <pageSetup scale="74" fitToWidth="2" orientation="landscape" r:id="rId1"/>
  <headerFooter scaleWithDoc="0">
    <oddFooter>&amp;L&amp;10Data Source: FR Y-15&amp;C&amp;10Page &amp;P of &amp;N&amp;R&amp;10As-of Date: December 31, 2014</oddFooter>
  </headerFooter>
  <colBreaks count="1" manualBreakCount="1">
    <brk id="20" min="1" max="42" man="1"/>
  </colBreaks>
  <ignoredErrors>
    <ignoredError sqref="Q5:AB5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0.79998168889431442"/>
  </sheetPr>
  <dimension ref="A1:EG73"/>
  <sheetViews>
    <sheetView zoomScale="70" zoomScaleNormal="70" zoomScaleSheetLayoutView="85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 activeCell="A2" sqref="A2"/>
    </sheetView>
  </sheetViews>
  <sheetFormatPr defaultRowHeight="14.5"/>
  <cols>
    <col min="1" max="1" width="48.54296875" bestFit="1" customWidth="1"/>
    <col min="2" max="2" width="11.26953125" bestFit="1" customWidth="1"/>
    <col min="3" max="3" width="22" bestFit="1" customWidth="1"/>
    <col min="4" max="6" width="11.453125" bestFit="1" customWidth="1"/>
    <col min="7" max="8" width="10.26953125" bestFit="1" customWidth="1"/>
    <col min="9" max="10" width="11.453125" bestFit="1" customWidth="1"/>
    <col min="11" max="11" width="12.453125" bestFit="1" customWidth="1"/>
    <col min="12" max="14" width="11.453125" bestFit="1" customWidth="1"/>
    <col min="15" max="16" width="10.26953125" bestFit="1" customWidth="1"/>
    <col min="17" max="18" width="11.453125" bestFit="1" customWidth="1"/>
    <col min="19" max="19" width="12.453125" bestFit="1" customWidth="1"/>
    <col min="20" max="20" width="11.26953125" bestFit="1" customWidth="1"/>
    <col min="21" max="21" width="12.453125" bestFit="1" customWidth="1"/>
    <col min="22" max="22" width="11.26953125" bestFit="1" customWidth="1"/>
    <col min="23" max="27" width="9.26953125" bestFit="1" customWidth="1"/>
    <col min="51" max="51" width="9.26953125" customWidth="1"/>
    <col min="137" max="137" width="48.54296875" bestFit="1" customWidth="1"/>
    <col min="138" max="138" width="10" bestFit="1" customWidth="1"/>
    <col min="139" max="140" width="12.26953125" bestFit="1" customWidth="1"/>
  </cols>
  <sheetData>
    <row r="1" spans="1:137">
      <c r="A1" t="s">
        <v>580</v>
      </c>
      <c r="B1" t="s">
        <v>579</v>
      </c>
      <c r="C1" t="s">
        <v>0</v>
      </c>
      <c r="D1" t="s">
        <v>292</v>
      </c>
      <c r="E1" t="s">
        <v>293</v>
      </c>
      <c r="F1" t="s">
        <v>231</v>
      </c>
      <c r="G1" t="s">
        <v>233</v>
      </c>
      <c r="H1" t="s">
        <v>294</v>
      </c>
      <c r="I1" t="s">
        <v>295</v>
      </c>
      <c r="J1" t="s">
        <v>296</v>
      </c>
      <c r="K1" t="s">
        <v>234</v>
      </c>
      <c r="L1" t="s">
        <v>297</v>
      </c>
      <c r="M1" t="s">
        <v>298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299</v>
      </c>
      <c r="U1" t="s">
        <v>241</v>
      </c>
      <c r="V1" t="s">
        <v>1</v>
      </c>
      <c r="W1" t="s">
        <v>242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243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300</v>
      </c>
      <c r="AJ1" t="s">
        <v>2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  <c r="AP1" t="s">
        <v>259</v>
      </c>
      <c r="AQ1" t="s">
        <v>301</v>
      </c>
      <c r="AR1" t="s">
        <v>3</v>
      </c>
      <c r="AS1" t="s">
        <v>260</v>
      </c>
      <c r="AT1" t="s">
        <v>261</v>
      </c>
      <c r="AU1" t="s">
        <v>262</v>
      </c>
      <c r="AV1" t="s">
        <v>263</v>
      </c>
      <c r="AW1" t="s">
        <v>264</v>
      </c>
      <c r="AX1" t="s">
        <v>265</v>
      </c>
      <c r="AY1" t="s">
        <v>4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267</v>
      </c>
      <c r="BL1" t="s">
        <v>313</v>
      </c>
      <c r="BM1" t="s">
        <v>5</v>
      </c>
      <c r="BN1" t="s">
        <v>6</v>
      </c>
      <c r="BO1" t="s">
        <v>268</v>
      </c>
      <c r="BP1" t="s">
        <v>269</v>
      </c>
      <c r="BQ1" t="s">
        <v>7</v>
      </c>
      <c r="BR1" t="s">
        <v>270</v>
      </c>
      <c r="BS1" t="s">
        <v>271</v>
      </c>
      <c r="BT1" t="s">
        <v>8</v>
      </c>
      <c r="BU1" t="s">
        <v>272</v>
      </c>
      <c r="BV1" t="s">
        <v>314</v>
      </c>
      <c r="BW1" t="s">
        <v>273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276</v>
      </c>
      <c r="CG1" t="s">
        <v>10</v>
      </c>
      <c r="CH1" t="s">
        <v>11</v>
      </c>
      <c r="CI1" t="s">
        <v>277</v>
      </c>
      <c r="CJ1" t="s">
        <v>278</v>
      </c>
      <c r="CK1" t="s">
        <v>279</v>
      </c>
      <c r="CL1" t="s">
        <v>12</v>
      </c>
      <c r="CM1" t="s">
        <v>280</v>
      </c>
      <c r="CN1" t="s">
        <v>281</v>
      </c>
      <c r="CO1" t="s">
        <v>283</v>
      </c>
      <c r="CP1" t="s">
        <v>282</v>
      </c>
      <c r="CQ1" t="s">
        <v>284</v>
      </c>
      <c r="CR1" t="s">
        <v>323</v>
      </c>
      <c r="CS1" t="s">
        <v>285</v>
      </c>
      <c r="CT1" t="s">
        <v>286</v>
      </c>
      <c r="CU1" t="s">
        <v>287</v>
      </c>
      <c r="CV1" t="s">
        <v>288</v>
      </c>
      <c r="CW1" t="s">
        <v>324</v>
      </c>
      <c r="CX1" t="s">
        <v>289</v>
      </c>
      <c r="CY1" t="s">
        <v>325</v>
      </c>
      <c r="CZ1" t="s">
        <v>326</v>
      </c>
      <c r="DA1" t="s">
        <v>327</v>
      </c>
      <c r="DB1" t="s">
        <v>328</v>
      </c>
      <c r="DC1" t="s">
        <v>329</v>
      </c>
      <c r="DD1" t="s">
        <v>330</v>
      </c>
      <c r="DE1" t="s">
        <v>331</v>
      </c>
      <c r="DF1" t="s">
        <v>232</v>
      </c>
      <c r="DG1" t="s">
        <v>332</v>
      </c>
      <c r="DH1" t="s">
        <v>266</v>
      </c>
      <c r="DI1" t="s">
        <v>274</v>
      </c>
      <c r="DJ1" t="s">
        <v>275</v>
      </c>
      <c r="DK1" t="s">
        <v>9</v>
      </c>
      <c r="EG1" s="210"/>
    </row>
    <row r="2" spans="1:137">
      <c r="A2" t="s">
        <v>570</v>
      </c>
      <c r="B2" t="s">
        <v>571</v>
      </c>
      <c r="C2" t="s">
        <v>624</v>
      </c>
      <c r="D2" t="s">
        <v>572</v>
      </c>
      <c r="E2" t="s">
        <v>572</v>
      </c>
      <c r="F2" t="s">
        <v>572</v>
      </c>
      <c r="G2" t="s">
        <v>572</v>
      </c>
      <c r="H2" t="s">
        <v>572</v>
      </c>
      <c r="I2" t="s">
        <v>572</v>
      </c>
      <c r="J2" t="s">
        <v>572</v>
      </c>
      <c r="K2" t="s">
        <v>572</v>
      </c>
      <c r="L2" t="s">
        <v>572</v>
      </c>
      <c r="M2" t="s">
        <v>572</v>
      </c>
      <c r="N2" t="s">
        <v>572</v>
      </c>
      <c r="O2" t="s">
        <v>572</v>
      </c>
      <c r="P2" t="s">
        <v>572</v>
      </c>
      <c r="Q2" t="s">
        <v>572</v>
      </c>
      <c r="R2" t="s">
        <v>572</v>
      </c>
      <c r="S2" t="s">
        <v>572</v>
      </c>
      <c r="T2" t="s">
        <v>572</v>
      </c>
      <c r="U2" t="s">
        <v>572</v>
      </c>
      <c r="V2" t="s">
        <v>572</v>
      </c>
      <c r="W2" t="s">
        <v>572</v>
      </c>
      <c r="X2" t="s">
        <v>572</v>
      </c>
      <c r="Y2" t="s">
        <v>572</v>
      </c>
      <c r="Z2" t="s">
        <v>572</v>
      </c>
      <c r="AA2" t="s">
        <v>572</v>
      </c>
      <c r="AB2" t="s">
        <v>572</v>
      </c>
      <c r="AC2" t="s">
        <v>572</v>
      </c>
      <c r="AD2" t="s">
        <v>572</v>
      </c>
      <c r="AE2" t="s">
        <v>572</v>
      </c>
      <c r="AF2" t="s">
        <v>572</v>
      </c>
      <c r="AG2" t="s">
        <v>572</v>
      </c>
      <c r="AH2" t="s">
        <v>572</v>
      </c>
      <c r="AI2" t="s">
        <v>572</v>
      </c>
      <c r="AJ2" t="s">
        <v>572</v>
      </c>
      <c r="AK2" t="s">
        <v>572</v>
      </c>
      <c r="AL2" t="s">
        <v>572</v>
      </c>
      <c r="AM2" t="s">
        <v>572</v>
      </c>
      <c r="AN2" t="s">
        <v>572</v>
      </c>
      <c r="AO2" t="s">
        <v>572</v>
      </c>
      <c r="AP2" t="s">
        <v>572</v>
      </c>
      <c r="AQ2" t="s">
        <v>572</v>
      </c>
      <c r="AR2" t="s">
        <v>572</v>
      </c>
      <c r="AS2" t="s">
        <v>572</v>
      </c>
      <c r="AT2" t="s">
        <v>572</v>
      </c>
      <c r="AU2" t="s">
        <v>572</v>
      </c>
      <c r="AV2" t="s">
        <v>572</v>
      </c>
      <c r="AW2" t="s">
        <v>572</v>
      </c>
      <c r="AX2" t="s">
        <v>572</v>
      </c>
      <c r="AY2" t="s">
        <v>572</v>
      </c>
      <c r="AZ2" t="s">
        <v>572</v>
      </c>
      <c r="BA2" t="s">
        <v>572</v>
      </c>
      <c r="BB2" t="s">
        <v>572</v>
      </c>
      <c r="BC2" t="s">
        <v>572</v>
      </c>
      <c r="BD2" t="s">
        <v>572</v>
      </c>
      <c r="BE2" t="s">
        <v>572</v>
      </c>
      <c r="BF2" t="s">
        <v>572</v>
      </c>
      <c r="BG2" t="s">
        <v>572</v>
      </c>
      <c r="BH2" t="s">
        <v>572</v>
      </c>
      <c r="BI2" t="s">
        <v>572</v>
      </c>
      <c r="BJ2" t="s">
        <v>572</v>
      </c>
      <c r="BK2" t="s">
        <v>572</v>
      </c>
      <c r="BL2" t="s">
        <v>572</v>
      </c>
      <c r="BM2" t="s">
        <v>572</v>
      </c>
      <c r="BN2" t="s">
        <v>572</v>
      </c>
      <c r="BO2" t="s">
        <v>572</v>
      </c>
      <c r="BP2" t="s">
        <v>572</v>
      </c>
      <c r="BQ2" t="s">
        <v>572</v>
      </c>
      <c r="BR2" t="s">
        <v>572</v>
      </c>
      <c r="BS2" t="s">
        <v>572</v>
      </c>
      <c r="BT2" t="s">
        <v>572</v>
      </c>
      <c r="BU2" t="s">
        <v>572</v>
      </c>
      <c r="BV2" t="s">
        <v>572</v>
      </c>
      <c r="BW2" t="s">
        <v>572</v>
      </c>
      <c r="BX2" t="s">
        <v>572</v>
      </c>
      <c r="BY2" t="s">
        <v>572</v>
      </c>
      <c r="BZ2" t="s">
        <v>572</v>
      </c>
      <c r="CA2" t="s">
        <v>572</v>
      </c>
      <c r="CB2" t="s">
        <v>572</v>
      </c>
      <c r="CC2" t="s">
        <v>572</v>
      </c>
      <c r="CD2" t="s">
        <v>572</v>
      </c>
      <c r="CE2" t="s">
        <v>572</v>
      </c>
      <c r="CF2" t="s">
        <v>572</v>
      </c>
      <c r="CG2" t="s">
        <v>572</v>
      </c>
      <c r="CH2" t="s">
        <v>572</v>
      </c>
      <c r="CI2" t="s">
        <v>572</v>
      </c>
      <c r="CJ2" t="s">
        <v>572</v>
      </c>
      <c r="CK2" t="s">
        <v>572</v>
      </c>
      <c r="CL2" t="s">
        <v>572</v>
      </c>
      <c r="CM2" t="s">
        <v>572</v>
      </c>
      <c r="CN2" t="s">
        <v>572</v>
      </c>
      <c r="CO2" t="s">
        <v>572</v>
      </c>
      <c r="CP2" t="s">
        <v>572</v>
      </c>
      <c r="CQ2" t="s">
        <v>572</v>
      </c>
      <c r="CR2" t="s">
        <v>572</v>
      </c>
      <c r="CS2" t="s">
        <v>572</v>
      </c>
      <c r="CT2" t="s">
        <v>572</v>
      </c>
      <c r="CU2" t="s">
        <v>572</v>
      </c>
      <c r="CV2" t="s">
        <v>572</v>
      </c>
      <c r="CW2" t="s">
        <v>572</v>
      </c>
      <c r="CX2" t="s">
        <v>572</v>
      </c>
      <c r="CY2" t="s">
        <v>572</v>
      </c>
      <c r="CZ2" t="s">
        <v>572</v>
      </c>
      <c r="DA2" t="s">
        <v>572</v>
      </c>
      <c r="DB2" t="s">
        <v>572</v>
      </c>
      <c r="DC2" t="s">
        <v>572</v>
      </c>
      <c r="DD2" t="s">
        <v>572</v>
      </c>
      <c r="DE2" t="s">
        <v>572</v>
      </c>
      <c r="DF2" t="s">
        <v>572</v>
      </c>
      <c r="DG2" t="s">
        <v>572</v>
      </c>
      <c r="DH2" t="s">
        <v>572</v>
      </c>
      <c r="DI2" t="s">
        <v>572</v>
      </c>
      <c r="DJ2" t="s">
        <v>572</v>
      </c>
      <c r="DK2" t="s">
        <v>572</v>
      </c>
    </row>
    <row r="3" spans="1:137">
      <c r="A3" t="s">
        <v>585</v>
      </c>
      <c r="B3">
        <v>20141231</v>
      </c>
      <c r="C3">
        <v>1562859</v>
      </c>
      <c r="D3">
        <v>151828000</v>
      </c>
      <c r="E3">
        <v>0</v>
      </c>
      <c r="F3">
        <v>0</v>
      </c>
      <c r="G3">
        <v>0</v>
      </c>
      <c r="H3">
        <v>0</v>
      </c>
      <c r="I3">
        <v>88000</v>
      </c>
      <c r="J3">
        <v>68000</v>
      </c>
      <c r="K3">
        <v>223000</v>
      </c>
      <c r="L3">
        <v>0</v>
      </c>
      <c r="M3">
        <v>0</v>
      </c>
      <c r="N3">
        <v>13326000</v>
      </c>
      <c r="O3">
        <v>0</v>
      </c>
      <c r="P3">
        <v>13326000</v>
      </c>
      <c r="Q3">
        <v>150000</v>
      </c>
      <c r="R3">
        <v>1617000</v>
      </c>
      <c r="S3">
        <v>375000</v>
      </c>
      <c r="T3">
        <v>3697600</v>
      </c>
      <c r="U3">
        <v>1247000</v>
      </c>
      <c r="V3">
        <v>154346600</v>
      </c>
      <c r="W3">
        <v>3937000</v>
      </c>
      <c r="X3">
        <v>0</v>
      </c>
      <c r="Y3">
        <v>136000</v>
      </c>
      <c r="Z3">
        <v>197000</v>
      </c>
      <c r="AA3">
        <v>74000</v>
      </c>
      <c r="AB3">
        <v>0</v>
      </c>
      <c r="AC3">
        <v>203000</v>
      </c>
      <c r="AD3">
        <v>110000</v>
      </c>
      <c r="AE3">
        <v>0</v>
      </c>
      <c r="AF3">
        <v>786000</v>
      </c>
      <c r="AG3">
        <v>86000</v>
      </c>
      <c r="AH3">
        <v>90000</v>
      </c>
      <c r="AI3" t="s">
        <v>625</v>
      </c>
      <c r="AJ3">
        <v>5416000</v>
      </c>
      <c r="AK3">
        <v>0</v>
      </c>
      <c r="AL3">
        <v>9905000</v>
      </c>
      <c r="AM3">
        <v>3675000</v>
      </c>
      <c r="AN3">
        <v>0</v>
      </c>
      <c r="AO3">
        <v>87000</v>
      </c>
      <c r="AP3">
        <v>129000</v>
      </c>
      <c r="AQ3" t="s">
        <v>625</v>
      </c>
      <c r="AR3">
        <v>13796000</v>
      </c>
      <c r="AS3">
        <v>47093000</v>
      </c>
      <c r="AT3">
        <v>22830000</v>
      </c>
      <c r="AU3">
        <v>2923000</v>
      </c>
      <c r="AV3">
        <v>0</v>
      </c>
      <c r="AW3">
        <v>31069000</v>
      </c>
      <c r="AX3">
        <v>11340000</v>
      </c>
      <c r="AY3">
        <v>116354000</v>
      </c>
      <c r="AZ3">
        <v>0</v>
      </c>
      <c r="BA3">
        <v>0</v>
      </c>
      <c r="BB3">
        <v>54000</v>
      </c>
      <c r="BC3">
        <v>0</v>
      </c>
      <c r="BD3">
        <v>0</v>
      </c>
      <c r="BE3">
        <v>86000</v>
      </c>
      <c r="BF3">
        <v>1000</v>
      </c>
      <c r="BG3">
        <v>0</v>
      </c>
      <c r="BH3">
        <v>0</v>
      </c>
      <c r="BI3">
        <v>0</v>
      </c>
      <c r="BJ3">
        <v>0</v>
      </c>
      <c r="BK3">
        <v>118249000</v>
      </c>
      <c r="BL3">
        <v>1000</v>
      </c>
      <c r="BM3">
        <v>118390000</v>
      </c>
      <c r="BN3">
        <v>0</v>
      </c>
      <c r="BO3">
        <v>0</v>
      </c>
      <c r="BP3">
        <v>0</v>
      </c>
      <c r="BQ3">
        <v>0</v>
      </c>
      <c r="BR3">
        <v>6605000</v>
      </c>
      <c r="BS3">
        <v>55708000</v>
      </c>
      <c r="BT3">
        <v>62313000</v>
      </c>
      <c r="BU3">
        <v>0</v>
      </c>
      <c r="BV3" t="s">
        <v>625</v>
      </c>
      <c r="BW3">
        <v>18107000</v>
      </c>
      <c r="BX3">
        <v>18107000</v>
      </c>
      <c r="BY3" t="s">
        <v>625</v>
      </c>
      <c r="BZ3" t="s">
        <v>625</v>
      </c>
      <c r="CA3" t="s">
        <v>625</v>
      </c>
      <c r="CB3" t="s">
        <v>625</v>
      </c>
      <c r="CC3" t="s">
        <v>625</v>
      </c>
      <c r="CD3" t="s">
        <v>625</v>
      </c>
      <c r="CE3" t="s">
        <v>625</v>
      </c>
      <c r="CF3">
        <v>0</v>
      </c>
      <c r="CG3">
        <v>50000</v>
      </c>
      <c r="CH3">
        <v>1843000</v>
      </c>
      <c r="CI3">
        <v>1953000</v>
      </c>
      <c r="CJ3">
        <v>1625000</v>
      </c>
      <c r="CK3">
        <v>1294000</v>
      </c>
      <c r="CL3">
        <v>1622000</v>
      </c>
      <c r="CM3">
        <v>136428000</v>
      </c>
      <c r="CN3">
        <v>47998000</v>
      </c>
      <c r="CO3">
        <v>7316000</v>
      </c>
      <c r="CP3">
        <v>62000</v>
      </c>
      <c r="CQ3">
        <v>10099000</v>
      </c>
      <c r="CR3">
        <v>12095000</v>
      </c>
      <c r="CS3">
        <v>0</v>
      </c>
      <c r="CT3">
        <v>774000</v>
      </c>
      <c r="CU3">
        <v>195000</v>
      </c>
      <c r="CV3">
        <v>192000</v>
      </c>
      <c r="CW3">
        <v>0</v>
      </c>
      <c r="CX3">
        <v>18</v>
      </c>
      <c r="CY3" t="s">
        <v>626</v>
      </c>
      <c r="CZ3" s="62">
        <v>42069</v>
      </c>
      <c r="DA3" t="s">
        <v>627</v>
      </c>
      <c r="DB3" t="s">
        <v>628</v>
      </c>
      <c r="DC3" t="s">
        <v>629</v>
      </c>
      <c r="DD3" t="s">
        <v>630</v>
      </c>
      <c r="DE3">
        <v>151896000</v>
      </c>
      <c r="DF3">
        <v>0</v>
      </c>
      <c r="DG3">
        <v>0</v>
      </c>
      <c r="DH3">
        <v>1099000</v>
      </c>
      <c r="DI3">
        <v>2542000</v>
      </c>
      <c r="DJ3">
        <v>6476000</v>
      </c>
      <c r="DK3">
        <v>9089000</v>
      </c>
    </row>
    <row r="4" spans="1:137">
      <c r="A4" t="s">
        <v>586</v>
      </c>
      <c r="B4">
        <v>20141231</v>
      </c>
      <c r="C4">
        <v>1275216</v>
      </c>
      <c r="D4">
        <v>159103000</v>
      </c>
      <c r="E4">
        <v>204000</v>
      </c>
      <c r="F4">
        <v>204000</v>
      </c>
      <c r="G4">
        <v>0</v>
      </c>
      <c r="H4">
        <v>0</v>
      </c>
      <c r="I4">
        <v>711000</v>
      </c>
      <c r="J4">
        <v>164000</v>
      </c>
      <c r="K4">
        <v>378000</v>
      </c>
      <c r="L4">
        <v>0</v>
      </c>
      <c r="M4">
        <v>0</v>
      </c>
      <c r="N4">
        <v>278071000</v>
      </c>
      <c r="O4">
        <v>275442000</v>
      </c>
      <c r="P4">
        <v>2629000</v>
      </c>
      <c r="Q4">
        <v>187000</v>
      </c>
      <c r="R4">
        <v>118000</v>
      </c>
      <c r="S4">
        <v>0</v>
      </c>
      <c r="T4">
        <v>28490100</v>
      </c>
      <c r="U4">
        <v>2780000</v>
      </c>
      <c r="V4">
        <v>184977100</v>
      </c>
      <c r="W4">
        <v>6478000</v>
      </c>
      <c r="X4">
        <v>729000</v>
      </c>
      <c r="Y4">
        <v>0</v>
      </c>
      <c r="Z4">
        <v>39000</v>
      </c>
      <c r="AA4">
        <v>0</v>
      </c>
      <c r="AB4">
        <v>0</v>
      </c>
      <c r="AC4">
        <v>77000</v>
      </c>
      <c r="AD4">
        <v>1000</v>
      </c>
      <c r="AE4">
        <v>0</v>
      </c>
      <c r="AF4">
        <v>0</v>
      </c>
      <c r="AG4">
        <v>711000</v>
      </c>
      <c r="AH4">
        <v>285000</v>
      </c>
      <c r="AI4" t="s">
        <v>625</v>
      </c>
      <c r="AJ4">
        <v>8243000</v>
      </c>
      <c r="AK4">
        <v>53000</v>
      </c>
      <c r="AL4">
        <v>1000</v>
      </c>
      <c r="AM4">
        <v>5609000</v>
      </c>
      <c r="AN4">
        <v>0</v>
      </c>
      <c r="AO4">
        <v>38000</v>
      </c>
      <c r="AP4">
        <v>93000</v>
      </c>
      <c r="AQ4" t="s">
        <v>625</v>
      </c>
      <c r="AR4">
        <v>5794000</v>
      </c>
      <c r="AS4">
        <v>18672000</v>
      </c>
      <c r="AT4">
        <v>37066000</v>
      </c>
      <c r="AU4">
        <v>2225000</v>
      </c>
      <c r="AV4">
        <v>769000</v>
      </c>
      <c r="AW4">
        <v>8193000</v>
      </c>
      <c r="AX4">
        <v>95160000</v>
      </c>
      <c r="AY4">
        <v>162085000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140455000</v>
      </c>
      <c r="BL4">
        <v>1617000</v>
      </c>
      <c r="BM4">
        <v>140455000</v>
      </c>
      <c r="BN4">
        <v>0</v>
      </c>
      <c r="BO4">
        <v>0</v>
      </c>
      <c r="BP4">
        <v>0</v>
      </c>
      <c r="BQ4">
        <v>0</v>
      </c>
      <c r="BR4">
        <v>7500000</v>
      </c>
      <c r="BS4">
        <v>40144000</v>
      </c>
      <c r="BT4">
        <v>47644000</v>
      </c>
      <c r="BU4">
        <v>0</v>
      </c>
      <c r="BV4" t="s">
        <v>625</v>
      </c>
      <c r="BW4">
        <v>4901000</v>
      </c>
      <c r="BX4">
        <v>4901000</v>
      </c>
      <c r="BY4" t="s">
        <v>625</v>
      </c>
      <c r="BZ4" t="s">
        <v>625</v>
      </c>
      <c r="CA4" t="s">
        <v>625</v>
      </c>
      <c r="CB4" t="s">
        <v>625</v>
      </c>
      <c r="CC4" t="s">
        <v>625</v>
      </c>
      <c r="CD4" t="s">
        <v>625</v>
      </c>
      <c r="CE4" t="s">
        <v>625</v>
      </c>
      <c r="CF4">
        <v>0</v>
      </c>
      <c r="CG4">
        <v>0</v>
      </c>
      <c r="CH4">
        <v>27728000</v>
      </c>
      <c r="CI4">
        <v>21113000</v>
      </c>
      <c r="CJ4">
        <v>12529000</v>
      </c>
      <c r="CK4">
        <v>8957000</v>
      </c>
      <c r="CL4">
        <v>17541000</v>
      </c>
      <c r="CM4">
        <v>138422000</v>
      </c>
      <c r="CN4">
        <v>47790000</v>
      </c>
      <c r="CO4">
        <v>34211000</v>
      </c>
      <c r="CP4">
        <v>9574000</v>
      </c>
      <c r="CQ4">
        <v>35918000</v>
      </c>
      <c r="CR4">
        <v>100300000</v>
      </c>
      <c r="CS4">
        <v>204000</v>
      </c>
      <c r="CT4">
        <v>0</v>
      </c>
      <c r="CU4">
        <v>991000</v>
      </c>
      <c r="CV4">
        <v>164000</v>
      </c>
      <c r="CW4">
        <v>457000</v>
      </c>
      <c r="CX4">
        <v>44</v>
      </c>
      <c r="CY4" t="s">
        <v>631</v>
      </c>
      <c r="CZ4" s="62">
        <v>42068</v>
      </c>
      <c r="DA4" t="s">
        <v>632</v>
      </c>
      <c r="DB4" t="s">
        <v>633</v>
      </c>
      <c r="DC4" t="s">
        <v>634</v>
      </c>
      <c r="DD4" t="s">
        <v>635</v>
      </c>
      <c r="DE4">
        <v>159267000</v>
      </c>
      <c r="DF4">
        <v>0</v>
      </c>
      <c r="DG4">
        <v>0</v>
      </c>
      <c r="DH4">
        <v>0</v>
      </c>
      <c r="DI4">
        <v>1154000</v>
      </c>
      <c r="DJ4">
        <v>14000</v>
      </c>
      <c r="DK4">
        <v>3733000</v>
      </c>
    </row>
    <row r="5" spans="1:137">
      <c r="A5" t="s">
        <v>587</v>
      </c>
      <c r="B5">
        <v>20141231</v>
      </c>
      <c r="C5">
        <v>1025608</v>
      </c>
      <c r="D5">
        <v>89766710</v>
      </c>
      <c r="E5">
        <v>0</v>
      </c>
      <c r="F5">
        <v>0</v>
      </c>
      <c r="G5">
        <v>0</v>
      </c>
      <c r="H5">
        <v>0</v>
      </c>
      <c r="I5">
        <v>312877</v>
      </c>
      <c r="J5">
        <v>68852</v>
      </c>
      <c r="K5">
        <v>299828</v>
      </c>
      <c r="L5">
        <v>0</v>
      </c>
      <c r="M5">
        <v>0</v>
      </c>
      <c r="N5">
        <v>2814102</v>
      </c>
      <c r="O5">
        <v>2257318</v>
      </c>
      <c r="P5">
        <v>556784</v>
      </c>
      <c r="Q5">
        <v>3533352</v>
      </c>
      <c r="R5">
        <v>17452089</v>
      </c>
      <c r="S5">
        <v>527473</v>
      </c>
      <c r="T5">
        <v>22094152</v>
      </c>
      <c r="U5">
        <v>5240</v>
      </c>
      <c r="V5">
        <v>111924474</v>
      </c>
      <c r="W5">
        <v>737862</v>
      </c>
      <c r="X5">
        <v>55891</v>
      </c>
      <c r="Y5">
        <v>0</v>
      </c>
      <c r="Z5">
        <v>197507</v>
      </c>
      <c r="AA5">
        <v>0</v>
      </c>
      <c r="AB5">
        <v>0</v>
      </c>
      <c r="AC5">
        <v>0</v>
      </c>
      <c r="AD5">
        <v>281221</v>
      </c>
      <c r="AE5">
        <v>0</v>
      </c>
      <c r="AF5">
        <v>0</v>
      </c>
      <c r="AG5">
        <v>11583</v>
      </c>
      <c r="AH5">
        <v>11699</v>
      </c>
      <c r="AI5" t="s">
        <v>625</v>
      </c>
      <c r="AJ5">
        <v>1295763</v>
      </c>
      <c r="AK5">
        <v>1072800</v>
      </c>
      <c r="AL5">
        <v>1566356</v>
      </c>
      <c r="AM5">
        <v>5378547</v>
      </c>
      <c r="AN5">
        <v>0</v>
      </c>
      <c r="AO5">
        <v>201899</v>
      </c>
      <c r="AP5">
        <v>32988</v>
      </c>
      <c r="AQ5" t="s">
        <v>625</v>
      </c>
      <c r="AR5">
        <v>8252590</v>
      </c>
      <c r="AS5">
        <v>0</v>
      </c>
      <c r="AT5">
        <v>197439</v>
      </c>
      <c r="AU5">
        <v>100000</v>
      </c>
      <c r="AV5">
        <v>0</v>
      </c>
      <c r="AW5">
        <v>11729578</v>
      </c>
      <c r="AX5">
        <v>0</v>
      </c>
      <c r="AY5">
        <v>12027017</v>
      </c>
      <c r="AZ5">
        <v>17030</v>
      </c>
      <c r="BA5">
        <v>0</v>
      </c>
      <c r="BB5">
        <v>95551</v>
      </c>
      <c r="BC5">
        <v>15093</v>
      </c>
      <c r="BD5">
        <v>0</v>
      </c>
      <c r="BE5">
        <v>471439</v>
      </c>
      <c r="BF5">
        <v>86632</v>
      </c>
      <c r="BG5">
        <v>9494</v>
      </c>
      <c r="BH5">
        <v>3269</v>
      </c>
      <c r="BI5">
        <v>416506</v>
      </c>
      <c r="BJ5">
        <v>2451</v>
      </c>
      <c r="BK5">
        <v>484562637</v>
      </c>
      <c r="BL5">
        <v>49068</v>
      </c>
      <c r="BM5">
        <v>485680102</v>
      </c>
      <c r="BN5">
        <v>2798946</v>
      </c>
      <c r="BO5">
        <v>0</v>
      </c>
      <c r="BP5">
        <v>0</v>
      </c>
      <c r="BQ5">
        <v>0</v>
      </c>
      <c r="BR5">
        <v>1199734</v>
      </c>
      <c r="BS5">
        <v>17011360</v>
      </c>
      <c r="BT5">
        <v>18211094</v>
      </c>
      <c r="BU5">
        <v>6499</v>
      </c>
      <c r="BV5" t="s">
        <v>625</v>
      </c>
      <c r="BW5">
        <v>14225697</v>
      </c>
      <c r="BX5">
        <v>14232196</v>
      </c>
      <c r="BY5" t="s">
        <v>625</v>
      </c>
      <c r="BZ5" t="s">
        <v>625</v>
      </c>
      <c r="CA5" t="s">
        <v>625</v>
      </c>
      <c r="CB5" t="s">
        <v>625</v>
      </c>
      <c r="CC5" t="s">
        <v>625</v>
      </c>
      <c r="CD5" t="s">
        <v>625</v>
      </c>
      <c r="CE5" t="s">
        <v>625</v>
      </c>
      <c r="CF5">
        <v>0</v>
      </c>
      <c r="CG5">
        <v>104505</v>
      </c>
      <c r="CH5">
        <v>726000</v>
      </c>
      <c r="CI5">
        <v>2532149</v>
      </c>
      <c r="CJ5">
        <v>984011</v>
      </c>
      <c r="CK5">
        <v>0</v>
      </c>
      <c r="CL5">
        <v>1548138</v>
      </c>
      <c r="CM5">
        <v>77205855</v>
      </c>
      <c r="CN5">
        <v>34830499</v>
      </c>
      <c r="CO5">
        <v>2935089</v>
      </c>
      <c r="CP5">
        <v>-400</v>
      </c>
      <c r="CQ5">
        <v>3245927</v>
      </c>
      <c r="CR5">
        <v>0</v>
      </c>
      <c r="CS5">
        <v>0</v>
      </c>
      <c r="CT5">
        <v>0</v>
      </c>
      <c r="CU5">
        <v>312877</v>
      </c>
      <c r="CV5">
        <v>317593</v>
      </c>
      <c r="CW5">
        <v>20708</v>
      </c>
      <c r="CX5">
        <v>2</v>
      </c>
      <c r="CY5" t="s">
        <v>636</v>
      </c>
      <c r="CZ5" s="62">
        <v>42069</v>
      </c>
      <c r="DA5" t="s">
        <v>637</v>
      </c>
      <c r="DB5" t="s">
        <v>638</v>
      </c>
      <c r="DC5" t="s">
        <v>639</v>
      </c>
      <c r="DD5" t="s">
        <v>640</v>
      </c>
      <c r="DE5">
        <v>89835562</v>
      </c>
      <c r="DF5">
        <v>0</v>
      </c>
      <c r="DG5">
        <v>0</v>
      </c>
      <c r="DH5">
        <v>0</v>
      </c>
      <c r="DI5">
        <v>5645617</v>
      </c>
      <c r="DJ5">
        <v>1411306</v>
      </c>
      <c r="DK5">
        <v>7175273</v>
      </c>
    </row>
    <row r="6" spans="1:137">
      <c r="A6" t="s">
        <v>588</v>
      </c>
      <c r="B6">
        <v>20141231</v>
      </c>
      <c r="C6">
        <v>1073757</v>
      </c>
      <c r="D6">
        <v>2106796000</v>
      </c>
      <c r="E6">
        <v>191823000</v>
      </c>
      <c r="F6">
        <v>316566689</v>
      </c>
      <c r="G6">
        <v>101241351</v>
      </c>
      <c r="H6">
        <v>0</v>
      </c>
      <c r="I6">
        <v>50645000</v>
      </c>
      <c r="J6">
        <v>48509000</v>
      </c>
      <c r="K6">
        <v>243008377</v>
      </c>
      <c r="L6">
        <v>1134732000</v>
      </c>
      <c r="M6">
        <v>118399403</v>
      </c>
      <c r="N6">
        <v>435912765</v>
      </c>
      <c r="O6">
        <v>367389930</v>
      </c>
      <c r="P6">
        <v>68064580</v>
      </c>
      <c r="Q6">
        <v>37043387</v>
      </c>
      <c r="R6">
        <v>300330158</v>
      </c>
      <c r="S6">
        <v>45512320</v>
      </c>
      <c r="T6">
        <v>717245715</v>
      </c>
      <c r="U6">
        <v>85807094</v>
      </c>
      <c r="V6">
        <v>2810245959</v>
      </c>
      <c r="W6">
        <v>54187000</v>
      </c>
      <c r="X6">
        <v>38347492</v>
      </c>
      <c r="Y6">
        <v>828389</v>
      </c>
      <c r="Z6">
        <v>7303335</v>
      </c>
      <c r="AA6">
        <v>677471</v>
      </c>
      <c r="AB6">
        <v>1408204</v>
      </c>
      <c r="AC6">
        <v>4606104</v>
      </c>
      <c r="AD6">
        <v>13794495</v>
      </c>
      <c r="AE6">
        <v>3954070</v>
      </c>
      <c r="AF6">
        <v>30241571</v>
      </c>
      <c r="AG6">
        <v>31630921</v>
      </c>
      <c r="AH6">
        <v>130899626</v>
      </c>
      <c r="AI6" t="s">
        <v>625</v>
      </c>
      <c r="AJ6">
        <v>305364434</v>
      </c>
      <c r="AK6">
        <v>17955509</v>
      </c>
      <c r="AL6">
        <v>20063806</v>
      </c>
      <c r="AM6">
        <v>0</v>
      </c>
      <c r="AN6">
        <v>83105067</v>
      </c>
      <c r="AO6">
        <v>36075503</v>
      </c>
      <c r="AP6">
        <v>70379768</v>
      </c>
      <c r="AQ6" t="s">
        <v>625</v>
      </c>
      <c r="AR6">
        <v>227579653</v>
      </c>
      <c r="AS6">
        <v>26650660</v>
      </c>
      <c r="AT6">
        <v>173381934</v>
      </c>
      <c r="AU6">
        <v>42787000</v>
      </c>
      <c r="AV6">
        <v>50000</v>
      </c>
      <c r="AW6">
        <v>51805337</v>
      </c>
      <c r="AX6">
        <v>188140945</v>
      </c>
      <c r="AY6">
        <v>499710859</v>
      </c>
      <c r="AZ6">
        <v>708696167</v>
      </c>
      <c r="BA6">
        <v>32687788</v>
      </c>
      <c r="BB6">
        <v>908604432</v>
      </c>
      <c r="BC6">
        <v>360157306</v>
      </c>
      <c r="BD6">
        <v>722906472</v>
      </c>
      <c r="BE6">
        <v>5291263340</v>
      </c>
      <c r="BF6">
        <v>1886622234</v>
      </c>
      <c r="BG6">
        <v>250243296</v>
      </c>
      <c r="BH6">
        <v>39208199</v>
      </c>
      <c r="BI6">
        <v>858818825</v>
      </c>
      <c r="BJ6">
        <v>97332446</v>
      </c>
      <c r="BK6">
        <v>82027839916</v>
      </c>
      <c r="BL6">
        <v>887920242</v>
      </c>
      <c r="BM6">
        <v>93184380421</v>
      </c>
      <c r="BN6">
        <v>139555000</v>
      </c>
      <c r="BO6">
        <v>61483170</v>
      </c>
      <c r="BP6">
        <v>384428300</v>
      </c>
      <c r="BQ6">
        <v>445911470</v>
      </c>
      <c r="BR6">
        <v>31240738778</v>
      </c>
      <c r="BS6">
        <v>20793420732</v>
      </c>
      <c r="BT6">
        <v>52034159510</v>
      </c>
      <c r="BU6">
        <v>296944398</v>
      </c>
      <c r="BV6" t="s">
        <v>625</v>
      </c>
      <c r="BW6">
        <v>286033000</v>
      </c>
      <c r="BX6">
        <v>582977398</v>
      </c>
      <c r="BY6" t="s">
        <v>625</v>
      </c>
      <c r="BZ6" t="s">
        <v>625</v>
      </c>
      <c r="CA6" t="s">
        <v>625</v>
      </c>
      <c r="CB6" t="s">
        <v>625</v>
      </c>
      <c r="CC6" t="s">
        <v>625</v>
      </c>
      <c r="CD6" t="s">
        <v>625</v>
      </c>
      <c r="CE6" t="s">
        <v>625</v>
      </c>
      <c r="CF6">
        <v>59766000</v>
      </c>
      <c r="CG6">
        <v>22265000</v>
      </c>
      <c r="CH6">
        <v>350009000</v>
      </c>
      <c r="CI6">
        <v>304213000</v>
      </c>
      <c r="CJ6">
        <v>100418000</v>
      </c>
      <c r="CK6">
        <v>74871000</v>
      </c>
      <c r="CL6">
        <v>278666000</v>
      </c>
      <c r="CM6">
        <v>1863308000</v>
      </c>
      <c r="CN6">
        <v>801959000</v>
      </c>
      <c r="CO6">
        <v>83927000</v>
      </c>
      <c r="CP6">
        <v>11287000</v>
      </c>
      <c r="CQ6">
        <v>94861000</v>
      </c>
      <c r="CR6">
        <v>190664883</v>
      </c>
      <c r="CS6">
        <v>1076879521</v>
      </c>
      <c r="CT6">
        <v>1178494107</v>
      </c>
      <c r="CU6">
        <v>998524000</v>
      </c>
      <c r="CV6">
        <v>993249000</v>
      </c>
      <c r="CW6">
        <v>0</v>
      </c>
      <c r="CX6">
        <v>47</v>
      </c>
      <c r="CY6" t="s">
        <v>641</v>
      </c>
      <c r="CZ6" s="62">
        <v>42068</v>
      </c>
      <c r="DA6" t="s">
        <v>642</v>
      </c>
      <c r="DB6" t="s">
        <v>643</v>
      </c>
      <c r="DC6" t="s">
        <v>644</v>
      </c>
      <c r="DD6" t="s">
        <v>645</v>
      </c>
      <c r="DE6">
        <v>2178807338</v>
      </c>
      <c r="DF6">
        <v>47347767</v>
      </c>
      <c r="DG6">
        <v>149125832</v>
      </c>
      <c r="DH6">
        <v>16894983</v>
      </c>
      <c r="DI6">
        <v>200845043</v>
      </c>
      <c r="DJ6">
        <v>152537785</v>
      </c>
      <c r="DK6">
        <v>229594570</v>
      </c>
    </row>
    <row r="7" spans="1:137">
      <c r="A7" t="s">
        <v>589</v>
      </c>
      <c r="B7">
        <v>20141231</v>
      </c>
      <c r="C7">
        <v>3587146</v>
      </c>
      <c r="D7">
        <v>385303000</v>
      </c>
      <c r="E7">
        <v>20232000</v>
      </c>
      <c r="F7">
        <v>20716000</v>
      </c>
      <c r="G7">
        <v>0</v>
      </c>
      <c r="H7">
        <v>72000</v>
      </c>
      <c r="I7">
        <v>6311000</v>
      </c>
      <c r="J7">
        <v>1589000</v>
      </c>
      <c r="K7">
        <v>9755000</v>
      </c>
      <c r="L7">
        <v>0</v>
      </c>
      <c r="M7">
        <v>0</v>
      </c>
      <c r="N7">
        <v>12128000</v>
      </c>
      <c r="O7">
        <v>0</v>
      </c>
      <c r="P7">
        <v>12128000</v>
      </c>
      <c r="Q7">
        <v>8637000</v>
      </c>
      <c r="R7">
        <v>25038000</v>
      </c>
      <c r="S7">
        <v>6560000</v>
      </c>
      <c r="T7">
        <v>51202800</v>
      </c>
      <c r="U7">
        <v>19947000</v>
      </c>
      <c r="V7">
        <v>418631800</v>
      </c>
      <c r="W7">
        <v>34331000</v>
      </c>
      <c r="X7">
        <v>12600000</v>
      </c>
      <c r="Y7">
        <v>2868000</v>
      </c>
      <c r="Z7">
        <v>67000</v>
      </c>
      <c r="AA7">
        <v>0</v>
      </c>
      <c r="AB7">
        <v>1550000</v>
      </c>
      <c r="AC7">
        <v>498000</v>
      </c>
      <c r="AD7">
        <v>0</v>
      </c>
      <c r="AE7">
        <v>0</v>
      </c>
      <c r="AF7">
        <v>0</v>
      </c>
      <c r="AG7">
        <v>5364000</v>
      </c>
      <c r="AH7">
        <v>2666000</v>
      </c>
      <c r="AI7" t="s">
        <v>625</v>
      </c>
      <c r="AJ7">
        <v>59446000</v>
      </c>
      <c r="AK7">
        <v>33553000</v>
      </c>
      <c r="AL7">
        <v>188559000</v>
      </c>
      <c r="AM7">
        <v>0</v>
      </c>
      <c r="AN7">
        <v>17108000</v>
      </c>
      <c r="AO7">
        <v>6440000</v>
      </c>
      <c r="AP7">
        <v>2892000</v>
      </c>
      <c r="AQ7" t="s">
        <v>625</v>
      </c>
      <c r="AR7">
        <v>248552000</v>
      </c>
      <c r="AS7">
        <v>0</v>
      </c>
      <c r="AT7">
        <v>18300000</v>
      </c>
      <c r="AU7">
        <v>1558000</v>
      </c>
      <c r="AV7">
        <v>0</v>
      </c>
      <c r="AW7">
        <v>91000</v>
      </c>
      <c r="AX7">
        <v>45367000</v>
      </c>
      <c r="AY7">
        <v>66878000</v>
      </c>
      <c r="AZ7">
        <v>370240000</v>
      </c>
      <c r="BA7">
        <v>7227000</v>
      </c>
      <c r="BB7">
        <v>136506000</v>
      </c>
      <c r="BC7">
        <v>66318000</v>
      </c>
      <c r="BD7">
        <v>575621000</v>
      </c>
      <c r="BE7">
        <v>5426669000</v>
      </c>
      <c r="BF7">
        <v>4329076000</v>
      </c>
      <c r="BG7">
        <v>436773000</v>
      </c>
      <c r="BH7">
        <v>233000</v>
      </c>
      <c r="BI7">
        <v>1418061000</v>
      </c>
      <c r="BJ7">
        <v>52736000</v>
      </c>
      <c r="BK7">
        <v>205749931000</v>
      </c>
      <c r="BL7">
        <v>518287000</v>
      </c>
      <c r="BM7">
        <v>218569391000</v>
      </c>
      <c r="BN7">
        <v>24632807000</v>
      </c>
      <c r="BO7">
        <v>162000</v>
      </c>
      <c r="BP7">
        <v>4742000</v>
      </c>
      <c r="BQ7">
        <v>4904000</v>
      </c>
      <c r="BR7">
        <v>275103000</v>
      </c>
      <c r="BS7">
        <v>911835000</v>
      </c>
      <c r="BT7">
        <v>1186938000</v>
      </c>
      <c r="BU7">
        <v>5174000</v>
      </c>
      <c r="BV7" t="s">
        <v>625</v>
      </c>
      <c r="BW7">
        <v>98330000</v>
      </c>
      <c r="BX7">
        <v>103504000</v>
      </c>
      <c r="BY7" t="s">
        <v>625</v>
      </c>
      <c r="BZ7" t="s">
        <v>625</v>
      </c>
      <c r="CA7" t="s">
        <v>625</v>
      </c>
      <c r="CB7" t="s">
        <v>625</v>
      </c>
      <c r="CC7" t="s">
        <v>625</v>
      </c>
      <c r="CD7" t="s">
        <v>625</v>
      </c>
      <c r="CE7" t="s">
        <v>625</v>
      </c>
      <c r="CF7">
        <v>20933000</v>
      </c>
      <c r="CG7">
        <v>90000</v>
      </c>
      <c r="CH7">
        <v>94164000</v>
      </c>
      <c r="CI7">
        <v>212687000</v>
      </c>
      <c r="CJ7">
        <v>62595000</v>
      </c>
      <c r="CK7">
        <v>23585000</v>
      </c>
      <c r="CL7">
        <v>173677000</v>
      </c>
      <c r="CM7">
        <v>346600000</v>
      </c>
      <c r="CN7">
        <v>15226000</v>
      </c>
      <c r="CO7">
        <v>15645000</v>
      </c>
      <c r="CP7">
        <v>5959000</v>
      </c>
      <c r="CQ7">
        <v>15999000</v>
      </c>
      <c r="CR7">
        <v>46437000</v>
      </c>
      <c r="CS7">
        <v>32397000</v>
      </c>
      <c r="CT7">
        <v>32750000</v>
      </c>
      <c r="CU7">
        <v>24474000</v>
      </c>
      <c r="CV7">
        <v>24615000</v>
      </c>
      <c r="CW7">
        <v>0</v>
      </c>
      <c r="CX7">
        <v>35</v>
      </c>
      <c r="CY7" t="s">
        <v>646</v>
      </c>
      <c r="CZ7" s="62">
        <v>42069</v>
      </c>
      <c r="DA7" t="s">
        <v>647</v>
      </c>
      <c r="DB7" t="s">
        <v>648</v>
      </c>
      <c r="DC7" t="s">
        <v>649</v>
      </c>
      <c r="DD7" t="s">
        <v>650</v>
      </c>
      <c r="DE7">
        <v>387376000</v>
      </c>
      <c r="DF7">
        <v>0</v>
      </c>
      <c r="DG7">
        <v>0</v>
      </c>
      <c r="DH7">
        <v>1562000</v>
      </c>
      <c r="DI7">
        <v>41311000</v>
      </c>
      <c r="DJ7">
        <v>37162000</v>
      </c>
      <c r="DK7">
        <v>25031000</v>
      </c>
    </row>
    <row r="8" spans="1:137">
      <c r="A8" t="s">
        <v>590</v>
      </c>
      <c r="B8">
        <v>20141231</v>
      </c>
      <c r="C8">
        <v>1074156</v>
      </c>
      <c r="D8">
        <v>186813987</v>
      </c>
      <c r="E8">
        <v>156707</v>
      </c>
      <c r="F8">
        <v>156765</v>
      </c>
      <c r="G8">
        <v>0</v>
      </c>
      <c r="H8">
        <v>0</v>
      </c>
      <c r="I8">
        <v>1122251</v>
      </c>
      <c r="J8">
        <v>0</v>
      </c>
      <c r="K8">
        <v>520762</v>
      </c>
      <c r="L8">
        <v>0</v>
      </c>
      <c r="M8">
        <v>0</v>
      </c>
      <c r="N8">
        <v>18651548</v>
      </c>
      <c r="O8">
        <v>8511146</v>
      </c>
      <c r="P8">
        <v>10140402</v>
      </c>
      <c r="Q8">
        <v>3867542</v>
      </c>
      <c r="R8">
        <v>26995572</v>
      </c>
      <c r="S8">
        <v>4900027</v>
      </c>
      <c r="T8">
        <v>38153458</v>
      </c>
      <c r="U8">
        <v>7194453</v>
      </c>
      <c r="V8">
        <v>217773050</v>
      </c>
      <c r="W8">
        <v>546250</v>
      </c>
      <c r="X8">
        <v>740742</v>
      </c>
      <c r="Y8">
        <v>201</v>
      </c>
      <c r="Z8">
        <v>2124</v>
      </c>
      <c r="AA8">
        <v>70</v>
      </c>
      <c r="AB8">
        <v>0</v>
      </c>
      <c r="AC8">
        <v>2282</v>
      </c>
      <c r="AD8">
        <v>290135</v>
      </c>
      <c r="AE8">
        <v>0</v>
      </c>
      <c r="AF8">
        <v>2002</v>
      </c>
      <c r="AG8">
        <v>10309</v>
      </c>
      <c r="AH8">
        <v>96220</v>
      </c>
      <c r="AI8" t="s">
        <v>625</v>
      </c>
      <c r="AJ8">
        <v>1688053</v>
      </c>
      <c r="AK8">
        <v>385433</v>
      </c>
      <c r="AL8">
        <v>4135689</v>
      </c>
      <c r="AM8">
        <v>0</v>
      </c>
      <c r="AN8">
        <v>2622</v>
      </c>
      <c r="AO8">
        <v>3108</v>
      </c>
      <c r="AP8">
        <v>31529</v>
      </c>
      <c r="AQ8" t="s">
        <v>625</v>
      </c>
      <c r="AR8">
        <v>4558381</v>
      </c>
      <c r="AS8">
        <v>1658745</v>
      </c>
      <c r="AT8">
        <v>12278955</v>
      </c>
      <c r="AU8">
        <v>4272493</v>
      </c>
      <c r="AV8">
        <v>179560</v>
      </c>
      <c r="AW8">
        <v>19048829</v>
      </c>
      <c r="AX8">
        <v>28027962</v>
      </c>
      <c r="AY8">
        <v>68023414</v>
      </c>
      <c r="AZ8">
        <v>283707</v>
      </c>
      <c r="BA8">
        <v>173</v>
      </c>
      <c r="BB8">
        <v>1230712</v>
      </c>
      <c r="BC8">
        <v>162203</v>
      </c>
      <c r="BD8">
        <v>322</v>
      </c>
      <c r="BE8">
        <v>3415202</v>
      </c>
      <c r="BF8">
        <v>1150790</v>
      </c>
      <c r="BG8">
        <v>6852</v>
      </c>
      <c r="BH8">
        <v>599</v>
      </c>
      <c r="BI8">
        <v>341297</v>
      </c>
      <c r="BJ8">
        <v>45152</v>
      </c>
      <c r="BK8">
        <v>804777345</v>
      </c>
      <c r="BL8">
        <v>388328</v>
      </c>
      <c r="BM8">
        <v>811414354</v>
      </c>
      <c r="BN8">
        <v>38953096</v>
      </c>
      <c r="BO8">
        <v>369442</v>
      </c>
      <c r="BP8">
        <v>5222118</v>
      </c>
      <c r="BQ8">
        <v>5591560</v>
      </c>
      <c r="BR8">
        <v>19012291</v>
      </c>
      <c r="BS8">
        <v>52569543</v>
      </c>
      <c r="BT8">
        <v>71581834</v>
      </c>
      <c r="BU8">
        <v>481920</v>
      </c>
      <c r="BV8" t="s">
        <v>625</v>
      </c>
      <c r="BW8">
        <v>20907065</v>
      </c>
      <c r="BX8">
        <v>21388985</v>
      </c>
      <c r="BY8" t="s">
        <v>625</v>
      </c>
      <c r="BZ8" t="s">
        <v>625</v>
      </c>
      <c r="CA8" t="s">
        <v>625</v>
      </c>
      <c r="CB8" t="s">
        <v>625</v>
      </c>
      <c r="CC8" t="s">
        <v>625</v>
      </c>
      <c r="CD8" t="s">
        <v>625</v>
      </c>
      <c r="CE8" t="s">
        <v>625</v>
      </c>
      <c r="CF8">
        <v>20240143</v>
      </c>
      <c r="CG8">
        <v>1939083</v>
      </c>
      <c r="CH8">
        <v>851000</v>
      </c>
      <c r="CI8">
        <v>1040000</v>
      </c>
      <c r="CJ8">
        <v>1000</v>
      </c>
      <c r="CK8">
        <v>20000</v>
      </c>
      <c r="CL8">
        <v>1059000</v>
      </c>
      <c r="CM8">
        <v>162387875</v>
      </c>
      <c r="CN8">
        <v>77946097</v>
      </c>
      <c r="CO8">
        <v>9151336</v>
      </c>
      <c r="CP8">
        <v>21667</v>
      </c>
      <c r="CQ8">
        <v>9919113</v>
      </c>
      <c r="CR8">
        <v>29276904</v>
      </c>
      <c r="CS8">
        <v>156707</v>
      </c>
      <c r="CT8">
        <v>65569</v>
      </c>
      <c r="CU8">
        <v>1122065</v>
      </c>
      <c r="CV8">
        <v>1012759</v>
      </c>
      <c r="CW8">
        <v>0</v>
      </c>
      <c r="CX8">
        <v>5</v>
      </c>
      <c r="CY8" t="s">
        <v>651</v>
      </c>
      <c r="CZ8" t="s">
        <v>652</v>
      </c>
      <c r="DA8" t="s">
        <v>653</v>
      </c>
      <c r="DB8" t="s">
        <v>654</v>
      </c>
      <c r="DC8" t="s">
        <v>655</v>
      </c>
      <c r="DD8" t="s">
        <v>656</v>
      </c>
      <c r="DE8">
        <v>186814045</v>
      </c>
      <c r="DF8">
        <v>4400</v>
      </c>
      <c r="DG8">
        <v>0</v>
      </c>
      <c r="DH8">
        <v>2556870</v>
      </c>
      <c r="DI8">
        <v>8049139</v>
      </c>
      <c r="DJ8">
        <v>8781701</v>
      </c>
      <c r="DK8">
        <v>4558145</v>
      </c>
    </row>
    <row r="9" spans="1:137">
      <c r="A9" t="s">
        <v>591</v>
      </c>
      <c r="B9">
        <v>20141231</v>
      </c>
      <c r="C9">
        <v>1078529</v>
      </c>
      <c r="D9">
        <v>83152427</v>
      </c>
      <c r="E9">
        <v>566538</v>
      </c>
      <c r="F9">
        <v>3100200</v>
      </c>
      <c r="G9">
        <v>0</v>
      </c>
      <c r="H9">
        <v>0</v>
      </c>
      <c r="I9">
        <v>423983</v>
      </c>
      <c r="J9">
        <v>61980</v>
      </c>
      <c r="K9">
        <v>327107</v>
      </c>
      <c r="L9">
        <v>0</v>
      </c>
      <c r="M9">
        <v>0</v>
      </c>
      <c r="N9">
        <v>3981183</v>
      </c>
      <c r="O9">
        <v>3282021</v>
      </c>
      <c r="P9">
        <v>699162</v>
      </c>
      <c r="Q9">
        <v>6233372</v>
      </c>
      <c r="R9">
        <v>19540050</v>
      </c>
      <c r="S9">
        <v>486383</v>
      </c>
      <c r="T9">
        <v>26987319</v>
      </c>
      <c r="U9">
        <v>5155342</v>
      </c>
      <c r="V9">
        <v>107580046</v>
      </c>
      <c r="W9">
        <v>1604205</v>
      </c>
      <c r="X9">
        <v>2005408</v>
      </c>
      <c r="Y9">
        <v>196752</v>
      </c>
      <c r="Z9">
        <v>0</v>
      </c>
      <c r="AA9">
        <v>0</v>
      </c>
      <c r="AB9">
        <v>0</v>
      </c>
      <c r="AC9">
        <v>0</v>
      </c>
      <c r="AD9">
        <v>43846</v>
      </c>
      <c r="AE9">
        <v>0</v>
      </c>
      <c r="AF9">
        <v>2264</v>
      </c>
      <c r="AG9">
        <v>24138</v>
      </c>
      <c r="AH9">
        <v>20399</v>
      </c>
      <c r="AI9" t="s">
        <v>625</v>
      </c>
      <c r="AJ9">
        <v>3897012</v>
      </c>
      <c r="AK9">
        <v>2621037</v>
      </c>
      <c r="AL9">
        <v>0</v>
      </c>
      <c r="AM9">
        <v>0</v>
      </c>
      <c r="AN9">
        <v>58</v>
      </c>
      <c r="AO9">
        <v>8822</v>
      </c>
      <c r="AP9">
        <v>26743</v>
      </c>
      <c r="AQ9" t="s">
        <v>625</v>
      </c>
      <c r="AR9">
        <v>2656660</v>
      </c>
      <c r="AS9">
        <v>0</v>
      </c>
      <c r="AT9">
        <v>995692</v>
      </c>
      <c r="AU9">
        <v>825077</v>
      </c>
      <c r="AV9">
        <v>0</v>
      </c>
      <c r="AW9">
        <v>12666959</v>
      </c>
      <c r="AX9">
        <v>0</v>
      </c>
      <c r="AY9">
        <v>14487728</v>
      </c>
      <c r="AZ9">
        <v>3717</v>
      </c>
      <c r="BA9">
        <v>41</v>
      </c>
      <c r="BB9">
        <v>24089</v>
      </c>
      <c r="BC9">
        <v>3617</v>
      </c>
      <c r="BD9">
        <v>17</v>
      </c>
      <c r="BE9">
        <v>175578</v>
      </c>
      <c r="BF9">
        <v>32250</v>
      </c>
      <c r="BG9">
        <v>714</v>
      </c>
      <c r="BH9">
        <v>3868</v>
      </c>
      <c r="BI9">
        <v>3810</v>
      </c>
      <c r="BJ9">
        <v>195</v>
      </c>
      <c r="BK9">
        <v>244780116</v>
      </c>
      <c r="BL9">
        <v>85217</v>
      </c>
      <c r="BM9">
        <v>245028012</v>
      </c>
      <c r="BN9">
        <v>2616617</v>
      </c>
      <c r="BO9">
        <v>15071103</v>
      </c>
      <c r="BP9">
        <v>190970000</v>
      </c>
      <c r="BQ9">
        <v>206041103</v>
      </c>
      <c r="BR9">
        <v>5011881</v>
      </c>
      <c r="BS9">
        <v>19988217</v>
      </c>
      <c r="BT9">
        <v>25000098</v>
      </c>
      <c r="BU9">
        <v>2553344</v>
      </c>
      <c r="BV9" t="s">
        <v>625</v>
      </c>
      <c r="BW9">
        <v>9737756</v>
      </c>
      <c r="BX9">
        <v>12291100</v>
      </c>
      <c r="BY9" t="s">
        <v>625</v>
      </c>
      <c r="BZ9" t="s">
        <v>625</v>
      </c>
      <c r="CA9" t="s">
        <v>625</v>
      </c>
      <c r="CB9" t="s">
        <v>625</v>
      </c>
      <c r="CC9" t="s">
        <v>625</v>
      </c>
      <c r="CD9" t="s">
        <v>625</v>
      </c>
      <c r="CE9" t="s">
        <v>625</v>
      </c>
      <c r="CF9">
        <v>1348354</v>
      </c>
      <c r="CG9">
        <v>39401</v>
      </c>
      <c r="CH9">
        <v>1509000</v>
      </c>
      <c r="CI9">
        <v>2104000</v>
      </c>
      <c r="CJ9">
        <v>175000</v>
      </c>
      <c r="CK9">
        <v>0</v>
      </c>
      <c r="CL9">
        <v>1929000</v>
      </c>
      <c r="CM9">
        <v>71148853</v>
      </c>
      <c r="CN9">
        <v>39536673</v>
      </c>
      <c r="CO9">
        <v>2851385</v>
      </c>
      <c r="CP9">
        <v>-92</v>
      </c>
      <c r="CQ9">
        <v>3180146</v>
      </c>
      <c r="CR9">
        <v>12003574</v>
      </c>
      <c r="CS9">
        <v>3100200</v>
      </c>
      <c r="CT9">
        <v>2969345</v>
      </c>
      <c r="CU9">
        <v>485963</v>
      </c>
      <c r="CV9">
        <v>360825</v>
      </c>
      <c r="CW9">
        <v>265000</v>
      </c>
      <c r="CX9">
        <v>2</v>
      </c>
      <c r="CY9" t="s">
        <v>657</v>
      </c>
      <c r="CZ9" s="62">
        <v>42067</v>
      </c>
      <c r="DA9" t="s">
        <v>658</v>
      </c>
      <c r="DB9" t="s">
        <v>659</v>
      </c>
      <c r="DC9" t="s">
        <v>660</v>
      </c>
      <c r="DD9" t="s">
        <v>661</v>
      </c>
      <c r="DE9">
        <v>85748069</v>
      </c>
      <c r="DF9">
        <v>2289</v>
      </c>
      <c r="DG9">
        <v>0</v>
      </c>
      <c r="DH9">
        <v>0</v>
      </c>
      <c r="DI9">
        <v>7652223</v>
      </c>
      <c r="DJ9">
        <v>3836528</v>
      </c>
      <c r="DK9">
        <v>802349</v>
      </c>
    </row>
    <row r="10" spans="1:137">
      <c r="A10" t="s">
        <v>592</v>
      </c>
      <c r="B10">
        <v>20141231</v>
      </c>
      <c r="C10">
        <v>1245415</v>
      </c>
      <c r="D10">
        <v>115879565</v>
      </c>
      <c r="E10">
        <v>4227627</v>
      </c>
      <c r="F10">
        <v>4431258</v>
      </c>
      <c r="G10">
        <v>0</v>
      </c>
      <c r="H10">
        <v>5046156</v>
      </c>
      <c r="I10">
        <v>246736</v>
      </c>
      <c r="J10">
        <v>90578</v>
      </c>
      <c r="K10">
        <v>297641</v>
      </c>
      <c r="L10">
        <v>0</v>
      </c>
      <c r="M10">
        <v>0</v>
      </c>
      <c r="N10">
        <v>9425569</v>
      </c>
      <c r="O10">
        <v>4437586</v>
      </c>
      <c r="P10">
        <v>4987983</v>
      </c>
      <c r="Q10">
        <v>4176166</v>
      </c>
      <c r="R10">
        <v>22146329</v>
      </c>
      <c r="S10">
        <v>11848349</v>
      </c>
      <c r="T10">
        <v>39695504</v>
      </c>
      <c r="U10">
        <v>0</v>
      </c>
      <c r="V10">
        <v>155869278</v>
      </c>
      <c r="W10">
        <v>11154155</v>
      </c>
      <c r="X10">
        <v>3866011</v>
      </c>
      <c r="Y10">
        <v>632270</v>
      </c>
      <c r="Z10">
        <v>0</v>
      </c>
      <c r="AA10">
        <v>0</v>
      </c>
      <c r="AB10">
        <v>0</v>
      </c>
      <c r="AC10">
        <v>250</v>
      </c>
      <c r="AD10">
        <v>325108</v>
      </c>
      <c r="AE10">
        <v>0</v>
      </c>
      <c r="AF10">
        <v>284462</v>
      </c>
      <c r="AG10">
        <v>1793</v>
      </c>
      <c r="AH10">
        <v>367</v>
      </c>
      <c r="AI10" t="s">
        <v>625</v>
      </c>
      <c r="AJ10">
        <v>16264166</v>
      </c>
      <c r="AK10">
        <v>725661</v>
      </c>
      <c r="AL10">
        <v>315</v>
      </c>
      <c r="AM10">
        <v>0</v>
      </c>
      <c r="AN10">
        <v>104506</v>
      </c>
      <c r="AO10">
        <v>47440</v>
      </c>
      <c r="AP10">
        <v>3319</v>
      </c>
      <c r="AQ10" t="s">
        <v>625</v>
      </c>
      <c r="AR10">
        <v>881241</v>
      </c>
      <c r="AS10">
        <v>2375000</v>
      </c>
      <c r="AT10">
        <v>5145384</v>
      </c>
      <c r="AU10">
        <v>2751149</v>
      </c>
      <c r="AV10">
        <v>14773</v>
      </c>
      <c r="AW10">
        <v>10179258</v>
      </c>
      <c r="AX10">
        <v>0</v>
      </c>
      <c r="AY10">
        <v>20465564</v>
      </c>
      <c r="AZ10">
        <v>7424531</v>
      </c>
      <c r="BA10">
        <v>0</v>
      </c>
      <c r="BB10">
        <v>6747310</v>
      </c>
      <c r="BC10">
        <v>685368</v>
      </c>
      <c r="BD10">
        <v>23536</v>
      </c>
      <c r="BE10">
        <v>25613244</v>
      </c>
      <c r="BF10">
        <v>22659597</v>
      </c>
      <c r="BG10">
        <v>7255159</v>
      </c>
      <c r="BH10">
        <v>357</v>
      </c>
      <c r="BI10">
        <v>18737749</v>
      </c>
      <c r="BJ10">
        <v>536855</v>
      </c>
      <c r="BK10">
        <v>6089350793</v>
      </c>
      <c r="BL10">
        <v>6365218</v>
      </c>
      <c r="BM10">
        <v>6179034499</v>
      </c>
      <c r="BN10">
        <v>135147145</v>
      </c>
      <c r="BO10">
        <v>2152849</v>
      </c>
      <c r="BP10">
        <v>6248603</v>
      </c>
      <c r="BQ10">
        <v>8401452</v>
      </c>
      <c r="BR10">
        <v>11656910</v>
      </c>
      <c r="BS10">
        <v>16105775</v>
      </c>
      <c r="BT10">
        <v>27762685</v>
      </c>
      <c r="BU10">
        <v>3135201</v>
      </c>
      <c r="BV10" t="s">
        <v>625</v>
      </c>
      <c r="BW10">
        <v>12123911</v>
      </c>
      <c r="BX10">
        <v>15259112</v>
      </c>
      <c r="BY10" t="s">
        <v>625</v>
      </c>
      <c r="BZ10" t="s">
        <v>625</v>
      </c>
      <c r="CA10" t="s">
        <v>625</v>
      </c>
      <c r="CB10" t="s">
        <v>625</v>
      </c>
      <c r="CC10" t="s">
        <v>625</v>
      </c>
      <c r="CD10" t="s">
        <v>625</v>
      </c>
      <c r="CE10" t="s">
        <v>625</v>
      </c>
      <c r="CF10">
        <v>3211638</v>
      </c>
      <c r="CG10">
        <v>78019</v>
      </c>
      <c r="CH10">
        <v>7177000</v>
      </c>
      <c r="CI10">
        <v>7375000</v>
      </c>
      <c r="CJ10">
        <v>198000</v>
      </c>
      <c r="CK10">
        <v>0</v>
      </c>
      <c r="CL10">
        <v>7177000</v>
      </c>
      <c r="CM10">
        <v>101481122</v>
      </c>
      <c r="CN10">
        <v>31656985</v>
      </c>
      <c r="CO10">
        <v>4045102</v>
      </c>
      <c r="CP10">
        <v>14647</v>
      </c>
      <c r="CQ10">
        <v>4402250</v>
      </c>
      <c r="CR10">
        <v>0</v>
      </c>
      <c r="CS10">
        <v>8465499</v>
      </c>
      <c r="CT10">
        <v>7824886</v>
      </c>
      <c r="CU10">
        <v>231543</v>
      </c>
      <c r="CV10">
        <v>251009</v>
      </c>
      <c r="CW10">
        <v>0</v>
      </c>
      <c r="CX10">
        <v>4</v>
      </c>
      <c r="CY10" t="s">
        <v>662</v>
      </c>
      <c r="CZ10" s="62">
        <v>42069</v>
      </c>
      <c r="DA10" t="s">
        <v>663</v>
      </c>
      <c r="DB10" t="s">
        <v>664</v>
      </c>
      <c r="DC10" t="s">
        <v>665</v>
      </c>
      <c r="DD10" t="s">
        <v>666</v>
      </c>
      <c r="DE10">
        <v>116173774</v>
      </c>
      <c r="DF10">
        <v>284462</v>
      </c>
      <c r="DG10">
        <v>0</v>
      </c>
      <c r="DH10">
        <v>0</v>
      </c>
      <c r="DI10">
        <v>5884000</v>
      </c>
      <c r="DJ10">
        <v>3808000</v>
      </c>
      <c r="DK10">
        <v>5567112</v>
      </c>
    </row>
    <row r="11" spans="1:137">
      <c r="A11" t="s">
        <v>593</v>
      </c>
      <c r="B11">
        <v>20141231</v>
      </c>
      <c r="C11">
        <v>2277860</v>
      </c>
      <c r="D11">
        <v>309083481</v>
      </c>
      <c r="E11">
        <v>0</v>
      </c>
      <c r="F11">
        <v>0</v>
      </c>
      <c r="G11">
        <v>0</v>
      </c>
      <c r="H11">
        <v>0</v>
      </c>
      <c r="I11">
        <v>384352</v>
      </c>
      <c r="J11">
        <v>695186</v>
      </c>
      <c r="K11">
        <v>745739</v>
      </c>
      <c r="L11">
        <v>801522</v>
      </c>
      <c r="M11">
        <v>670572</v>
      </c>
      <c r="N11">
        <v>293464323</v>
      </c>
      <c r="O11">
        <v>293464323</v>
      </c>
      <c r="P11">
        <v>0</v>
      </c>
      <c r="Q11">
        <v>3078793</v>
      </c>
      <c r="R11">
        <v>21502192</v>
      </c>
      <c r="S11">
        <v>4181742</v>
      </c>
      <c r="T11">
        <v>58854898</v>
      </c>
      <c r="U11">
        <v>15032261</v>
      </c>
      <c r="V11">
        <v>353601304</v>
      </c>
      <c r="W11">
        <v>11804201</v>
      </c>
      <c r="X11">
        <v>4547708</v>
      </c>
      <c r="Y11">
        <v>0</v>
      </c>
      <c r="Z11">
        <v>30278</v>
      </c>
      <c r="AA11">
        <v>0</v>
      </c>
      <c r="AB11">
        <v>0</v>
      </c>
      <c r="AC11">
        <v>0</v>
      </c>
      <c r="AD11">
        <v>87387</v>
      </c>
      <c r="AE11">
        <v>0</v>
      </c>
      <c r="AF11">
        <v>0</v>
      </c>
      <c r="AG11">
        <v>389133</v>
      </c>
      <c r="AH11">
        <v>634327</v>
      </c>
      <c r="AI11" t="s">
        <v>625</v>
      </c>
      <c r="AJ11">
        <v>17493034</v>
      </c>
      <c r="AK11">
        <v>19404</v>
      </c>
      <c r="AL11">
        <v>1437227</v>
      </c>
      <c r="AM11">
        <v>0</v>
      </c>
      <c r="AN11">
        <v>0</v>
      </c>
      <c r="AO11">
        <v>97757</v>
      </c>
      <c r="AP11">
        <v>127613</v>
      </c>
      <c r="AQ11" t="s">
        <v>625</v>
      </c>
      <c r="AR11">
        <v>1682001</v>
      </c>
      <c r="AS11">
        <v>29773704</v>
      </c>
      <c r="AT11">
        <v>16053907</v>
      </c>
      <c r="AU11">
        <v>2629952</v>
      </c>
      <c r="AV11">
        <v>0</v>
      </c>
      <c r="AW11">
        <v>8316632</v>
      </c>
      <c r="AX11">
        <v>45682453</v>
      </c>
      <c r="AY11">
        <v>104286648</v>
      </c>
      <c r="AZ11">
        <v>10976</v>
      </c>
      <c r="BA11">
        <v>22</v>
      </c>
      <c r="BB11">
        <v>30429</v>
      </c>
      <c r="BC11">
        <v>12916</v>
      </c>
      <c r="BD11">
        <v>21</v>
      </c>
      <c r="BE11">
        <v>206325</v>
      </c>
      <c r="BF11">
        <v>72705</v>
      </c>
      <c r="BG11">
        <v>8765</v>
      </c>
      <c r="BH11">
        <v>2697</v>
      </c>
      <c r="BI11">
        <v>22270</v>
      </c>
      <c r="BJ11">
        <v>731</v>
      </c>
      <c r="BK11">
        <v>772218181</v>
      </c>
      <c r="BL11">
        <v>89687</v>
      </c>
      <c r="BM11">
        <v>772586038</v>
      </c>
      <c r="BN11">
        <v>4396411</v>
      </c>
      <c r="BO11">
        <v>523974</v>
      </c>
      <c r="BP11">
        <v>1890234</v>
      </c>
      <c r="BQ11">
        <v>2414208</v>
      </c>
      <c r="BR11">
        <v>38153401</v>
      </c>
      <c r="BS11">
        <v>50485146</v>
      </c>
      <c r="BT11">
        <v>88638547</v>
      </c>
      <c r="BU11">
        <v>0</v>
      </c>
      <c r="BV11" t="s">
        <v>625</v>
      </c>
      <c r="BW11">
        <v>39506812</v>
      </c>
      <c r="BX11">
        <v>39506812</v>
      </c>
      <c r="BY11" t="s">
        <v>625</v>
      </c>
      <c r="BZ11" t="s">
        <v>625</v>
      </c>
      <c r="CA11" t="s">
        <v>625</v>
      </c>
      <c r="CB11" t="s">
        <v>625</v>
      </c>
      <c r="CC11" t="s">
        <v>625</v>
      </c>
      <c r="CD11" t="s">
        <v>625</v>
      </c>
      <c r="CE11" t="s">
        <v>625</v>
      </c>
      <c r="CF11">
        <v>22500099</v>
      </c>
      <c r="CG11">
        <v>1545268</v>
      </c>
      <c r="CH11">
        <v>8878000</v>
      </c>
      <c r="CI11">
        <v>6167000</v>
      </c>
      <c r="CJ11">
        <v>6163000</v>
      </c>
      <c r="CK11">
        <v>465498</v>
      </c>
      <c r="CL11">
        <v>469498</v>
      </c>
      <c r="CM11">
        <v>264028401</v>
      </c>
      <c r="CN11">
        <v>168474157</v>
      </c>
      <c r="CO11">
        <v>22264066</v>
      </c>
      <c r="CP11">
        <v>1578831</v>
      </c>
      <c r="CQ11">
        <v>23842766</v>
      </c>
      <c r="CR11">
        <v>47818583</v>
      </c>
      <c r="CS11">
        <v>875910</v>
      </c>
      <c r="CT11">
        <v>869250</v>
      </c>
      <c r="CU11">
        <v>1091210</v>
      </c>
      <c r="CV11">
        <v>274985</v>
      </c>
      <c r="CW11">
        <v>4536314</v>
      </c>
      <c r="CX11">
        <v>6</v>
      </c>
      <c r="CY11" t="s">
        <v>667</v>
      </c>
      <c r="CZ11" s="62">
        <v>42067</v>
      </c>
      <c r="DA11" t="s">
        <v>668</v>
      </c>
      <c r="DB11" t="s">
        <v>669</v>
      </c>
      <c r="DC11" t="s">
        <v>670</v>
      </c>
      <c r="DD11" t="s">
        <v>671</v>
      </c>
      <c r="DE11">
        <v>309778667</v>
      </c>
      <c r="DF11">
        <v>0</v>
      </c>
      <c r="DG11">
        <v>700401</v>
      </c>
      <c r="DH11">
        <v>1830000</v>
      </c>
      <c r="DI11">
        <v>15723985</v>
      </c>
      <c r="DJ11">
        <v>12869742</v>
      </c>
      <c r="DK11">
        <v>10913085</v>
      </c>
    </row>
    <row r="12" spans="1:137">
      <c r="A12" t="s">
        <v>594</v>
      </c>
      <c r="B12">
        <v>20141231</v>
      </c>
      <c r="C12">
        <v>1951350</v>
      </c>
      <c r="D12">
        <v>1842181000</v>
      </c>
      <c r="E12">
        <v>242570000</v>
      </c>
      <c r="F12">
        <v>298910000</v>
      </c>
      <c r="G12">
        <v>0</v>
      </c>
      <c r="H12">
        <v>0</v>
      </c>
      <c r="I12">
        <v>66108000</v>
      </c>
      <c r="J12">
        <v>97200000</v>
      </c>
      <c r="K12">
        <v>220083000</v>
      </c>
      <c r="L12">
        <v>1063858000</v>
      </c>
      <c r="M12">
        <v>67941000</v>
      </c>
      <c r="N12">
        <v>619786000</v>
      </c>
      <c r="O12">
        <v>612049000</v>
      </c>
      <c r="P12">
        <v>7736000</v>
      </c>
      <c r="Q12">
        <v>10589000</v>
      </c>
      <c r="R12">
        <v>330690000</v>
      </c>
      <c r="S12">
        <v>181498000</v>
      </c>
      <c r="T12">
        <v>834614500</v>
      </c>
      <c r="U12">
        <v>64458000</v>
      </c>
      <c r="V12">
        <v>2765877500</v>
      </c>
      <c r="W12">
        <v>57940000</v>
      </c>
      <c r="X12">
        <v>33585000</v>
      </c>
      <c r="Y12">
        <v>9956000</v>
      </c>
      <c r="Z12">
        <v>12788000</v>
      </c>
      <c r="AA12">
        <v>1257000</v>
      </c>
      <c r="AB12">
        <v>325000</v>
      </c>
      <c r="AC12">
        <v>468000</v>
      </c>
      <c r="AD12">
        <v>16818000</v>
      </c>
      <c r="AE12">
        <v>5946000</v>
      </c>
      <c r="AF12">
        <v>59689000</v>
      </c>
      <c r="AG12">
        <v>58117000</v>
      </c>
      <c r="AH12">
        <v>72711000</v>
      </c>
      <c r="AI12" t="s">
        <v>625</v>
      </c>
      <c r="AJ12">
        <v>317240000</v>
      </c>
      <c r="AK12">
        <v>52169000</v>
      </c>
      <c r="AL12">
        <v>176927000</v>
      </c>
      <c r="AM12">
        <v>0</v>
      </c>
      <c r="AN12">
        <v>67842000</v>
      </c>
      <c r="AO12">
        <v>65268000</v>
      </c>
      <c r="AP12">
        <v>96397000</v>
      </c>
      <c r="AQ12" t="s">
        <v>625</v>
      </c>
      <c r="AR12">
        <v>458603000</v>
      </c>
      <c r="AS12">
        <v>44597000</v>
      </c>
      <c r="AT12">
        <v>135724000</v>
      </c>
      <c r="AU12">
        <v>24244000</v>
      </c>
      <c r="AV12">
        <v>16155000</v>
      </c>
      <c r="AW12">
        <v>110937000</v>
      </c>
      <c r="AX12">
        <v>163624000</v>
      </c>
      <c r="AY12">
        <v>505808000</v>
      </c>
      <c r="AZ12">
        <v>1406969000</v>
      </c>
      <c r="BA12">
        <v>386761000</v>
      </c>
      <c r="BB12">
        <v>2403720000</v>
      </c>
      <c r="BC12">
        <v>2401684000</v>
      </c>
      <c r="BD12">
        <v>647719000</v>
      </c>
      <c r="BE12">
        <v>17362791000</v>
      </c>
      <c r="BF12">
        <v>6359135000</v>
      </c>
      <c r="BG12">
        <v>720854000</v>
      </c>
      <c r="BH12">
        <v>587911000</v>
      </c>
      <c r="BI12">
        <v>2330483000</v>
      </c>
      <c r="BJ12">
        <v>487452000</v>
      </c>
      <c r="BK12">
        <v>239769927000</v>
      </c>
      <c r="BL12">
        <v>8810471000</v>
      </c>
      <c r="BM12">
        <v>274865406000</v>
      </c>
      <c r="BN12">
        <v>12520569000</v>
      </c>
      <c r="BO12">
        <v>62489000</v>
      </c>
      <c r="BP12">
        <v>308283000</v>
      </c>
      <c r="BQ12">
        <v>370772000</v>
      </c>
      <c r="BR12">
        <v>28586034000</v>
      </c>
      <c r="BS12">
        <v>26366056000</v>
      </c>
      <c r="BT12">
        <v>54952090000</v>
      </c>
      <c r="BU12">
        <v>260010000</v>
      </c>
      <c r="BV12" t="s">
        <v>625</v>
      </c>
      <c r="BW12">
        <v>300143000</v>
      </c>
      <c r="BX12">
        <v>560153000</v>
      </c>
      <c r="BY12" t="s">
        <v>625</v>
      </c>
      <c r="BZ12" t="s">
        <v>625</v>
      </c>
      <c r="CA12" t="s">
        <v>625</v>
      </c>
      <c r="CB12" t="s">
        <v>625</v>
      </c>
      <c r="CC12" t="s">
        <v>625</v>
      </c>
      <c r="CD12" t="s">
        <v>625</v>
      </c>
      <c r="CE12" t="s">
        <v>625</v>
      </c>
      <c r="CF12">
        <v>23921000</v>
      </c>
      <c r="CG12">
        <v>43018000</v>
      </c>
      <c r="CH12">
        <v>832923000</v>
      </c>
      <c r="CI12">
        <v>492705000</v>
      </c>
      <c r="CJ12">
        <v>103341000</v>
      </c>
      <c r="CK12">
        <v>367074000</v>
      </c>
      <c r="CL12">
        <v>756438000</v>
      </c>
      <c r="CM12">
        <v>1630485000</v>
      </c>
      <c r="CN12">
        <v>241459000</v>
      </c>
      <c r="CO12">
        <v>78145000</v>
      </c>
      <c r="CP12">
        <v>39000000</v>
      </c>
      <c r="CQ12">
        <v>91477000</v>
      </c>
      <c r="CR12">
        <v>170458000</v>
      </c>
      <c r="CS12">
        <v>333695000</v>
      </c>
      <c r="CT12">
        <v>381905000</v>
      </c>
      <c r="CU12">
        <v>878000000</v>
      </c>
      <c r="CV12">
        <v>872741000</v>
      </c>
      <c r="CW12">
        <v>2345901000</v>
      </c>
      <c r="CX12">
        <v>100</v>
      </c>
      <c r="CY12" t="s">
        <v>672</v>
      </c>
      <c r="CZ12" s="62">
        <v>42069</v>
      </c>
      <c r="DA12" t="s">
        <v>673</v>
      </c>
      <c r="DB12" t="s">
        <v>674</v>
      </c>
      <c r="DC12" t="s">
        <v>675</v>
      </c>
      <c r="DD12" t="s">
        <v>676</v>
      </c>
      <c r="DE12">
        <v>1995721000</v>
      </c>
      <c r="DF12">
        <v>29775000</v>
      </c>
      <c r="DG12">
        <v>85847000</v>
      </c>
      <c r="DH12">
        <v>10527000</v>
      </c>
      <c r="DI12">
        <v>310480000</v>
      </c>
      <c r="DJ12">
        <v>81043000</v>
      </c>
      <c r="DK12">
        <v>168630000</v>
      </c>
    </row>
    <row r="13" spans="1:137">
      <c r="A13" t="s">
        <v>677</v>
      </c>
      <c r="B13">
        <v>20141231</v>
      </c>
      <c r="C13">
        <v>1132449</v>
      </c>
      <c r="D13">
        <v>133000128</v>
      </c>
      <c r="E13">
        <v>0</v>
      </c>
      <c r="F13">
        <v>0</v>
      </c>
      <c r="G13">
        <v>0</v>
      </c>
      <c r="H13">
        <v>0</v>
      </c>
      <c r="I13">
        <v>628719</v>
      </c>
      <c r="J13">
        <v>2358</v>
      </c>
      <c r="K13">
        <v>412718</v>
      </c>
      <c r="L13">
        <v>1832412</v>
      </c>
      <c r="M13">
        <v>1832412</v>
      </c>
      <c r="N13">
        <v>31500138</v>
      </c>
      <c r="O13">
        <v>8256189</v>
      </c>
      <c r="P13">
        <v>23243949</v>
      </c>
      <c r="Q13">
        <v>74647</v>
      </c>
      <c r="R13">
        <v>24463737</v>
      </c>
      <c r="S13">
        <v>2349332</v>
      </c>
      <c r="T13">
        <v>30450448</v>
      </c>
      <c r="U13">
        <v>6089336</v>
      </c>
      <c r="V13">
        <v>157363598</v>
      </c>
      <c r="W13">
        <v>2911811</v>
      </c>
      <c r="X13">
        <v>1798271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8423</v>
      </c>
      <c r="AE13">
        <v>0</v>
      </c>
      <c r="AF13">
        <v>0</v>
      </c>
      <c r="AG13">
        <v>10025</v>
      </c>
      <c r="AH13">
        <v>10025</v>
      </c>
      <c r="AI13" t="s">
        <v>625</v>
      </c>
      <c r="AJ13">
        <v>4738555</v>
      </c>
      <c r="AK13">
        <v>4038671</v>
      </c>
      <c r="AL13">
        <v>1719026</v>
      </c>
      <c r="AM13">
        <v>0</v>
      </c>
      <c r="AN13">
        <v>0</v>
      </c>
      <c r="AO13">
        <v>27815</v>
      </c>
      <c r="AP13">
        <v>0</v>
      </c>
      <c r="AQ13" t="s">
        <v>625</v>
      </c>
      <c r="AR13">
        <v>5785512</v>
      </c>
      <c r="AS13">
        <v>0</v>
      </c>
      <c r="AT13">
        <v>1500000</v>
      </c>
      <c r="AU13">
        <v>2350000</v>
      </c>
      <c r="AV13">
        <v>0</v>
      </c>
      <c r="AW13">
        <v>200000</v>
      </c>
      <c r="AX13">
        <v>4002460</v>
      </c>
      <c r="AY13">
        <v>8052460</v>
      </c>
      <c r="AZ13">
        <v>14776</v>
      </c>
      <c r="BA13">
        <v>15</v>
      </c>
      <c r="BB13">
        <v>71773</v>
      </c>
      <c r="BC13">
        <v>49755</v>
      </c>
      <c r="BD13">
        <v>5140</v>
      </c>
      <c r="BE13">
        <v>275257</v>
      </c>
      <c r="BF13">
        <v>212788</v>
      </c>
      <c r="BG13">
        <v>8809</v>
      </c>
      <c r="BH13">
        <v>21374</v>
      </c>
      <c r="BI13">
        <v>45200</v>
      </c>
      <c r="BJ13">
        <v>3446</v>
      </c>
      <c r="BK13">
        <v>1883079664</v>
      </c>
      <c r="BL13">
        <v>55921354</v>
      </c>
      <c r="BM13">
        <v>1883787997</v>
      </c>
      <c r="BN13">
        <v>3912695</v>
      </c>
      <c r="BO13">
        <v>0</v>
      </c>
      <c r="BP13">
        <v>0</v>
      </c>
      <c r="BQ13">
        <v>0</v>
      </c>
      <c r="BR13">
        <v>5101413</v>
      </c>
      <c r="BS13">
        <v>41537440</v>
      </c>
      <c r="BT13">
        <v>46638853</v>
      </c>
      <c r="BU13">
        <v>0</v>
      </c>
      <c r="BV13" t="s">
        <v>625</v>
      </c>
      <c r="BW13">
        <v>18638577</v>
      </c>
      <c r="BX13">
        <v>18638577</v>
      </c>
      <c r="BY13" t="s">
        <v>625</v>
      </c>
      <c r="BZ13" t="s">
        <v>625</v>
      </c>
      <c r="CA13" t="s">
        <v>625</v>
      </c>
      <c r="CB13" t="s">
        <v>625</v>
      </c>
      <c r="CC13" t="s">
        <v>625</v>
      </c>
      <c r="CD13" t="s">
        <v>625</v>
      </c>
      <c r="CE13" t="s">
        <v>625</v>
      </c>
      <c r="CF13">
        <v>5148120</v>
      </c>
      <c r="CG13">
        <v>860</v>
      </c>
      <c r="CH13">
        <v>1550000</v>
      </c>
      <c r="CI13">
        <v>947000</v>
      </c>
      <c r="CJ13">
        <v>0</v>
      </c>
      <c r="CK13">
        <v>0</v>
      </c>
      <c r="CL13">
        <v>947000</v>
      </c>
      <c r="CM13">
        <v>113732265</v>
      </c>
      <c r="CN13">
        <v>33892671</v>
      </c>
      <c r="CO13">
        <v>4963504</v>
      </c>
      <c r="CP13">
        <v>0</v>
      </c>
      <c r="CQ13">
        <v>5326840</v>
      </c>
      <c r="CR13">
        <v>4107110</v>
      </c>
      <c r="CS13">
        <v>0</v>
      </c>
      <c r="CT13">
        <v>0</v>
      </c>
      <c r="CU13">
        <v>789910</v>
      </c>
      <c r="CV13">
        <v>773408</v>
      </c>
      <c r="CW13">
        <v>0</v>
      </c>
      <c r="CX13">
        <v>2</v>
      </c>
      <c r="CY13" t="s">
        <v>678</v>
      </c>
      <c r="CZ13" s="62">
        <v>42069</v>
      </c>
      <c r="DA13" t="s">
        <v>679</v>
      </c>
      <c r="DB13" t="s">
        <v>680</v>
      </c>
      <c r="DC13" t="s">
        <v>681</v>
      </c>
      <c r="DD13" t="s">
        <v>682</v>
      </c>
      <c r="DE13">
        <v>133002486</v>
      </c>
      <c r="DF13">
        <v>0</v>
      </c>
      <c r="DG13">
        <v>1832412</v>
      </c>
      <c r="DH13">
        <v>0</v>
      </c>
      <c r="DI13">
        <v>5243574</v>
      </c>
      <c r="DJ13">
        <v>12458301</v>
      </c>
      <c r="DK13">
        <v>936702</v>
      </c>
    </row>
    <row r="14" spans="1:137">
      <c r="A14" t="s">
        <v>595</v>
      </c>
      <c r="B14">
        <v>20141231</v>
      </c>
      <c r="C14">
        <v>1199844</v>
      </c>
      <c r="D14">
        <v>69452409</v>
      </c>
      <c r="E14">
        <v>0</v>
      </c>
      <c r="F14">
        <v>0</v>
      </c>
      <c r="G14">
        <v>0</v>
      </c>
      <c r="H14">
        <v>0</v>
      </c>
      <c r="I14">
        <v>684276</v>
      </c>
      <c r="J14">
        <v>262496</v>
      </c>
      <c r="K14">
        <v>332742</v>
      </c>
      <c r="L14">
        <v>598442</v>
      </c>
      <c r="M14">
        <v>598442</v>
      </c>
      <c r="N14">
        <v>1646553</v>
      </c>
      <c r="O14">
        <v>0</v>
      </c>
      <c r="P14">
        <v>1646553</v>
      </c>
      <c r="Q14">
        <v>6027752</v>
      </c>
      <c r="R14">
        <v>20440332</v>
      </c>
      <c r="S14">
        <v>5930190</v>
      </c>
      <c r="T14">
        <v>32895671</v>
      </c>
      <c r="U14">
        <v>56473</v>
      </c>
      <c r="V14">
        <v>102554103</v>
      </c>
      <c r="W14">
        <v>2877860</v>
      </c>
      <c r="X14">
        <v>2431043</v>
      </c>
      <c r="Y14">
        <v>0</v>
      </c>
      <c r="Z14">
        <v>0</v>
      </c>
      <c r="AA14">
        <v>0</v>
      </c>
      <c r="AB14">
        <v>50296</v>
      </c>
      <c r="AC14">
        <v>0</v>
      </c>
      <c r="AD14">
        <v>233047</v>
      </c>
      <c r="AE14">
        <v>0</v>
      </c>
      <c r="AF14">
        <v>0</v>
      </c>
      <c r="AG14">
        <v>336055</v>
      </c>
      <c r="AH14">
        <v>129271</v>
      </c>
      <c r="AI14" t="s">
        <v>625</v>
      </c>
      <c r="AJ14">
        <v>6057572</v>
      </c>
      <c r="AK14">
        <v>651431</v>
      </c>
      <c r="AL14">
        <v>4062746</v>
      </c>
      <c r="AM14">
        <v>0</v>
      </c>
      <c r="AN14">
        <v>0</v>
      </c>
      <c r="AO14">
        <v>31231</v>
      </c>
      <c r="AP14">
        <v>11501</v>
      </c>
      <c r="AQ14" t="s">
        <v>625</v>
      </c>
      <c r="AR14">
        <v>4756909</v>
      </c>
      <c r="AS14">
        <v>0</v>
      </c>
      <c r="AT14">
        <v>648984</v>
      </c>
      <c r="AU14">
        <v>2007934</v>
      </c>
      <c r="AV14">
        <v>0</v>
      </c>
      <c r="AW14">
        <v>4420972</v>
      </c>
      <c r="AX14">
        <v>8385231</v>
      </c>
      <c r="AY14">
        <v>15463121</v>
      </c>
      <c r="AZ14">
        <v>22763</v>
      </c>
      <c r="BA14">
        <v>0</v>
      </c>
      <c r="BB14">
        <v>139171</v>
      </c>
      <c r="BC14">
        <v>9101</v>
      </c>
      <c r="BD14">
        <v>2056</v>
      </c>
      <c r="BE14">
        <v>546693</v>
      </c>
      <c r="BF14">
        <v>273773</v>
      </c>
      <c r="BG14">
        <v>6847</v>
      </c>
      <c r="BH14">
        <v>0</v>
      </c>
      <c r="BI14">
        <v>93731</v>
      </c>
      <c r="BJ14">
        <v>12020</v>
      </c>
      <c r="BK14">
        <v>249254865</v>
      </c>
      <c r="BL14">
        <v>81026</v>
      </c>
      <c r="BM14">
        <v>250361020</v>
      </c>
      <c r="BN14">
        <v>55913242</v>
      </c>
      <c r="BO14">
        <v>0</v>
      </c>
      <c r="BP14">
        <v>1556000</v>
      </c>
      <c r="BQ14">
        <v>1556000</v>
      </c>
      <c r="BR14">
        <v>2547934</v>
      </c>
      <c r="BS14">
        <v>19013377</v>
      </c>
      <c r="BT14">
        <v>21561311</v>
      </c>
      <c r="BU14">
        <v>94666</v>
      </c>
      <c r="BV14" t="s">
        <v>625</v>
      </c>
      <c r="BW14">
        <v>8115784</v>
      </c>
      <c r="BX14">
        <v>8210450</v>
      </c>
      <c r="BY14" t="s">
        <v>625</v>
      </c>
      <c r="BZ14" t="s">
        <v>625</v>
      </c>
      <c r="CA14" t="s">
        <v>625</v>
      </c>
      <c r="CB14" t="s">
        <v>625</v>
      </c>
      <c r="CC14" t="s">
        <v>625</v>
      </c>
      <c r="CD14" t="s">
        <v>625</v>
      </c>
      <c r="CE14" t="s">
        <v>625</v>
      </c>
      <c r="CF14">
        <v>1935314</v>
      </c>
      <c r="CG14">
        <v>138553</v>
      </c>
      <c r="CH14">
        <v>2051000</v>
      </c>
      <c r="CI14">
        <v>3508000</v>
      </c>
      <c r="CJ14">
        <v>2115000</v>
      </c>
      <c r="CK14">
        <v>269000</v>
      </c>
      <c r="CL14">
        <v>1662000</v>
      </c>
      <c r="CM14">
        <v>62049957</v>
      </c>
      <c r="CN14">
        <v>23388691</v>
      </c>
      <c r="CO14">
        <v>2529319</v>
      </c>
      <c r="CP14">
        <v>40385</v>
      </c>
      <c r="CQ14">
        <v>2624014</v>
      </c>
      <c r="CR14">
        <v>9513172</v>
      </c>
      <c r="CS14">
        <v>0</v>
      </c>
      <c r="CT14">
        <v>0</v>
      </c>
      <c r="CU14">
        <v>892646</v>
      </c>
      <c r="CV14">
        <v>664816</v>
      </c>
      <c r="CW14">
        <v>26377653</v>
      </c>
      <c r="CX14">
        <v>4</v>
      </c>
      <c r="CY14" t="s">
        <v>683</v>
      </c>
      <c r="CZ14" s="62">
        <v>42069</v>
      </c>
      <c r="DA14" t="s">
        <v>684</v>
      </c>
      <c r="DB14" t="s">
        <v>685</v>
      </c>
      <c r="DC14" t="s">
        <v>686</v>
      </c>
      <c r="DD14" t="s">
        <v>687</v>
      </c>
      <c r="DE14">
        <v>69714905</v>
      </c>
      <c r="DF14">
        <v>0</v>
      </c>
      <c r="DG14">
        <v>598442</v>
      </c>
      <c r="DH14">
        <v>0</v>
      </c>
      <c r="DI14">
        <v>1644212</v>
      </c>
      <c r="DJ14">
        <v>5232383</v>
      </c>
      <c r="DK14">
        <v>1333855</v>
      </c>
    </row>
    <row r="15" spans="1:137">
      <c r="A15" t="s">
        <v>596</v>
      </c>
      <c r="B15">
        <v>20141231</v>
      </c>
      <c r="C15">
        <v>1032473</v>
      </c>
      <c r="D15">
        <v>55541200</v>
      </c>
      <c r="E15">
        <v>12910600</v>
      </c>
      <c r="F15">
        <v>12910600</v>
      </c>
      <c r="G15">
        <v>11946000</v>
      </c>
      <c r="H15">
        <v>0</v>
      </c>
      <c r="I15">
        <v>11000</v>
      </c>
      <c r="J15">
        <v>47600</v>
      </c>
      <c r="K15">
        <v>24000</v>
      </c>
      <c r="L15">
        <v>0</v>
      </c>
      <c r="M15">
        <v>0</v>
      </c>
      <c r="N15">
        <v>0</v>
      </c>
      <c r="O15">
        <v>0</v>
      </c>
      <c r="P15">
        <v>0</v>
      </c>
      <c r="Q15">
        <v>11000</v>
      </c>
      <c r="R15">
        <v>8393000</v>
      </c>
      <c r="S15">
        <v>672000</v>
      </c>
      <c r="T15">
        <v>9100000</v>
      </c>
      <c r="U15">
        <v>42000</v>
      </c>
      <c r="V15">
        <v>52700800</v>
      </c>
      <c r="W15">
        <v>23880000</v>
      </c>
      <c r="X15">
        <v>542000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800</v>
      </c>
      <c r="AE15">
        <v>0</v>
      </c>
      <c r="AF15">
        <v>0</v>
      </c>
      <c r="AG15">
        <v>0</v>
      </c>
      <c r="AH15">
        <v>0</v>
      </c>
      <c r="AI15" t="s">
        <v>625</v>
      </c>
      <c r="AJ15">
        <v>24422800</v>
      </c>
      <c r="AK15">
        <v>1905000</v>
      </c>
      <c r="AL15">
        <v>24199000</v>
      </c>
      <c r="AM15">
        <v>0</v>
      </c>
      <c r="AN15">
        <v>0</v>
      </c>
      <c r="AO15">
        <v>0</v>
      </c>
      <c r="AP15">
        <v>0</v>
      </c>
      <c r="AQ15" t="s">
        <v>625</v>
      </c>
      <c r="AR15">
        <v>26104000</v>
      </c>
      <c r="AS15">
        <v>0</v>
      </c>
      <c r="AT15">
        <v>0</v>
      </c>
      <c r="AU15">
        <v>158500</v>
      </c>
      <c r="AV15">
        <v>0</v>
      </c>
      <c r="AW15">
        <v>0</v>
      </c>
      <c r="AX15">
        <v>0</v>
      </c>
      <c r="AY15">
        <v>158500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76992937000</v>
      </c>
      <c r="BL15">
        <v>0</v>
      </c>
      <c r="BM15">
        <v>76992937000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9046000</v>
      </c>
      <c r="BT15">
        <v>9046000</v>
      </c>
      <c r="BU15">
        <v>0</v>
      </c>
      <c r="BV15" t="s">
        <v>625</v>
      </c>
      <c r="BW15">
        <v>127400</v>
      </c>
      <c r="BX15">
        <v>127400</v>
      </c>
      <c r="BY15" t="s">
        <v>625</v>
      </c>
      <c r="BZ15" t="s">
        <v>625</v>
      </c>
      <c r="CA15" t="s">
        <v>625</v>
      </c>
      <c r="CB15" t="s">
        <v>625</v>
      </c>
      <c r="CC15" t="s">
        <v>625</v>
      </c>
      <c r="CD15" t="s">
        <v>625</v>
      </c>
      <c r="CE15" t="s">
        <v>625</v>
      </c>
      <c r="CF15">
        <v>0</v>
      </c>
      <c r="CG15">
        <v>83000</v>
      </c>
      <c r="CH15">
        <v>1074000</v>
      </c>
      <c r="CI15">
        <v>1000</v>
      </c>
      <c r="CJ15">
        <v>1000</v>
      </c>
      <c r="CK15">
        <v>1000</v>
      </c>
      <c r="CL15">
        <v>1000</v>
      </c>
      <c r="CM15">
        <v>48153200</v>
      </c>
      <c r="CN15">
        <v>23205000</v>
      </c>
      <c r="CO15">
        <v>2383000</v>
      </c>
      <c r="CP15">
        <v>-4000</v>
      </c>
      <c r="CQ15">
        <v>2502000</v>
      </c>
      <c r="CR15">
        <v>0</v>
      </c>
      <c r="CS15">
        <v>12910000</v>
      </c>
      <c r="CT15">
        <v>0</v>
      </c>
      <c r="CU15">
        <v>32000</v>
      </c>
      <c r="CV15">
        <v>37000</v>
      </c>
      <c r="CW15">
        <v>0</v>
      </c>
      <c r="CX15">
        <v>9</v>
      </c>
      <c r="CY15" t="s">
        <v>688</v>
      </c>
      <c r="CZ15" s="62">
        <v>42178</v>
      </c>
      <c r="DA15" t="s">
        <v>689</v>
      </c>
      <c r="DB15" t="s">
        <v>690</v>
      </c>
      <c r="DC15" t="s">
        <v>691</v>
      </c>
      <c r="DD15" t="s">
        <v>692</v>
      </c>
      <c r="DE15">
        <v>43642800</v>
      </c>
      <c r="DF15">
        <v>0</v>
      </c>
      <c r="DG15">
        <v>0</v>
      </c>
      <c r="DH15">
        <v>0</v>
      </c>
      <c r="DI15">
        <v>109000</v>
      </c>
      <c r="DJ15">
        <v>17500</v>
      </c>
      <c r="DK15">
        <v>900</v>
      </c>
    </row>
    <row r="16" spans="1:137">
      <c r="A16" t="s">
        <v>597</v>
      </c>
      <c r="B16">
        <v>20141231</v>
      </c>
      <c r="C16">
        <v>3846375</v>
      </c>
      <c r="D16">
        <v>83125845</v>
      </c>
      <c r="E16">
        <v>0</v>
      </c>
      <c r="F16">
        <v>0</v>
      </c>
      <c r="G16">
        <v>0</v>
      </c>
      <c r="H16">
        <v>0</v>
      </c>
      <c r="I16">
        <v>43511</v>
      </c>
      <c r="J16">
        <v>0</v>
      </c>
      <c r="K16">
        <v>42754</v>
      </c>
      <c r="L16">
        <v>0</v>
      </c>
      <c r="M16">
        <v>0</v>
      </c>
      <c r="N16">
        <v>168754219</v>
      </c>
      <c r="O16">
        <v>168754219</v>
      </c>
      <c r="P16">
        <v>0</v>
      </c>
      <c r="Q16">
        <v>383106</v>
      </c>
      <c r="R16">
        <v>27892</v>
      </c>
      <c r="S16">
        <v>0</v>
      </c>
      <c r="T16">
        <v>17329174</v>
      </c>
      <c r="U16">
        <v>269000</v>
      </c>
      <c r="V16">
        <v>100186019</v>
      </c>
      <c r="W16">
        <v>7332515</v>
      </c>
      <c r="X16">
        <v>9500</v>
      </c>
      <c r="Y16">
        <v>0</v>
      </c>
      <c r="Z16">
        <v>0</v>
      </c>
      <c r="AA16">
        <v>0</v>
      </c>
      <c r="AB16">
        <v>0</v>
      </c>
      <c r="AC16">
        <v>4302</v>
      </c>
      <c r="AD16">
        <v>104736</v>
      </c>
      <c r="AE16">
        <v>0</v>
      </c>
      <c r="AF16">
        <v>0</v>
      </c>
      <c r="AG16">
        <v>43511</v>
      </c>
      <c r="AH16">
        <v>17469</v>
      </c>
      <c r="AI16" t="s">
        <v>625</v>
      </c>
      <c r="AJ16">
        <v>7507731</v>
      </c>
      <c r="AK16">
        <v>92552</v>
      </c>
      <c r="AL16">
        <v>0</v>
      </c>
      <c r="AM16">
        <v>91971</v>
      </c>
      <c r="AN16">
        <v>0</v>
      </c>
      <c r="AO16">
        <v>24109</v>
      </c>
      <c r="AP16">
        <v>25285</v>
      </c>
      <c r="AQ16" t="s">
        <v>625</v>
      </c>
      <c r="AR16">
        <v>233917</v>
      </c>
      <c r="AS16">
        <v>17394640</v>
      </c>
      <c r="AT16">
        <v>4450273</v>
      </c>
      <c r="AU16">
        <v>697916</v>
      </c>
      <c r="AV16">
        <v>0</v>
      </c>
      <c r="AW16">
        <v>27136268</v>
      </c>
      <c r="AX16">
        <v>29417341</v>
      </c>
      <c r="AY16">
        <v>79096438</v>
      </c>
      <c r="AZ16">
        <v>121758</v>
      </c>
      <c r="BA16">
        <v>0</v>
      </c>
      <c r="BB16">
        <v>40184</v>
      </c>
      <c r="BC16">
        <v>34349</v>
      </c>
      <c r="BD16">
        <v>16347</v>
      </c>
      <c r="BE16">
        <v>1008563</v>
      </c>
      <c r="BF16">
        <v>322950</v>
      </c>
      <c r="BG16">
        <v>1766</v>
      </c>
      <c r="BH16">
        <v>645</v>
      </c>
      <c r="BI16">
        <v>126993</v>
      </c>
      <c r="BJ16">
        <v>118703</v>
      </c>
      <c r="BK16">
        <v>319648705</v>
      </c>
      <c r="BL16">
        <v>371558</v>
      </c>
      <c r="BM16">
        <v>321440963</v>
      </c>
      <c r="BN16">
        <v>0</v>
      </c>
      <c r="BO16">
        <v>0</v>
      </c>
      <c r="BP16">
        <v>0</v>
      </c>
      <c r="BQ16">
        <v>0</v>
      </c>
      <c r="BR16">
        <v>1350000</v>
      </c>
      <c r="BS16">
        <v>9877315</v>
      </c>
      <c r="BT16">
        <v>11227315</v>
      </c>
      <c r="BU16">
        <v>0</v>
      </c>
      <c r="BV16" t="s">
        <v>625</v>
      </c>
      <c r="BW16">
        <v>3951935</v>
      </c>
      <c r="BX16">
        <v>3951935</v>
      </c>
      <c r="BY16" t="s">
        <v>625</v>
      </c>
      <c r="BZ16" t="s">
        <v>625</v>
      </c>
      <c r="CA16" t="s">
        <v>625</v>
      </c>
      <c r="CB16" t="s">
        <v>625</v>
      </c>
      <c r="CC16" t="s">
        <v>625</v>
      </c>
      <c r="CD16" t="s">
        <v>625</v>
      </c>
      <c r="CE16" t="s">
        <v>625</v>
      </c>
      <c r="CF16">
        <v>101507</v>
      </c>
      <c r="CG16">
        <v>7496</v>
      </c>
      <c r="CH16">
        <v>129000</v>
      </c>
      <c r="CI16">
        <v>0</v>
      </c>
      <c r="CJ16">
        <v>0</v>
      </c>
      <c r="CK16">
        <v>18000</v>
      </c>
      <c r="CL16">
        <v>18000</v>
      </c>
      <c r="CM16">
        <v>71992140</v>
      </c>
      <c r="CN16">
        <v>45926898</v>
      </c>
      <c r="CO16">
        <v>8493241</v>
      </c>
      <c r="CP16">
        <v>15328</v>
      </c>
      <c r="CQ16">
        <v>9578151</v>
      </c>
      <c r="CR16">
        <v>30032196</v>
      </c>
      <c r="CS16">
        <v>0</v>
      </c>
      <c r="CT16">
        <v>0</v>
      </c>
      <c r="CU16">
        <v>43511</v>
      </c>
      <c r="CV16">
        <v>24109</v>
      </c>
      <c r="CW16">
        <v>0</v>
      </c>
      <c r="CX16">
        <v>9</v>
      </c>
      <c r="CY16" t="s">
        <v>693</v>
      </c>
      <c r="CZ16" s="62">
        <v>42062</v>
      </c>
      <c r="DA16" t="s">
        <v>694</v>
      </c>
      <c r="DB16" t="s">
        <v>695</v>
      </c>
      <c r="DC16" t="s">
        <v>696</v>
      </c>
      <c r="DD16" t="s">
        <v>697</v>
      </c>
      <c r="DE16">
        <v>83125845</v>
      </c>
      <c r="DF16">
        <v>0</v>
      </c>
      <c r="DG16">
        <v>0</v>
      </c>
      <c r="DH16">
        <v>0</v>
      </c>
      <c r="DI16">
        <v>1661509</v>
      </c>
      <c r="DJ16">
        <v>1857837</v>
      </c>
      <c r="DK16">
        <v>432589</v>
      </c>
    </row>
    <row r="17" spans="1:115">
      <c r="A17" t="s">
        <v>598</v>
      </c>
      <c r="B17">
        <v>20141231</v>
      </c>
      <c r="C17">
        <v>1070345</v>
      </c>
      <c r="D17">
        <v>138705640</v>
      </c>
      <c r="E17">
        <v>0</v>
      </c>
      <c r="F17">
        <v>0</v>
      </c>
      <c r="G17">
        <v>0</v>
      </c>
      <c r="H17">
        <v>0</v>
      </c>
      <c r="I17">
        <v>1289521</v>
      </c>
      <c r="J17">
        <v>790190</v>
      </c>
      <c r="K17">
        <v>894289</v>
      </c>
      <c r="L17">
        <v>1113375</v>
      </c>
      <c r="M17">
        <v>781741</v>
      </c>
      <c r="N17">
        <v>23866016</v>
      </c>
      <c r="O17">
        <v>16406777</v>
      </c>
      <c r="P17">
        <v>7459239</v>
      </c>
      <c r="Q17">
        <v>7518636</v>
      </c>
      <c r="R17">
        <v>33607736</v>
      </c>
      <c r="S17">
        <v>3453495</v>
      </c>
      <c r="T17">
        <v>47860758</v>
      </c>
      <c r="U17">
        <v>2411000</v>
      </c>
      <c r="V17">
        <v>184945588</v>
      </c>
      <c r="W17">
        <v>2339984</v>
      </c>
      <c r="X17">
        <v>156260</v>
      </c>
      <c r="Y17">
        <v>0</v>
      </c>
      <c r="Z17">
        <v>40867</v>
      </c>
      <c r="AA17">
        <v>11239</v>
      </c>
      <c r="AB17">
        <v>0</v>
      </c>
      <c r="AC17">
        <v>2355</v>
      </c>
      <c r="AD17">
        <v>418176</v>
      </c>
      <c r="AE17">
        <v>0</v>
      </c>
      <c r="AF17">
        <v>0</v>
      </c>
      <c r="AG17">
        <v>5559</v>
      </c>
      <c r="AH17">
        <v>275503</v>
      </c>
      <c r="AI17" t="s">
        <v>625</v>
      </c>
      <c r="AJ17">
        <v>3247588</v>
      </c>
      <c r="AK17">
        <v>1261119</v>
      </c>
      <c r="AL17">
        <v>1664021</v>
      </c>
      <c r="AM17">
        <v>0</v>
      </c>
      <c r="AN17">
        <v>0</v>
      </c>
      <c r="AO17">
        <v>11566</v>
      </c>
      <c r="AP17">
        <v>295150</v>
      </c>
      <c r="AQ17" t="s">
        <v>625</v>
      </c>
      <c r="AR17">
        <v>3231856</v>
      </c>
      <c r="AS17">
        <v>3476392</v>
      </c>
      <c r="AT17">
        <v>7390704</v>
      </c>
      <c r="AU17">
        <v>3950871</v>
      </c>
      <c r="AV17">
        <v>0</v>
      </c>
      <c r="AW17">
        <v>6854420</v>
      </c>
      <c r="AX17">
        <v>16794077</v>
      </c>
      <c r="AY17">
        <v>38466464</v>
      </c>
      <c r="AZ17">
        <v>4214</v>
      </c>
      <c r="BA17">
        <v>0</v>
      </c>
      <c r="BB17">
        <v>11470</v>
      </c>
      <c r="BC17">
        <v>4515</v>
      </c>
      <c r="BD17">
        <v>0</v>
      </c>
      <c r="BE17">
        <v>52519</v>
      </c>
      <c r="BF17">
        <v>25812</v>
      </c>
      <c r="BG17">
        <v>1102</v>
      </c>
      <c r="BH17">
        <v>2645</v>
      </c>
      <c r="BI17">
        <v>31497</v>
      </c>
      <c r="BJ17">
        <v>476</v>
      </c>
      <c r="BK17">
        <v>1479764213</v>
      </c>
      <c r="BL17">
        <v>11137</v>
      </c>
      <c r="BM17">
        <v>1479898463</v>
      </c>
      <c r="BN17">
        <v>246920645</v>
      </c>
      <c r="BO17">
        <v>158684</v>
      </c>
      <c r="BP17">
        <v>5909742</v>
      </c>
      <c r="BQ17">
        <v>6068426</v>
      </c>
      <c r="BR17">
        <v>9996845</v>
      </c>
      <c r="BS17">
        <v>52855928</v>
      </c>
      <c r="BT17">
        <v>62852773</v>
      </c>
      <c r="BU17">
        <v>359784</v>
      </c>
      <c r="BV17" t="s">
        <v>625</v>
      </c>
      <c r="BW17">
        <v>21807301</v>
      </c>
      <c r="BX17">
        <v>22167085</v>
      </c>
      <c r="BY17" t="s">
        <v>625</v>
      </c>
      <c r="BZ17" t="s">
        <v>625</v>
      </c>
      <c r="CA17" t="s">
        <v>625</v>
      </c>
      <c r="CB17" t="s">
        <v>625</v>
      </c>
      <c r="CC17" t="s">
        <v>625</v>
      </c>
      <c r="CD17" t="s">
        <v>625</v>
      </c>
      <c r="CE17" t="s">
        <v>625</v>
      </c>
      <c r="CF17">
        <v>185548</v>
      </c>
      <c r="CG17">
        <v>535396</v>
      </c>
      <c r="CH17">
        <v>4463000</v>
      </c>
      <c r="CI17">
        <v>1446000</v>
      </c>
      <c r="CJ17">
        <v>1176000</v>
      </c>
      <c r="CK17">
        <v>323000</v>
      </c>
      <c r="CL17">
        <v>593000</v>
      </c>
      <c r="CM17">
        <v>123040826</v>
      </c>
      <c r="CN17">
        <v>55283571</v>
      </c>
      <c r="CO17">
        <v>6028529</v>
      </c>
      <c r="CP17">
        <v>18879</v>
      </c>
      <c r="CQ17">
        <v>6479025</v>
      </c>
      <c r="CR17">
        <v>20006000</v>
      </c>
      <c r="CS17">
        <v>0</v>
      </c>
      <c r="CT17">
        <v>995249</v>
      </c>
      <c r="CU17">
        <v>1988802</v>
      </c>
      <c r="CV17">
        <v>968980</v>
      </c>
      <c r="CW17">
        <v>30835</v>
      </c>
      <c r="CX17">
        <v>6</v>
      </c>
      <c r="CY17" t="s">
        <v>698</v>
      </c>
      <c r="CZ17" s="62">
        <v>42069</v>
      </c>
      <c r="DA17" t="s">
        <v>699</v>
      </c>
      <c r="DB17" t="s">
        <v>700</v>
      </c>
      <c r="DC17" t="s">
        <v>701</v>
      </c>
      <c r="DD17" t="s">
        <v>702</v>
      </c>
      <c r="DE17">
        <v>139495830</v>
      </c>
      <c r="DF17">
        <v>0</v>
      </c>
      <c r="DG17">
        <v>910340</v>
      </c>
      <c r="DH17">
        <v>0</v>
      </c>
      <c r="DI17">
        <v>9639098</v>
      </c>
      <c r="DJ17">
        <v>7129058</v>
      </c>
      <c r="DK17">
        <v>5398929</v>
      </c>
    </row>
    <row r="18" spans="1:115">
      <c r="A18" t="s">
        <v>599</v>
      </c>
      <c r="B18">
        <v>20141231</v>
      </c>
      <c r="C18">
        <v>2380443</v>
      </c>
      <c r="D18">
        <v>856301000</v>
      </c>
      <c r="E18">
        <v>301061000</v>
      </c>
      <c r="F18">
        <v>331182000</v>
      </c>
      <c r="G18">
        <v>0</v>
      </c>
      <c r="H18">
        <v>0</v>
      </c>
      <c r="I18">
        <v>63353000</v>
      </c>
      <c r="J18">
        <v>103504000</v>
      </c>
      <c r="K18">
        <v>318903000</v>
      </c>
      <c r="L18">
        <v>1220735000</v>
      </c>
      <c r="M18">
        <v>106852000</v>
      </c>
      <c r="N18">
        <v>6510000</v>
      </c>
      <c r="O18">
        <v>0</v>
      </c>
      <c r="P18">
        <v>6510000</v>
      </c>
      <c r="Q18">
        <v>40590000</v>
      </c>
      <c r="R18">
        <v>80287000</v>
      </c>
      <c r="S18">
        <v>44608000</v>
      </c>
      <c r="T18">
        <v>503074000</v>
      </c>
      <c r="U18">
        <v>8987000</v>
      </c>
      <c r="V18">
        <v>1484013000</v>
      </c>
      <c r="W18">
        <v>45848000</v>
      </c>
      <c r="X18">
        <v>20704000</v>
      </c>
      <c r="Y18">
        <v>1913000</v>
      </c>
      <c r="Z18">
        <v>7145000</v>
      </c>
      <c r="AA18">
        <v>370000</v>
      </c>
      <c r="AB18">
        <v>278000</v>
      </c>
      <c r="AC18">
        <v>938000</v>
      </c>
      <c r="AD18">
        <v>35049000</v>
      </c>
      <c r="AE18">
        <v>0</v>
      </c>
      <c r="AF18">
        <v>15272000</v>
      </c>
      <c r="AG18">
        <v>32132000</v>
      </c>
      <c r="AH18">
        <v>168240000</v>
      </c>
      <c r="AI18" t="s">
        <v>625</v>
      </c>
      <c r="AJ18">
        <v>326951000</v>
      </c>
      <c r="AK18">
        <v>0</v>
      </c>
      <c r="AL18">
        <v>20789000</v>
      </c>
      <c r="AM18">
        <v>0</v>
      </c>
      <c r="AN18">
        <v>7061000</v>
      </c>
      <c r="AO18">
        <v>36054000</v>
      </c>
      <c r="AP18">
        <v>49501000</v>
      </c>
      <c r="AQ18" t="s">
        <v>625</v>
      </c>
      <c r="AR18">
        <v>113405000</v>
      </c>
      <c r="AS18">
        <v>0</v>
      </c>
      <c r="AT18">
        <v>192130000</v>
      </c>
      <c r="AU18">
        <v>19363000</v>
      </c>
      <c r="AV18">
        <v>617000</v>
      </c>
      <c r="AW18">
        <v>25908000</v>
      </c>
      <c r="AX18">
        <v>83397000</v>
      </c>
      <c r="AY18">
        <v>328277000</v>
      </c>
      <c r="AZ18">
        <v>395356000</v>
      </c>
      <c r="BA18">
        <v>7696000</v>
      </c>
      <c r="BB18">
        <v>321388000</v>
      </c>
      <c r="BC18">
        <v>157077000</v>
      </c>
      <c r="BD18">
        <v>437898000</v>
      </c>
      <c r="BE18">
        <v>1994702000</v>
      </c>
      <c r="BF18">
        <v>724866000</v>
      </c>
      <c r="BG18">
        <v>79027000</v>
      </c>
      <c r="BH18">
        <v>1222000</v>
      </c>
      <c r="BI18">
        <v>985047000</v>
      </c>
      <c r="BJ18">
        <v>81117000</v>
      </c>
      <c r="BK18">
        <v>6120899000</v>
      </c>
      <c r="BL18">
        <v>1446355000</v>
      </c>
      <c r="BM18">
        <v>11306295000</v>
      </c>
      <c r="BN18">
        <v>1013139000</v>
      </c>
      <c r="BO18">
        <v>78000000</v>
      </c>
      <c r="BP18">
        <v>268000000</v>
      </c>
      <c r="BQ18">
        <v>346000000</v>
      </c>
      <c r="BR18">
        <v>30835389000</v>
      </c>
      <c r="BS18">
        <v>22643230000</v>
      </c>
      <c r="BT18">
        <v>53478619000</v>
      </c>
      <c r="BU18">
        <v>255773000</v>
      </c>
      <c r="BV18" t="s">
        <v>625</v>
      </c>
      <c r="BW18">
        <v>47000</v>
      </c>
      <c r="BX18">
        <v>255820000</v>
      </c>
      <c r="BY18" t="s">
        <v>625</v>
      </c>
      <c r="BZ18" t="s">
        <v>625</v>
      </c>
      <c r="CA18" t="s">
        <v>625</v>
      </c>
      <c r="CB18" t="s">
        <v>625</v>
      </c>
      <c r="CC18" t="s">
        <v>625</v>
      </c>
      <c r="CD18" t="s">
        <v>625</v>
      </c>
      <c r="CE18" t="s">
        <v>625</v>
      </c>
      <c r="CF18">
        <v>0</v>
      </c>
      <c r="CG18">
        <v>44666000</v>
      </c>
      <c r="CH18">
        <v>333240000</v>
      </c>
      <c r="CI18">
        <v>257720000</v>
      </c>
      <c r="CJ18">
        <v>0</v>
      </c>
      <c r="CK18">
        <v>32092000</v>
      </c>
      <c r="CL18">
        <v>289812000</v>
      </c>
      <c r="CM18">
        <v>773100000</v>
      </c>
      <c r="CN18">
        <v>76798000</v>
      </c>
      <c r="CO18">
        <v>35124000</v>
      </c>
      <c r="CP18">
        <v>12900000</v>
      </c>
      <c r="CQ18">
        <v>40167000</v>
      </c>
      <c r="CR18">
        <v>84939000</v>
      </c>
      <c r="CS18">
        <v>547982000</v>
      </c>
      <c r="CT18">
        <v>541467000</v>
      </c>
      <c r="CU18">
        <v>1035955000</v>
      </c>
      <c r="CV18">
        <v>968733000</v>
      </c>
      <c r="CW18">
        <v>0</v>
      </c>
      <c r="CX18">
        <v>50</v>
      </c>
      <c r="CY18" t="s">
        <v>703</v>
      </c>
      <c r="CZ18" s="62">
        <v>41702</v>
      </c>
      <c r="DA18" t="s">
        <v>704</v>
      </c>
      <c r="DB18" t="s">
        <v>705</v>
      </c>
      <c r="DC18" t="s">
        <v>706</v>
      </c>
      <c r="DD18" t="s">
        <v>707</v>
      </c>
      <c r="DE18">
        <v>989926000</v>
      </c>
      <c r="DF18">
        <v>18035000</v>
      </c>
      <c r="DG18">
        <v>88522000</v>
      </c>
      <c r="DH18">
        <v>6862000</v>
      </c>
      <c r="DI18">
        <v>75597000</v>
      </c>
      <c r="DJ18">
        <v>31477000</v>
      </c>
      <c r="DK18">
        <v>148746000</v>
      </c>
    </row>
    <row r="19" spans="1:115">
      <c r="A19" t="s">
        <v>600</v>
      </c>
      <c r="B19">
        <v>20141231</v>
      </c>
      <c r="C19">
        <v>3232316</v>
      </c>
      <c r="D19">
        <v>290100702</v>
      </c>
      <c r="E19">
        <v>64717729</v>
      </c>
      <c r="F19">
        <v>90179811</v>
      </c>
      <c r="G19">
        <v>3609880</v>
      </c>
      <c r="H19">
        <v>0</v>
      </c>
      <c r="I19">
        <v>5409769</v>
      </c>
      <c r="J19">
        <v>4598063</v>
      </c>
      <c r="K19">
        <v>27648073</v>
      </c>
      <c r="L19">
        <v>123126762</v>
      </c>
      <c r="M19">
        <v>31852408</v>
      </c>
      <c r="N19">
        <v>8198017</v>
      </c>
      <c r="O19">
        <v>5041576</v>
      </c>
      <c r="P19">
        <v>3156441</v>
      </c>
      <c r="Q19">
        <v>659491</v>
      </c>
      <c r="R19">
        <v>68366532</v>
      </c>
      <c r="S19">
        <v>5855998</v>
      </c>
      <c r="T19">
        <v>103831171</v>
      </c>
      <c r="U19">
        <v>3472425</v>
      </c>
      <c r="V19">
        <v>416909713</v>
      </c>
      <c r="W19">
        <v>15096279</v>
      </c>
      <c r="X19">
        <v>2471605</v>
      </c>
      <c r="Y19">
        <v>0</v>
      </c>
      <c r="Z19">
        <v>1321907</v>
      </c>
      <c r="AA19">
        <v>154246</v>
      </c>
      <c r="AB19">
        <v>0</v>
      </c>
      <c r="AC19">
        <v>0</v>
      </c>
      <c r="AD19">
        <v>9008</v>
      </c>
      <c r="AE19">
        <v>0</v>
      </c>
      <c r="AF19">
        <v>4752474</v>
      </c>
      <c r="AG19">
        <v>1686827</v>
      </c>
      <c r="AH19">
        <v>10952801</v>
      </c>
      <c r="AI19" t="s">
        <v>625</v>
      </c>
      <c r="AJ19">
        <v>36445147</v>
      </c>
      <c r="AK19">
        <v>18579</v>
      </c>
      <c r="AL19">
        <v>22819005</v>
      </c>
      <c r="AM19">
        <v>6700129</v>
      </c>
      <c r="AN19">
        <v>112674</v>
      </c>
      <c r="AO19">
        <v>3198795</v>
      </c>
      <c r="AP19">
        <v>8429856</v>
      </c>
      <c r="AQ19" t="s">
        <v>625</v>
      </c>
      <c r="AR19">
        <v>41279038</v>
      </c>
      <c r="AS19">
        <v>2489286</v>
      </c>
      <c r="AT19">
        <v>22055188</v>
      </c>
      <c r="AU19">
        <v>10744206</v>
      </c>
      <c r="AV19">
        <v>4770555</v>
      </c>
      <c r="AW19">
        <v>12151918</v>
      </c>
      <c r="AX19">
        <v>0</v>
      </c>
      <c r="AY19">
        <v>54211153</v>
      </c>
      <c r="AZ19">
        <v>91945227</v>
      </c>
      <c r="BA19">
        <v>0</v>
      </c>
      <c r="BB19">
        <v>277755148</v>
      </c>
      <c r="BC19">
        <v>62567555</v>
      </c>
      <c r="BD19">
        <v>232931379</v>
      </c>
      <c r="BE19">
        <v>497527957</v>
      </c>
      <c r="BF19">
        <v>283949779</v>
      </c>
      <c r="BG19">
        <v>94550147</v>
      </c>
      <c r="BH19">
        <v>86661</v>
      </c>
      <c r="BI19">
        <v>236579529</v>
      </c>
      <c r="BJ19">
        <v>15182009</v>
      </c>
      <c r="BK19">
        <v>1911631546</v>
      </c>
      <c r="BL19">
        <v>517166333</v>
      </c>
      <c r="BM19">
        <v>3704706937</v>
      </c>
      <c r="BN19">
        <v>39475866</v>
      </c>
      <c r="BO19">
        <v>1197707</v>
      </c>
      <c r="BP19">
        <v>50689353</v>
      </c>
      <c r="BQ19">
        <v>51887060</v>
      </c>
      <c r="BR19">
        <v>1733913493</v>
      </c>
      <c r="BS19">
        <v>3003752630</v>
      </c>
      <c r="BT19">
        <v>4737666123</v>
      </c>
      <c r="BU19">
        <v>28652101</v>
      </c>
      <c r="BV19" t="s">
        <v>625</v>
      </c>
      <c r="BW19">
        <v>30140333</v>
      </c>
      <c r="BX19">
        <v>58792434</v>
      </c>
      <c r="BY19" t="s">
        <v>625</v>
      </c>
      <c r="BZ19" t="s">
        <v>625</v>
      </c>
      <c r="CA19" t="s">
        <v>625</v>
      </c>
      <c r="CB19" t="s">
        <v>625</v>
      </c>
      <c r="CC19" t="s">
        <v>625</v>
      </c>
      <c r="CD19" t="s">
        <v>625</v>
      </c>
      <c r="CE19" t="s">
        <v>625</v>
      </c>
      <c r="CF19">
        <v>13473969</v>
      </c>
      <c r="CG19">
        <v>4231606</v>
      </c>
      <c r="CH19">
        <v>44431000</v>
      </c>
      <c r="CI19">
        <v>0</v>
      </c>
      <c r="CJ19">
        <v>0</v>
      </c>
      <c r="CK19">
        <v>3000</v>
      </c>
      <c r="CL19">
        <v>3000</v>
      </c>
      <c r="CM19">
        <v>256703048</v>
      </c>
      <c r="CN19">
        <v>42705855</v>
      </c>
      <c r="CO19">
        <v>5889925</v>
      </c>
      <c r="CP19">
        <v>120913</v>
      </c>
      <c r="CQ19">
        <v>7971462</v>
      </c>
      <c r="CR19">
        <v>0</v>
      </c>
      <c r="CS19">
        <v>184540588</v>
      </c>
      <c r="CT19">
        <v>182803015</v>
      </c>
      <c r="CU19">
        <v>75619385</v>
      </c>
      <c r="CV19">
        <v>74412997</v>
      </c>
      <c r="CW19">
        <v>229416382</v>
      </c>
      <c r="CX19">
        <v>5</v>
      </c>
      <c r="CY19" t="s">
        <v>708</v>
      </c>
      <c r="CZ19" s="62">
        <v>42069</v>
      </c>
      <c r="DA19" t="s">
        <v>709</v>
      </c>
      <c r="DB19">
        <v>2125255000</v>
      </c>
      <c r="DC19">
        <v>2125255568</v>
      </c>
      <c r="DD19" t="s">
        <v>710</v>
      </c>
      <c r="DE19">
        <v>316550967</v>
      </c>
      <c r="DF19">
        <v>481275</v>
      </c>
      <c r="DG19">
        <v>40192832</v>
      </c>
      <c r="DH19">
        <v>2000000</v>
      </c>
      <c r="DI19">
        <v>11888379</v>
      </c>
      <c r="DJ19">
        <v>3342903</v>
      </c>
      <c r="DK19">
        <v>43561152</v>
      </c>
    </row>
    <row r="20" spans="1:115">
      <c r="A20" t="s">
        <v>601</v>
      </c>
      <c r="B20">
        <v>20141231</v>
      </c>
      <c r="C20">
        <v>1068191</v>
      </c>
      <c r="D20">
        <v>66298010</v>
      </c>
      <c r="E20">
        <v>0</v>
      </c>
      <c r="F20">
        <v>0</v>
      </c>
      <c r="G20">
        <v>0</v>
      </c>
      <c r="H20">
        <v>0</v>
      </c>
      <c r="I20">
        <v>327588</v>
      </c>
      <c r="J20">
        <v>98451</v>
      </c>
      <c r="K20">
        <v>485306</v>
      </c>
      <c r="L20">
        <v>456730</v>
      </c>
      <c r="M20">
        <v>456370</v>
      </c>
      <c r="N20">
        <v>7189335</v>
      </c>
      <c r="O20">
        <v>717432</v>
      </c>
      <c r="P20">
        <v>6471903</v>
      </c>
      <c r="Q20">
        <v>4131755</v>
      </c>
      <c r="R20">
        <v>8452042</v>
      </c>
      <c r="S20">
        <v>540225</v>
      </c>
      <c r="T20">
        <v>14336537</v>
      </c>
      <c r="U20">
        <v>392385</v>
      </c>
      <c r="V20">
        <v>80340613</v>
      </c>
      <c r="W20">
        <v>1995381</v>
      </c>
      <c r="X20">
        <v>73678</v>
      </c>
      <c r="Y20">
        <v>0</v>
      </c>
      <c r="Z20">
        <v>50695</v>
      </c>
      <c r="AA20">
        <v>82738</v>
      </c>
      <c r="AB20">
        <v>0</v>
      </c>
      <c r="AC20">
        <v>300</v>
      </c>
      <c r="AD20">
        <v>1269</v>
      </c>
      <c r="AE20">
        <v>0</v>
      </c>
      <c r="AF20">
        <v>0</v>
      </c>
      <c r="AG20">
        <v>6485</v>
      </c>
      <c r="AH20">
        <v>59894</v>
      </c>
      <c r="AI20" t="s">
        <v>625</v>
      </c>
      <c r="AJ20">
        <v>2270140</v>
      </c>
      <c r="AK20">
        <v>1975</v>
      </c>
      <c r="AL20">
        <v>1243036</v>
      </c>
      <c r="AM20">
        <v>0</v>
      </c>
      <c r="AN20">
        <v>0</v>
      </c>
      <c r="AO20">
        <v>9273</v>
      </c>
      <c r="AP20">
        <v>19394</v>
      </c>
      <c r="AQ20" t="s">
        <v>625</v>
      </c>
      <c r="AR20">
        <v>1273678</v>
      </c>
      <c r="AS20">
        <v>65000</v>
      </c>
      <c r="AT20">
        <v>2533961</v>
      </c>
      <c r="AU20">
        <v>978809</v>
      </c>
      <c r="AV20">
        <v>0</v>
      </c>
      <c r="AW20">
        <v>3486519</v>
      </c>
      <c r="AX20">
        <v>8568056</v>
      </c>
      <c r="AY20">
        <v>16114479</v>
      </c>
      <c r="AZ20">
        <v>209998</v>
      </c>
      <c r="BA20">
        <v>192</v>
      </c>
      <c r="BB20">
        <v>2381095</v>
      </c>
      <c r="BC20">
        <v>89721</v>
      </c>
      <c r="BD20">
        <v>87436</v>
      </c>
      <c r="BE20">
        <v>4641561</v>
      </c>
      <c r="BF20">
        <v>2631266</v>
      </c>
      <c r="BG20">
        <v>241736</v>
      </c>
      <c r="BH20">
        <v>22902</v>
      </c>
      <c r="BI20">
        <v>441849</v>
      </c>
      <c r="BJ20">
        <v>197219</v>
      </c>
      <c r="BK20">
        <v>420956679</v>
      </c>
      <c r="BL20">
        <v>788045</v>
      </c>
      <c r="BM20">
        <v>431901654</v>
      </c>
      <c r="BN20">
        <v>79217167</v>
      </c>
      <c r="BO20">
        <v>49853</v>
      </c>
      <c r="BP20">
        <v>1092632</v>
      </c>
      <c r="BQ20">
        <v>1142485</v>
      </c>
      <c r="BR20">
        <v>6155159</v>
      </c>
      <c r="BS20">
        <v>22940923</v>
      </c>
      <c r="BT20">
        <v>29096082</v>
      </c>
      <c r="BU20">
        <v>42189</v>
      </c>
      <c r="BV20" t="s">
        <v>625</v>
      </c>
      <c r="BW20">
        <v>9053110</v>
      </c>
      <c r="BX20">
        <v>9095299</v>
      </c>
      <c r="BY20" t="s">
        <v>625</v>
      </c>
      <c r="BZ20" t="s">
        <v>625</v>
      </c>
      <c r="CA20" t="s">
        <v>625</v>
      </c>
      <c r="CB20" t="s">
        <v>625</v>
      </c>
      <c r="CC20" t="s">
        <v>625</v>
      </c>
      <c r="CD20" t="s">
        <v>625</v>
      </c>
      <c r="CE20" t="s">
        <v>625</v>
      </c>
      <c r="CF20">
        <v>3379905</v>
      </c>
      <c r="CG20">
        <v>1568234</v>
      </c>
      <c r="CH20">
        <v>1529000</v>
      </c>
      <c r="CI20">
        <v>401000</v>
      </c>
      <c r="CJ20">
        <v>401000</v>
      </c>
      <c r="CK20">
        <v>0</v>
      </c>
      <c r="CL20">
        <v>0</v>
      </c>
      <c r="CM20">
        <v>59969840</v>
      </c>
      <c r="CN20">
        <v>29345950</v>
      </c>
      <c r="CO20">
        <v>2801269</v>
      </c>
      <c r="CP20">
        <v>-10056</v>
      </c>
      <c r="CQ20">
        <v>2940615</v>
      </c>
      <c r="CR20">
        <v>8714658</v>
      </c>
      <c r="CS20">
        <v>0</v>
      </c>
      <c r="CT20">
        <v>0</v>
      </c>
      <c r="CU20">
        <v>513414</v>
      </c>
      <c r="CV20">
        <v>353058</v>
      </c>
      <c r="CW20">
        <v>0</v>
      </c>
      <c r="CX20">
        <v>4</v>
      </c>
      <c r="CY20" t="s">
        <v>711</v>
      </c>
      <c r="CZ20" s="62">
        <v>42062</v>
      </c>
      <c r="DA20" t="s">
        <v>712</v>
      </c>
      <c r="DB20" t="s">
        <v>713</v>
      </c>
      <c r="DC20" t="s">
        <v>714</v>
      </c>
      <c r="DD20" t="s">
        <v>715</v>
      </c>
      <c r="DE20">
        <v>66396461</v>
      </c>
      <c r="DF20">
        <v>8276</v>
      </c>
      <c r="DG20">
        <v>456370</v>
      </c>
      <c r="DH20">
        <v>482134</v>
      </c>
      <c r="DI20">
        <v>3252394</v>
      </c>
      <c r="DJ20">
        <v>2149774</v>
      </c>
      <c r="DK20">
        <v>3693131</v>
      </c>
    </row>
    <row r="21" spans="1:115">
      <c r="A21" t="s">
        <v>602</v>
      </c>
      <c r="B21">
        <v>20141231</v>
      </c>
      <c r="C21">
        <v>1039502</v>
      </c>
      <c r="D21">
        <v>2572773000</v>
      </c>
      <c r="E21">
        <v>325457000</v>
      </c>
      <c r="F21">
        <v>468175000</v>
      </c>
      <c r="G21">
        <v>1177000</v>
      </c>
      <c r="H21">
        <v>0</v>
      </c>
      <c r="I21">
        <v>78974000</v>
      </c>
      <c r="J21">
        <v>74032000</v>
      </c>
      <c r="K21">
        <v>376835000</v>
      </c>
      <c r="L21">
        <v>2097304000</v>
      </c>
      <c r="M21">
        <v>68513000</v>
      </c>
      <c r="N21">
        <v>560900000</v>
      </c>
      <c r="O21">
        <v>524435000</v>
      </c>
      <c r="P21">
        <v>36465000</v>
      </c>
      <c r="Q21">
        <v>80088000</v>
      </c>
      <c r="R21">
        <v>412422000</v>
      </c>
      <c r="S21">
        <v>49428000</v>
      </c>
      <c r="T21">
        <v>1002298000</v>
      </c>
      <c r="U21">
        <v>47531000</v>
      </c>
      <c r="V21">
        <v>3743113000</v>
      </c>
      <c r="W21">
        <v>73129000</v>
      </c>
      <c r="X21">
        <v>72595000</v>
      </c>
      <c r="Y21">
        <v>19292000</v>
      </c>
      <c r="Z21">
        <v>24771000</v>
      </c>
      <c r="AA21">
        <v>1918000</v>
      </c>
      <c r="AB21">
        <v>922000</v>
      </c>
      <c r="AC21">
        <v>191000</v>
      </c>
      <c r="AD21">
        <v>20548000</v>
      </c>
      <c r="AE21">
        <v>2186000</v>
      </c>
      <c r="AF21">
        <v>20619000</v>
      </c>
      <c r="AG21">
        <v>27746000</v>
      </c>
      <c r="AH21">
        <v>202071000</v>
      </c>
      <c r="AI21" t="s">
        <v>625</v>
      </c>
      <c r="AJ21">
        <v>461425000</v>
      </c>
      <c r="AK21">
        <v>95074000</v>
      </c>
      <c r="AL21">
        <v>275360000</v>
      </c>
      <c r="AM21">
        <v>37359000</v>
      </c>
      <c r="AN21">
        <v>32740000</v>
      </c>
      <c r="AO21">
        <v>27849000</v>
      </c>
      <c r="AP21">
        <v>102448000</v>
      </c>
      <c r="AQ21" t="s">
        <v>625</v>
      </c>
      <c r="AR21">
        <v>570830000</v>
      </c>
      <c r="AS21">
        <v>42959000</v>
      </c>
      <c r="AT21">
        <v>187103000</v>
      </c>
      <c r="AU21">
        <v>34968000</v>
      </c>
      <c r="AV21">
        <v>78391000</v>
      </c>
      <c r="AW21">
        <v>45674000</v>
      </c>
      <c r="AX21">
        <v>232472000</v>
      </c>
      <c r="AY21">
        <v>641607000</v>
      </c>
      <c r="AZ21">
        <v>4241555000</v>
      </c>
      <c r="BA21">
        <v>122143000</v>
      </c>
      <c r="BB21">
        <v>4080498000</v>
      </c>
      <c r="BC21">
        <v>2902447000</v>
      </c>
      <c r="BD21">
        <v>1155090000</v>
      </c>
      <c r="BE21">
        <v>55108022000</v>
      </c>
      <c r="BF21">
        <v>7602911000</v>
      </c>
      <c r="BG21">
        <v>1234629000</v>
      </c>
      <c r="BH21">
        <v>113263000</v>
      </c>
      <c r="BI21">
        <v>7808563000</v>
      </c>
      <c r="BJ21">
        <v>1056601000</v>
      </c>
      <c r="BK21">
        <v>237748156000</v>
      </c>
      <c r="BL21">
        <v>14302302000</v>
      </c>
      <c r="BM21">
        <v>323173878000</v>
      </c>
      <c r="BN21">
        <v>21097734000</v>
      </c>
      <c r="BO21">
        <v>70460000</v>
      </c>
      <c r="BP21">
        <v>420238000</v>
      </c>
      <c r="BQ21">
        <v>490698000</v>
      </c>
      <c r="BR21">
        <v>34745399000</v>
      </c>
      <c r="BS21">
        <v>30522950000</v>
      </c>
      <c r="BT21">
        <v>65268349000</v>
      </c>
      <c r="BU21">
        <v>272620000</v>
      </c>
      <c r="BV21" t="s">
        <v>625</v>
      </c>
      <c r="BW21">
        <v>297649000</v>
      </c>
      <c r="BX21">
        <v>570269000</v>
      </c>
      <c r="BY21" t="s">
        <v>625</v>
      </c>
      <c r="BZ21" t="s">
        <v>625</v>
      </c>
      <c r="CA21" t="s">
        <v>625</v>
      </c>
      <c r="CB21" t="s">
        <v>625</v>
      </c>
      <c r="CC21" t="s">
        <v>625</v>
      </c>
      <c r="CD21" t="s">
        <v>625</v>
      </c>
      <c r="CE21" t="s">
        <v>625</v>
      </c>
      <c r="CF21">
        <v>49252000</v>
      </c>
      <c r="CG21">
        <v>50457000</v>
      </c>
      <c r="CH21">
        <v>616296000</v>
      </c>
      <c r="CI21">
        <v>661201000</v>
      </c>
      <c r="CJ21">
        <v>183869000</v>
      </c>
      <c r="CK21">
        <v>148269000</v>
      </c>
      <c r="CL21">
        <v>625601000</v>
      </c>
      <c r="CM21">
        <v>2340554000</v>
      </c>
      <c r="CN21">
        <v>554741000</v>
      </c>
      <c r="CO21">
        <v>95386000</v>
      </c>
      <c r="CP21">
        <v>23747000</v>
      </c>
      <c r="CQ21">
        <v>103283000</v>
      </c>
      <c r="CR21">
        <v>234602000</v>
      </c>
      <c r="CS21">
        <v>933847000</v>
      </c>
      <c r="CT21">
        <v>934876000</v>
      </c>
      <c r="CU21">
        <v>1294582000</v>
      </c>
      <c r="CV21">
        <v>1278939000</v>
      </c>
      <c r="CW21">
        <v>15867000</v>
      </c>
      <c r="CX21">
        <v>58</v>
      </c>
      <c r="CY21" t="s">
        <v>716</v>
      </c>
      <c r="CZ21" s="62">
        <v>42069</v>
      </c>
      <c r="DA21" t="s">
        <v>717</v>
      </c>
      <c r="DB21" t="s">
        <v>718</v>
      </c>
      <c r="DC21" t="s">
        <v>719</v>
      </c>
      <c r="DD21" t="s">
        <v>720</v>
      </c>
      <c r="DE21">
        <v>2788346000</v>
      </c>
      <c r="DF21">
        <v>27435000</v>
      </c>
      <c r="DG21">
        <v>86525000</v>
      </c>
      <c r="DH21">
        <v>20040000</v>
      </c>
      <c r="DI21">
        <v>125889000</v>
      </c>
      <c r="DJ21">
        <v>121095000</v>
      </c>
      <c r="DK21">
        <v>323285000</v>
      </c>
    </row>
    <row r="22" spans="1:115">
      <c r="A22" t="s">
        <v>603</v>
      </c>
      <c r="B22">
        <v>20141231</v>
      </c>
      <c r="C22">
        <v>1068025</v>
      </c>
      <c r="D22">
        <v>93882115</v>
      </c>
      <c r="E22">
        <v>3110</v>
      </c>
      <c r="F22">
        <v>3110</v>
      </c>
      <c r="G22">
        <v>0</v>
      </c>
      <c r="H22">
        <v>0</v>
      </c>
      <c r="I22">
        <v>609491</v>
      </c>
      <c r="J22">
        <v>517905</v>
      </c>
      <c r="K22">
        <v>273695</v>
      </c>
      <c r="L22">
        <v>103775</v>
      </c>
      <c r="M22">
        <v>98775</v>
      </c>
      <c r="N22">
        <v>12728171</v>
      </c>
      <c r="O22">
        <v>3762109</v>
      </c>
      <c r="P22">
        <v>8966062</v>
      </c>
      <c r="Q22">
        <v>5813361</v>
      </c>
      <c r="R22">
        <v>21049370</v>
      </c>
      <c r="S22">
        <v>18403861</v>
      </c>
      <c r="T22">
        <v>46813192</v>
      </c>
      <c r="U22">
        <v>791983</v>
      </c>
      <c r="V22">
        <v>140421229</v>
      </c>
      <c r="W22">
        <v>4519475</v>
      </c>
      <c r="X22">
        <v>594038</v>
      </c>
      <c r="Y22">
        <v>0</v>
      </c>
      <c r="Z22">
        <v>121432</v>
      </c>
      <c r="AA22">
        <v>0</v>
      </c>
      <c r="AB22">
        <v>0</v>
      </c>
      <c r="AC22">
        <v>0</v>
      </c>
      <c r="AD22">
        <v>45926</v>
      </c>
      <c r="AE22">
        <v>0</v>
      </c>
      <c r="AF22">
        <v>88</v>
      </c>
      <c r="AG22">
        <v>55572</v>
      </c>
      <c r="AH22">
        <v>86800</v>
      </c>
      <c r="AI22" t="s">
        <v>625</v>
      </c>
      <c r="AJ22">
        <v>5423331</v>
      </c>
      <c r="AK22">
        <v>280852</v>
      </c>
      <c r="AL22">
        <v>1671917</v>
      </c>
      <c r="AM22">
        <v>0</v>
      </c>
      <c r="AN22">
        <v>0</v>
      </c>
      <c r="AO22">
        <v>87283</v>
      </c>
      <c r="AP22">
        <v>99558</v>
      </c>
      <c r="AQ22" t="s">
        <v>625</v>
      </c>
      <c r="AR22">
        <v>2139610</v>
      </c>
      <c r="AS22">
        <v>501874</v>
      </c>
      <c r="AT22">
        <v>5187305</v>
      </c>
      <c r="AU22">
        <v>2091111</v>
      </c>
      <c r="AV22">
        <v>0</v>
      </c>
      <c r="AW22">
        <v>5292186</v>
      </c>
      <c r="AX22">
        <v>11945707</v>
      </c>
      <c r="AY22">
        <v>25397323</v>
      </c>
      <c r="AZ22">
        <v>3389</v>
      </c>
      <c r="BA22">
        <v>0</v>
      </c>
      <c r="BB22">
        <v>40742</v>
      </c>
      <c r="BC22">
        <v>3908</v>
      </c>
      <c r="BD22">
        <v>0</v>
      </c>
      <c r="BE22">
        <v>95266</v>
      </c>
      <c r="BF22">
        <v>33945</v>
      </c>
      <c r="BG22">
        <v>1886</v>
      </c>
      <c r="BH22">
        <v>3137</v>
      </c>
      <c r="BI22">
        <v>4718</v>
      </c>
      <c r="BJ22">
        <v>2300</v>
      </c>
      <c r="BK22">
        <v>945573761</v>
      </c>
      <c r="BL22">
        <v>10846</v>
      </c>
      <c r="BM22">
        <v>945763052</v>
      </c>
      <c r="BN22">
        <v>89323601</v>
      </c>
      <c r="BO22">
        <v>949347</v>
      </c>
      <c r="BP22">
        <v>4888670</v>
      </c>
      <c r="BQ22">
        <v>5838017</v>
      </c>
      <c r="BR22">
        <v>5537284</v>
      </c>
      <c r="BS22">
        <v>50105484</v>
      </c>
      <c r="BT22">
        <v>55642768</v>
      </c>
      <c r="BU22">
        <v>748571</v>
      </c>
      <c r="BV22" t="s">
        <v>625</v>
      </c>
      <c r="BW22">
        <v>13359713</v>
      </c>
      <c r="BX22">
        <v>14108284</v>
      </c>
      <c r="BY22" t="s">
        <v>625</v>
      </c>
      <c r="BZ22" t="s">
        <v>625</v>
      </c>
      <c r="CA22" t="s">
        <v>625</v>
      </c>
      <c r="CB22" t="s">
        <v>625</v>
      </c>
      <c r="CC22" t="s">
        <v>625</v>
      </c>
      <c r="CD22" t="s">
        <v>625</v>
      </c>
      <c r="CE22" t="s">
        <v>625</v>
      </c>
      <c r="CF22">
        <v>5015868</v>
      </c>
      <c r="CG22">
        <v>632417</v>
      </c>
      <c r="CH22">
        <v>1903000</v>
      </c>
      <c r="CI22">
        <v>564000</v>
      </c>
      <c r="CJ22">
        <v>564000</v>
      </c>
      <c r="CK22">
        <v>8000</v>
      </c>
      <c r="CL22">
        <v>8000</v>
      </c>
      <c r="CM22">
        <v>83339989</v>
      </c>
      <c r="CN22">
        <v>41590752</v>
      </c>
      <c r="CO22">
        <v>4075290</v>
      </c>
      <c r="CP22">
        <v>36836</v>
      </c>
      <c r="CQ22">
        <v>4336225</v>
      </c>
      <c r="CR22">
        <v>12788480</v>
      </c>
      <c r="CS22">
        <v>4117</v>
      </c>
      <c r="CT22">
        <v>4029</v>
      </c>
      <c r="CU22">
        <v>1643193</v>
      </c>
      <c r="CV22">
        <v>1325666</v>
      </c>
      <c r="CW22">
        <v>9063353</v>
      </c>
      <c r="CX22">
        <v>20</v>
      </c>
      <c r="CY22" t="s">
        <v>721</v>
      </c>
      <c r="CZ22" s="62">
        <v>42069</v>
      </c>
      <c r="DA22" t="s">
        <v>722</v>
      </c>
      <c r="DB22" t="s">
        <v>723</v>
      </c>
      <c r="DC22" t="s">
        <v>724</v>
      </c>
      <c r="DD22" t="s">
        <v>725</v>
      </c>
      <c r="DE22">
        <v>94400020</v>
      </c>
      <c r="DF22">
        <v>88</v>
      </c>
      <c r="DG22">
        <v>98775</v>
      </c>
      <c r="DH22">
        <v>379140</v>
      </c>
      <c r="DI22">
        <v>5972450</v>
      </c>
      <c r="DJ22">
        <v>6763895</v>
      </c>
      <c r="DK22">
        <v>1371939</v>
      </c>
    </row>
    <row r="23" spans="1:115">
      <c r="A23" t="s">
        <v>604</v>
      </c>
      <c r="B23">
        <v>20141231</v>
      </c>
      <c r="C23">
        <v>1037003</v>
      </c>
      <c r="D23">
        <v>96687224</v>
      </c>
      <c r="E23">
        <v>0</v>
      </c>
      <c r="F23">
        <v>0</v>
      </c>
      <c r="G23">
        <v>0</v>
      </c>
      <c r="H23">
        <v>0</v>
      </c>
      <c r="I23">
        <v>338855</v>
      </c>
      <c r="J23">
        <v>0</v>
      </c>
      <c r="K23">
        <v>135727</v>
      </c>
      <c r="L23">
        <v>0</v>
      </c>
      <c r="M23">
        <v>0</v>
      </c>
      <c r="N23">
        <v>10625149</v>
      </c>
      <c r="O23">
        <v>2215051</v>
      </c>
      <c r="P23">
        <v>8410098</v>
      </c>
      <c r="Q23">
        <v>2341947</v>
      </c>
      <c r="R23">
        <v>10877144</v>
      </c>
      <c r="S23">
        <v>7779830</v>
      </c>
      <c r="T23">
        <v>23654384</v>
      </c>
      <c r="U23">
        <v>751817</v>
      </c>
      <c r="V23">
        <v>119589791</v>
      </c>
      <c r="W23">
        <v>1339784</v>
      </c>
      <c r="X23">
        <v>662824</v>
      </c>
      <c r="Y23">
        <v>0</v>
      </c>
      <c r="Z23">
        <v>2885</v>
      </c>
      <c r="AA23">
        <v>111587</v>
      </c>
      <c r="AB23">
        <v>0</v>
      </c>
      <c r="AC23">
        <v>700</v>
      </c>
      <c r="AD23">
        <v>13534</v>
      </c>
      <c r="AE23">
        <v>0</v>
      </c>
      <c r="AF23">
        <v>0</v>
      </c>
      <c r="AG23">
        <v>101099</v>
      </c>
      <c r="AH23">
        <v>28354</v>
      </c>
      <c r="AI23" t="s">
        <v>625</v>
      </c>
      <c r="AJ23">
        <v>2260067</v>
      </c>
      <c r="AK23">
        <v>1306734</v>
      </c>
      <c r="AL23">
        <v>2072836</v>
      </c>
      <c r="AM23">
        <v>0</v>
      </c>
      <c r="AN23">
        <v>1400000</v>
      </c>
      <c r="AO23">
        <v>187327</v>
      </c>
      <c r="AP23">
        <v>47151</v>
      </c>
      <c r="AQ23" t="s">
        <v>625</v>
      </c>
      <c r="AR23">
        <v>5014048</v>
      </c>
      <c r="AS23">
        <v>0</v>
      </c>
      <c r="AT23">
        <v>4000051</v>
      </c>
      <c r="AU23">
        <v>2422383</v>
      </c>
      <c r="AV23">
        <v>0</v>
      </c>
      <c r="AW23">
        <v>2374591</v>
      </c>
      <c r="AX23">
        <v>16626343</v>
      </c>
      <c r="AY23">
        <v>25803718</v>
      </c>
      <c r="AZ23">
        <v>70145</v>
      </c>
      <c r="BA23">
        <v>0</v>
      </c>
      <c r="BB23">
        <v>1709684</v>
      </c>
      <c r="BC23">
        <v>78357</v>
      </c>
      <c r="BD23">
        <v>0</v>
      </c>
      <c r="BE23">
        <v>1202956</v>
      </c>
      <c r="BF23">
        <v>379319</v>
      </c>
      <c r="BG23">
        <v>5518</v>
      </c>
      <c r="BH23">
        <v>659</v>
      </c>
      <c r="BI23">
        <v>165596</v>
      </c>
      <c r="BJ23">
        <v>3377</v>
      </c>
      <c r="BK23">
        <v>1542672120</v>
      </c>
      <c r="BL23">
        <v>59559</v>
      </c>
      <c r="BM23">
        <v>1546287731</v>
      </c>
      <c r="BN23">
        <v>112906366</v>
      </c>
      <c r="BO23">
        <v>0</v>
      </c>
      <c r="BP23">
        <v>25633255</v>
      </c>
      <c r="BQ23">
        <v>25633255</v>
      </c>
      <c r="BR23">
        <v>2570092</v>
      </c>
      <c r="BS23">
        <v>19578950</v>
      </c>
      <c r="BT23">
        <v>22149042</v>
      </c>
      <c r="BU23">
        <v>10033</v>
      </c>
      <c r="BV23" t="s">
        <v>625</v>
      </c>
      <c r="BW23">
        <v>9156382</v>
      </c>
      <c r="BX23">
        <v>9166415</v>
      </c>
      <c r="BY23" t="s">
        <v>625</v>
      </c>
      <c r="BZ23" t="s">
        <v>625</v>
      </c>
      <c r="CA23" t="s">
        <v>625</v>
      </c>
      <c r="CB23" t="s">
        <v>625</v>
      </c>
      <c r="CC23" t="s">
        <v>625</v>
      </c>
      <c r="CD23" t="s">
        <v>625</v>
      </c>
      <c r="CE23" t="s">
        <v>625</v>
      </c>
      <c r="CF23">
        <v>3507868</v>
      </c>
      <c r="CG23">
        <v>68365</v>
      </c>
      <c r="CH23">
        <v>316901</v>
      </c>
      <c r="CI23">
        <v>195731</v>
      </c>
      <c r="CJ23">
        <v>195731</v>
      </c>
      <c r="CK23">
        <v>36478</v>
      </c>
      <c r="CL23">
        <v>36478</v>
      </c>
      <c r="CM23">
        <v>84351328</v>
      </c>
      <c r="CN23">
        <v>38348460</v>
      </c>
      <c r="CO23">
        <v>4384692</v>
      </c>
      <c r="CP23">
        <v>35036</v>
      </c>
      <c r="CQ23">
        <v>4665123</v>
      </c>
      <c r="CR23">
        <v>16930080</v>
      </c>
      <c r="CS23">
        <v>0</v>
      </c>
      <c r="CT23">
        <v>1457221</v>
      </c>
      <c r="CU23">
        <v>338855</v>
      </c>
      <c r="CV23">
        <v>212068</v>
      </c>
      <c r="CW23">
        <v>0</v>
      </c>
      <c r="CX23">
        <v>9</v>
      </c>
      <c r="CY23" t="s">
        <v>726</v>
      </c>
      <c r="CZ23" s="62">
        <v>42365</v>
      </c>
      <c r="DA23" t="s">
        <v>727</v>
      </c>
      <c r="DB23" t="s">
        <v>728</v>
      </c>
      <c r="DC23" t="s">
        <v>729</v>
      </c>
      <c r="DD23" t="s">
        <v>730</v>
      </c>
      <c r="DE23">
        <v>96687224</v>
      </c>
      <c r="DF23">
        <v>1457221</v>
      </c>
      <c r="DG23">
        <v>0</v>
      </c>
      <c r="DH23">
        <v>380350</v>
      </c>
      <c r="DI23">
        <v>3241725</v>
      </c>
      <c r="DJ23">
        <v>4806419</v>
      </c>
      <c r="DK23">
        <v>1118271</v>
      </c>
    </row>
    <row r="24" spans="1:115">
      <c r="A24" t="s">
        <v>605</v>
      </c>
      <c r="B24">
        <v>20141231</v>
      </c>
      <c r="C24">
        <v>2162966</v>
      </c>
      <c r="D24">
        <v>801510000</v>
      </c>
      <c r="E24">
        <v>219996000</v>
      </c>
      <c r="F24">
        <v>293789921</v>
      </c>
      <c r="G24">
        <v>0</v>
      </c>
      <c r="H24">
        <v>0</v>
      </c>
      <c r="I24">
        <v>36394043</v>
      </c>
      <c r="J24">
        <v>63195108</v>
      </c>
      <c r="K24">
        <v>200771000</v>
      </c>
      <c r="L24">
        <v>913062000</v>
      </c>
      <c r="M24">
        <v>68181450</v>
      </c>
      <c r="N24">
        <v>0</v>
      </c>
      <c r="O24">
        <v>0</v>
      </c>
      <c r="P24">
        <v>0</v>
      </c>
      <c r="Q24">
        <v>49416905</v>
      </c>
      <c r="R24">
        <v>82074368</v>
      </c>
      <c r="S24">
        <v>7426362</v>
      </c>
      <c r="T24">
        <v>358222635</v>
      </c>
      <c r="U24">
        <v>15487000</v>
      </c>
      <c r="V24">
        <v>1281234664</v>
      </c>
      <c r="W24">
        <v>68060475</v>
      </c>
      <c r="X24">
        <v>25938684</v>
      </c>
      <c r="Y24">
        <v>334971</v>
      </c>
      <c r="Z24">
        <v>2788953</v>
      </c>
      <c r="AA24">
        <v>840435</v>
      </c>
      <c r="AB24">
        <v>847885</v>
      </c>
      <c r="AC24">
        <v>49299</v>
      </c>
      <c r="AD24">
        <v>31592619</v>
      </c>
      <c r="AE24">
        <v>13143612</v>
      </c>
      <c r="AF24">
        <v>16517538</v>
      </c>
      <c r="AG24">
        <v>17265974</v>
      </c>
      <c r="AH24">
        <v>70666455</v>
      </c>
      <c r="AI24" t="s">
        <v>625</v>
      </c>
      <c r="AJ24">
        <v>221710377</v>
      </c>
      <c r="AK24">
        <v>229837</v>
      </c>
      <c r="AL24">
        <v>1641500</v>
      </c>
      <c r="AM24">
        <v>460000</v>
      </c>
      <c r="AN24">
        <v>47240701</v>
      </c>
      <c r="AO24">
        <v>25237817</v>
      </c>
      <c r="AP24">
        <v>43550011</v>
      </c>
      <c r="AQ24" t="s">
        <v>625</v>
      </c>
      <c r="AR24">
        <v>118359866</v>
      </c>
      <c r="AS24">
        <v>12084768</v>
      </c>
      <c r="AT24">
        <v>141328421</v>
      </c>
      <c r="AU24">
        <v>13207000</v>
      </c>
      <c r="AV24">
        <v>0</v>
      </c>
      <c r="AW24">
        <v>1384459</v>
      </c>
      <c r="AX24">
        <v>72620221</v>
      </c>
      <c r="AY24">
        <v>246186644</v>
      </c>
      <c r="AZ24">
        <v>190873470</v>
      </c>
      <c r="BA24">
        <v>1238941441</v>
      </c>
      <c r="BB24">
        <v>317320111</v>
      </c>
      <c r="BC24">
        <v>211124074</v>
      </c>
      <c r="BD24">
        <v>403365989</v>
      </c>
      <c r="BE24">
        <v>1537797592</v>
      </c>
      <c r="BF24">
        <v>746137832</v>
      </c>
      <c r="BG24">
        <v>78142370</v>
      </c>
      <c r="BH24">
        <v>28675171</v>
      </c>
      <c r="BI24">
        <v>483693496</v>
      </c>
      <c r="BJ24">
        <v>63273513</v>
      </c>
      <c r="BK24">
        <v>6341302679</v>
      </c>
      <c r="BL24">
        <v>1466748770</v>
      </c>
      <c r="BM24">
        <v>11640647738</v>
      </c>
      <c r="BN24">
        <v>1573836522</v>
      </c>
      <c r="BO24">
        <v>71644000</v>
      </c>
      <c r="BP24">
        <v>259700000</v>
      </c>
      <c r="BQ24">
        <v>331344000</v>
      </c>
      <c r="BR24">
        <v>18705991605</v>
      </c>
      <c r="BS24">
        <v>15809898875</v>
      </c>
      <c r="BT24">
        <v>34515890480</v>
      </c>
      <c r="BU24">
        <v>358241692</v>
      </c>
      <c r="BV24" t="s">
        <v>625</v>
      </c>
      <c r="BW24">
        <v>69216000</v>
      </c>
      <c r="BX24">
        <v>427457692</v>
      </c>
      <c r="BY24" t="s">
        <v>625</v>
      </c>
      <c r="BZ24" t="s">
        <v>625</v>
      </c>
      <c r="CA24" t="s">
        <v>625</v>
      </c>
      <c r="CB24" t="s">
        <v>625</v>
      </c>
      <c r="CC24" t="s">
        <v>625</v>
      </c>
      <c r="CD24" t="s">
        <v>625</v>
      </c>
      <c r="CE24" t="s">
        <v>625</v>
      </c>
      <c r="CF24">
        <v>100000</v>
      </c>
      <c r="CG24">
        <v>22137000</v>
      </c>
      <c r="CH24">
        <v>350157000</v>
      </c>
      <c r="CI24">
        <v>307896193</v>
      </c>
      <c r="CJ24">
        <v>71771000</v>
      </c>
      <c r="CK24">
        <v>62056000</v>
      </c>
      <c r="CL24">
        <v>298181193</v>
      </c>
      <c r="CM24">
        <v>729406000</v>
      </c>
      <c r="CN24">
        <v>131298619</v>
      </c>
      <c r="CO24">
        <v>34180000</v>
      </c>
      <c r="CP24">
        <v>14300708</v>
      </c>
      <c r="CQ24">
        <v>37858000</v>
      </c>
      <c r="CR24">
        <v>76088226</v>
      </c>
      <c r="CS24">
        <v>319475096</v>
      </c>
      <c r="CT24">
        <v>255273832</v>
      </c>
      <c r="CU24">
        <v>644247935</v>
      </c>
      <c r="CV24">
        <v>621698401</v>
      </c>
      <c r="CW24">
        <v>0</v>
      </c>
      <c r="CX24">
        <v>51</v>
      </c>
      <c r="CY24" t="s">
        <v>731</v>
      </c>
      <c r="CZ24" s="62">
        <v>42069</v>
      </c>
      <c r="DA24" t="s">
        <v>732</v>
      </c>
      <c r="DB24" t="s">
        <v>733</v>
      </c>
      <c r="DC24" t="s">
        <v>734</v>
      </c>
      <c r="DD24" t="s">
        <v>735</v>
      </c>
      <c r="DE24">
        <v>938499029</v>
      </c>
      <c r="DF24">
        <v>18534000</v>
      </c>
      <c r="DG24">
        <v>95157965</v>
      </c>
      <c r="DH24">
        <v>5561775</v>
      </c>
      <c r="DI24">
        <v>79668880</v>
      </c>
      <c r="DJ24">
        <v>60813999</v>
      </c>
      <c r="DK24">
        <v>286974813</v>
      </c>
    </row>
    <row r="25" spans="1:115">
      <c r="A25" t="s">
        <v>736</v>
      </c>
      <c r="B25">
        <v>20141231</v>
      </c>
      <c r="C25">
        <v>1378434</v>
      </c>
      <c r="D25">
        <v>113678090</v>
      </c>
      <c r="E25">
        <v>62270</v>
      </c>
      <c r="F25">
        <v>62270</v>
      </c>
      <c r="G25">
        <v>0</v>
      </c>
      <c r="H25">
        <v>0</v>
      </c>
      <c r="I25">
        <v>911345</v>
      </c>
      <c r="J25">
        <v>360606</v>
      </c>
      <c r="K25">
        <v>457534</v>
      </c>
      <c r="L25">
        <v>0</v>
      </c>
      <c r="M25">
        <v>0</v>
      </c>
      <c r="N25">
        <v>0</v>
      </c>
      <c r="O25">
        <v>0</v>
      </c>
      <c r="P25">
        <v>0</v>
      </c>
      <c r="Q25">
        <v>2485284</v>
      </c>
      <c r="R25">
        <v>22560389</v>
      </c>
      <c r="S25">
        <v>16965093</v>
      </c>
      <c r="T25">
        <v>42471023</v>
      </c>
      <c r="U25">
        <v>2608335</v>
      </c>
      <c r="V25">
        <v>153901384</v>
      </c>
      <c r="W25">
        <v>6883741</v>
      </c>
      <c r="X25">
        <v>3833555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3699</v>
      </c>
      <c r="AE25">
        <v>0</v>
      </c>
      <c r="AF25">
        <v>2723</v>
      </c>
      <c r="AG25">
        <v>139876</v>
      </c>
      <c r="AH25">
        <v>107844</v>
      </c>
      <c r="AI25" t="s">
        <v>625</v>
      </c>
      <c r="AJ25">
        <v>10971438</v>
      </c>
      <c r="AK25">
        <v>1267219</v>
      </c>
      <c r="AL25">
        <v>3878690</v>
      </c>
      <c r="AM25">
        <v>0</v>
      </c>
      <c r="AN25">
        <v>0</v>
      </c>
      <c r="AO25">
        <v>163061</v>
      </c>
      <c r="AP25">
        <v>53968</v>
      </c>
      <c r="AQ25" t="s">
        <v>625</v>
      </c>
      <c r="AR25">
        <v>5362938</v>
      </c>
      <c r="AS25">
        <v>0</v>
      </c>
      <c r="AT25">
        <v>4345384</v>
      </c>
      <c r="AU25">
        <v>1812590</v>
      </c>
      <c r="AV25">
        <v>2592914</v>
      </c>
      <c r="AW25">
        <v>9438092</v>
      </c>
      <c r="AX25">
        <v>0</v>
      </c>
      <c r="AY25">
        <v>18188980</v>
      </c>
      <c r="AZ25">
        <v>28568</v>
      </c>
      <c r="BA25">
        <v>2634</v>
      </c>
      <c r="BB25">
        <v>320957</v>
      </c>
      <c r="BC25">
        <v>24309</v>
      </c>
      <c r="BD25">
        <v>200861</v>
      </c>
      <c r="BE25">
        <v>880033</v>
      </c>
      <c r="BF25">
        <v>457110</v>
      </c>
      <c r="BG25">
        <v>7774</v>
      </c>
      <c r="BH25">
        <v>3367</v>
      </c>
      <c r="BI25">
        <v>435926</v>
      </c>
      <c r="BJ25">
        <v>6183</v>
      </c>
      <c r="BK25">
        <v>945147547</v>
      </c>
      <c r="BL25">
        <v>239426</v>
      </c>
      <c r="BM25">
        <v>947515269</v>
      </c>
      <c r="BN25">
        <v>128819093</v>
      </c>
      <c r="BO25">
        <v>0</v>
      </c>
      <c r="BP25">
        <v>0</v>
      </c>
      <c r="BQ25">
        <v>0</v>
      </c>
      <c r="BR25">
        <v>21538472</v>
      </c>
      <c r="BS25">
        <v>50139635</v>
      </c>
      <c r="BT25">
        <v>71678107</v>
      </c>
      <c r="BU25">
        <v>203879</v>
      </c>
      <c r="BV25" t="s">
        <v>625</v>
      </c>
      <c r="BW25">
        <v>13724282</v>
      </c>
      <c r="BX25">
        <v>13928161</v>
      </c>
      <c r="BY25" t="s">
        <v>625</v>
      </c>
      <c r="BZ25" t="s">
        <v>625</v>
      </c>
      <c r="CA25" t="s">
        <v>625</v>
      </c>
      <c r="CB25" t="s">
        <v>625</v>
      </c>
      <c r="CC25" t="s">
        <v>625</v>
      </c>
      <c r="CD25" t="s">
        <v>625</v>
      </c>
      <c r="CE25" t="s">
        <v>625</v>
      </c>
      <c r="CF25">
        <v>8290908</v>
      </c>
      <c r="CG25">
        <v>2102106</v>
      </c>
      <c r="CH25">
        <v>4097000</v>
      </c>
      <c r="CI25">
        <v>3069000</v>
      </c>
      <c r="CJ25">
        <v>631000</v>
      </c>
      <c r="CK25">
        <v>1000</v>
      </c>
      <c r="CL25">
        <v>2439000</v>
      </c>
      <c r="CM25">
        <v>98463560</v>
      </c>
      <c r="CN25">
        <v>37668143</v>
      </c>
      <c r="CO25">
        <v>3972688</v>
      </c>
      <c r="CP25">
        <v>67543</v>
      </c>
      <c r="CQ25">
        <v>4380773</v>
      </c>
      <c r="CR25">
        <v>0</v>
      </c>
      <c r="CS25">
        <v>62270</v>
      </c>
      <c r="CT25">
        <v>67736</v>
      </c>
      <c r="CU25">
        <v>1747763</v>
      </c>
      <c r="CV25">
        <v>1462980</v>
      </c>
      <c r="CW25">
        <v>7052076</v>
      </c>
      <c r="CX25">
        <v>3</v>
      </c>
      <c r="CY25" t="s">
        <v>737</v>
      </c>
      <c r="CZ25" s="62">
        <v>42068</v>
      </c>
      <c r="DA25" t="s">
        <v>738</v>
      </c>
      <c r="DB25" t="s">
        <v>739</v>
      </c>
      <c r="DC25" t="s">
        <v>740</v>
      </c>
      <c r="DD25" t="s">
        <v>741</v>
      </c>
      <c r="DE25">
        <v>114038696</v>
      </c>
      <c r="DF25">
        <v>2723</v>
      </c>
      <c r="DG25">
        <v>0</v>
      </c>
      <c r="DH25">
        <v>0</v>
      </c>
      <c r="DI25">
        <v>524872</v>
      </c>
      <c r="DJ25">
        <v>6106179</v>
      </c>
      <c r="DK25">
        <v>7297110</v>
      </c>
    </row>
    <row r="26" spans="1:115">
      <c r="A26" t="s">
        <v>606</v>
      </c>
      <c r="B26">
        <v>20141231</v>
      </c>
      <c r="C26">
        <v>1199611</v>
      </c>
      <c r="D26">
        <v>109946485</v>
      </c>
      <c r="E26">
        <v>1000000</v>
      </c>
      <c r="F26">
        <v>1000000</v>
      </c>
      <c r="G26">
        <v>0</v>
      </c>
      <c r="H26">
        <v>0</v>
      </c>
      <c r="I26">
        <v>2249951</v>
      </c>
      <c r="J26">
        <v>315831</v>
      </c>
      <c r="K26">
        <v>1742441</v>
      </c>
      <c r="L26">
        <v>0</v>
      </c>
      <c r="M26">
        <v>0</v>
      </c>
      <c r="N26">
        <v>0</v>
      </c>
      <c r="O26">
        <v>0</v>
      </c>
      <c r="P26">
        <v>0</v>
      </c>
      <c r="Q26">
        <v>7517216</v>
      </c>
      <c r="R26">
        <v>28357064</v>
      </c>
      <c r="S26">
        <v>4223631</v>
      </c>
      <c r="T26">
        <v>41853150</v>
      </c>
      <c r="U26">
        <v>546000</v>
      </c>
      <c r="V26">
        <v>151569466</v>
      </c>
      <c r="W26">
        <v>36699246</v>
      </c>
      <c r="X26">
        <v>1600886</v>
      </c>
      <c r="Y26">
        <v>1654079</v>
      </c>
      <c r="Z26">
        <v>1238887</v>
      </c>
      <c r="AA26">
        <v>0</v>
      </c>
      <c r="AB26">
        <v>0</v>
      </c>
      <c r="AC26">
        <v>924328</v>
      </c>
      <c r="AD26">
        <v>0</v>
      </c>
      <c r="AE26">
        <v>0</v>
      </c>
      <c r="AF26">
        <v>12798</v>
      </c>
      <c r="AG26">
        <v>1211168</v>
      </c>
      <c r="AH26">
        <v>785527</v>
      </c>
      <c r="AI26" t="s">
        <v>625</v>
      </c>
      <c r="AJ26">
        <v>43202591</v>
      </c>
      <c r="AK26">
        <v>686355</v>
      </c>
      <c r="AL26">
        <v>15386330</v>
      </c>
      <c r="AM26">
        <v>0</v>
      </c>
      <c r="AN26">
        <v>71526</v>
      </c>
      <c r="AO26">
        <v>313274</v>
      </c>
      <c r="AP26">
        <v>1110313</v>
      </c>
      <c r="AQ26" t="s">
        <v>625</v>
      </c>
      <c r="AR26">
        <v>17567798</v>
      </c>
      <c r="AS26">
        <v>1500000</v>
      </c>
      <c r="AT26">
        <v>2645406</v>
      </c>
      <c r="AU26">
        <v>1860540</v>
      </c>
      <c r="AV26">
        <v>0</v>
      </c>
      <c r="AW26">
        <v>1757419</v>
      </c>
      <c r="AX26">
        <v>8060398</v>
      </c>
      <c r="AY26">
        <v>16212311</v>
      </c>
      <c r="AZ26">
        <v>361113695</v>
      </c>
      <c r="BA26">
        <v>27262251</v>
      </c>
      <c r="BB26">
        <v>443202224</v>
      </c>
      <c r="BC26">
        <v>181768569</v>
      </c>
      <c r="BD26">
        <v>9751037</v>
      </c>
      <c r="BE26">
        <v>4201288291</v>
      </c>
      <c r="BF26">
        <v>5180263723</v>
      </c>
      <c r="BG26">
        <v>114354007</v>
      </c>
      <c r="BH26">
        <v>27742068</v>
      </c>
      <c r="BI26">
        <v>353279701</v>
      </c>
      <c r="BJ26">
        <v>567323540</v>
      </c>
      <c r="BK26">
        <v>23866618959</v>
      </c>
      <c r="BL26">
        <v>1028123601</v>
      </c>
      <c r="BM26">
        <v>35333968065</v>
      </c>
      <c r="BN26">
        <v>5968800000</v>
      </c>
      <c r="BO26">
        <v>0</v>
      </c>
      <c r="BP26">
        <v>0</v>
      </c>
      <c r="BQ26">
        <v>0</v>
      </c>
      <c r="BR26">
        <v>1499172</v>
      </c>
      <c r="BS26">
        <v>268554331</v>
      </c>
      <c r="BT26">
        <v>270053503</v>
      </c>
      <c r="BU26">
        <v>4741</v>
      </c>
      <c r="BV26" t="s">
        <v>625</v>
      </c>
      <c r="BW26">
        <v>29558497</v>
      </c>
      <c r="BX26">
        <v>29563238</v>
      </c>
      <c r="BY26" t="s">
        <v>625</v>
      </c>
      <c r="BZ26" t="s">
        <v>625</v>
      </c>
      <c r="CA26" t="s">
        <v>625</v>
      </c>
      <c r="CB26" t="s">
        <v>625</v>
      </c>
      <c r="CC26" t="s">
        <v>625</v>
      </c>
      <c r="CD26" t="s">
        <v>625</v>
      </c>
      <c r="CE26" t="s">
        <v>625</v>
      </c>
      <c r="CF26">
        <v>3246430</v>
      </c>
      <c r="CG26">
        <v>18109</v>
      </c>
      <c r="CH26">
        <v>26139000</v>
      </c>
      <c r="CI26">
        <v>64577000</v>
      </c>
      <c r="CJ26">
        <v>25373000</v>
      </c>
      <c r="CK26">
        <v>11311000</v>
      </c>
      <c r="CL26">
        <v>50515000</v>
      </c>
      <c r="CM26">
        <v>101497539</v>
      </c>
      <c r="CN26">
        <v>11778053</v>
      </c>
      <c r="CO26">
        <v>4338357</v>
      </c>
      <c r="CP26">
        <v>1020981</v>
      </c>
      <c r="CQ26">
        <v>4519787</v>
      </c>
      <c r="CR26">
        <v>16568690</v>
      </c>
      <c r="CS26">
        <v>1862674</v>
      </c>
      <c r="CT26">
        <v>1921650</v>
      </c>
      <c r="CU26">
        <v>4507229</v>
      </c>
      <c r="CV26">
        <v>4227383</v>
      </c>
      <c r="CW26">
        <v>0</v>
      </c>
      <c r="CX26">
        <v>20</v>
      </c>
      <c r="CY26" t="s">
        <v>742</v>
      </c>
      <c r="CZ26" s="62">
        <v>42068</v>
      </c>
      <c r="DA26" t="s">
        <v>743</v>
      </c>
      <c r="DB26" t="s">
        <v>744</v>
      </c>
      <c r="DC26" t="s">
        <v>745</v>
      </c>
      <c r="DD26" t="s">
        <v>746</v>
      </c>
      <c r="DE26">
        <v>110262316</v>
      </c>
      <c r="DF26">
        <v>12798</v>
      </c>
      <c r="DG26">
        <v>0</v>
      </c>
      <c r="DH26">
        <v>388548</v>
      </c>
      <c r="DI26">
        <v>8991000</v>
      </c>
      <c r="DJ26">
        <v>13080000</v>
      </c>
      <c r="DK26">
        <v>7492238</v>
      </c>
    </row>
    <row r="27" spans="1:115">
      <c r="A27" t="s">
        <v>607</v>
      </c>
      <c r="B27">
        <v>20141231</v>
      </c>
      <c r="C27">
        <v>1069778</v>
      </c>
      <c r="D27">
        <v>345243081</v>
      </c>
      <c r="E27">
        <v>1652385</v>
      </c>
      <c r="F27">
        <v>1652385</v>
      </c>
      <c r="G27">
        <v>0</v>
      </c>
      <c r="H27">
        <v>0</v>
      </c>
      <c r="I27">
        <v>2587000</v>
      </c>
      <c r="J27">
        <v>506000</v>
      </c>
      <c r="K27">
        <v>1133000</v>
      </c>
      <c r="L27">
        <v>2796423</v>
      </c>
      <c r="M27">
        <v>2734000</v>
      </c>
      <c r="N27">
        <v>36680000</v>
      </c>
      <c r="O27">
        <v>17026000</v>
      </c>
      <c r="P27">
        <v>19654000</v>
      </c>
      <c r="Q27">
        <v>21432000</v>
      </c>
      <c r="R27">
        <v>77966000</v>
      </c>
      <c r="S27">
        <v>20814000</v>
      </c>
      <c r="T27">
        <v>125059000</v>
      </c>
      <c r="U27">
        <v>10883000</v>
      </c>
      <c r="V27">
        <v>459925081</v>
      </c>
      <c r="W27">
        <v>8033000</v>
      </c>
      <c r="X27">
        <v>2571000</v>
      </c>
      <c r="Y27">
        <v>140000</v>
      </c>
      <c r="Z27">
        <v>440000</v>
      </c>
      <c r="AA27">
        <v>59000</v>
      </c>
      <c r="AB27">
        <v>0</v>
      </c>
      <c r="AC27">
        <v>9000</v>
      </c>
      <c r="AD27">
        <v>6866000</v>
      </c>
      <c r="AE27">
        <v>375000</v>
      </c>
      <c r="AF27">
        <v>177000</v>
      </c>
      <c r="AG27">
        <v>251000</v>
      </c>
      <c r="AH27">
        <v>474000</v>
      </c>
      <c r="AI27" t="s">
        <v>625</v>
      </c>
      <c r="AJ27">
        <v>18636000</v>
      </c>
      <c r="AK27">
        <v>561000</v>
      </c>
      <c r="AL27">
        <v>7140000</v>
      </c>
      <c r="AM27">
        <v>0</v>
      </c>
      <c r="AN27">
        <v>152000</v>
      </c>
      <c r="AO27">
        <v>227000</v>
      </c>
      <c r="AP27">
        <v>262000</v>
      </c>
      <c r="AQ27" t="s">
        <v>625</v>
      </c>
      <c r="AR27">
        <v>8342000</v>
      </c>
      <c r="AS27">
        <v>0</v>
      </c>
      <c r="AT27">
        <v>15750000</v>
      </c>
      <c r="AU27">
        <v>9151078</v>
      </c>
      <c r="AV27">
        <v>4995348</v>
      </c>
      <c r="AW27">
        <v>406000</v>
      </c>
      <c r="AX27">
        <v>47732000</v>
      </c>
      <c r="AY27">
        <v>78034804</v>
      </c>
      <c r="AZ27">
        <v>11273000</v>
      </c>
      <c r="BA27">
        <v>0</v>
      </c>
      <c r="BB27">
        <v>38738000</v>
      </c>
      <c r="BC27">
        <v>10744000</v>
      </c>
      <c r="BD27">
        <v>305000</v>
      </c>
      <c r="BE27">
        <v>32288000</v>
      </c>
      <c r="BF27">
        <v>14535000</v>
      </c>
      <c r="BG27">
        <v>651000</v>
      </c>
      <c r="BH27">
        <v>29000</v>
      </c>
      <c r="BI27">
        <v>6516000</v>
      </c>
      <c r="BJ27">
        <v>5187000</v>
      </c>
      <c r="BK27">
        <v>2478185000</v>
      </c>
      <c r="BL27">
        <v>10779000</v>
      </c>
      <c r="BM27">
        <v>2598451000</v>
      </c>
      <c r="BN27">
        <v>171000000</v>
      </c>
      <c r="BO27">
        <v>419000</v>
      </c>
      <c r="BP27">
        <v>12321000</v>
      </c>
      <c r="BQ27">
        <v>12740000</v>
      </c>
      <c r="BR27">
        <v>144294000</v>
      </c>
      <c r="BS27">
        <v>134115000</v>
      </c>
      <c r="BT27">
        <v>278409000</v>
      </c>
      <c r="BU27">
        <v>2353000</v>
      </c>
      <c r="BV27" t="s">
        <v>625</v>
      </c>
      <c r="BW27">
        <v>44234612</v>
      </c>
      <c r="BX27">
        <v>46587612</v>
      </c>
      <c r="BY27" t="s">
        <v>625</v>
      </c>
      <c r="BZ27" t="s">
        <v>625</v>
      </c>
      <c r="CA27" t="s">
        <v>625</v>
      </c>
      <c r="CB27" t="s">
        <v>625</v>
      </c>
      <c r="CC27" t="s">
        <v>625</v>
      </c>
      <c r="CD27" t="s">
        <v>625</v>
      </c>
      <c r="CE27" t="s">
        <v>625</v>
      </c>
      <c r="CF27">
        <v>11588146</v>
      </c>
      <c r="CG27">
        <v>10257987</v>
      </c>
      <c r="CH27">
        <v>5343000</v>
      </c>
      <c r="CI27">
        <v>5251000</v>
      </c>
      <c r="CJ27">
        <v>2618000</v>
      </c>
      <c r="CK27">
        <v>26000</v>
      </c>
      <c r="CL27">
        <v>2659000</v>
      </c>
      <c r="CM27">
        <v>299168764</v>
      </c>
      <c r="CN27">
        <v>142730000</v>
      </c>
      <c r="CO27">
        <v>15366484</v>
      </c>
      <c r="CP27">
        <v>176000</v>
      </c>
      <c r="CQ27">
        <v>16272884</v>
      </c>
      <c r="CR27">
        <v>48901000</v>
      </c>
      <c r="CS27">
        <v>3681000</v>
      </c>
      <c r="CT27">
        <v>3656000</v>
      </c>
      <c r="CU27">
        <v>5745000</v>
      </c>
      <c r="CV27">
        <v>3984000</v>
      </c>
      <c r="CW27">
        <v>134876000</v>
      </c>
      <c r="CX27">
        <v>9</v>
      </c>
      <c r="CY27" t="s">
        <v>747</v>
      </c>
      <c r="CZ27" s="62">
        <v>42069</v>
      </c>
      <c r="DA27" t="s">
        <v>748</v>
      </c>
      <c r="DB27" t="s">
        <v>749</v>
      </c>
      <c r="DC27" t="s">
        <v>750</v>
      </c>
      <c r="DD27" t="s">
        <v>751</v>
      </c>
      <c r="DE27">
        <v>345749081</v>
      </c>
      <c r="DF27">
        <v>46000</v>
      </c>
      <c r="DG27">
        <v>2734000</v>
      </c>
      <c r="DH27">
        <v>378</v>
      </c>
      <c r="DI27">
        <v>19031000</v>
      </c>
      <c r="DJ27">
        <v>11172000</v>
      </c>
      <c r="DK27">
        <v>16384612</v>
      </c>
    </row>
    <row r="28" spans="1:115">
      <c r="A28" t="s">
        <v>609</v>
      </c>
      <c r="B28">
        <v>20141231</v>
      </c>
      <c r="C28">
        <v>3242838</v>
      </c>
      <c r="D28">
        <v>119888669</v>
      </c>
      <c r="E28">
        <v>100000</v>
      </c>
      <c r="F28">
        <v>100000</v>
      </c>
      <c r="G28">
        <v>105001</v>
      </c>
      <c r="H28">
        <v>0</v>
      </c>
      <c r="I28">
        <v>0</v>
      </c>
      <c r="J28">
        <v>111280</v>
      </c>
      <c r="K28">
        <v>410402</v>
      </c>
      <c r="L28">
        <v>1024779</v>
      </c>
      <c r="M28">
        <v>1024779</v>
      </c>
      <c r="N28">
        <v>11816382</v>
      </c>
      <c r="O28">
        <v>5235210</v>
      </c>
      <c r="P28">
        <v>6581171</v>
      </c>
      <c r="Q28">
        <v>5846922</v>
      </c>
      <c r="R28">
        <v>26381126</v>
      </c>
      <c r="S28">
        <v>2472433</v>
      </c>
      <c r="T28">
        <v>36292522</v>
      </c>
      <c r="U28">
        <v>5030707</v>
      </c>
      <c r="V28">
        <v>151156763</v>
      </c>
      <c r="W28">
        <v>490882</v>
      </c>
      <c r="X28">
        <v>0</v>
      </c>
      <c r="Y28">
        <v>806</v>
      </c>
      <c r="Z28">
        <v>161799</v>
      </c>
      <c r="AA28">
        <v>3902</v>
      </c>
      <c r="AB28">
        <v>0</v>
      </c>
      <c r="AC28">
        <v>0</v>
      </c>
      <c r="AD28">
        <v>44353</v>
      </c>
      <c r="AE28">
        <v>0</v>
      </c>
      <c r="AF28">
        <v>0</v>
      </c>
      <c r="AG28">
        <v>370347</v>
      </c>
      <c r="AH28">
        <v>242161</v>
      </c>
      <c r="AI28" t="s">
        <v>625</v>
      </c>
      <c r="AJ28">
        <v>1314250</v>
      </c>
      <c r="AK28">
        <v>7545</v>
      </c>
      <c r="AL28">
        <v>6493720</v>
      </c>
      <c r="AM28">
        <v>0</v>
      </c>
      <c r="AN28">
        <v>0</v>
      </c>
      <c r="AO28">
        <v>162335</v>
      </c>
      <c r="AP28">
        <v>168240</v>
      </c>
      <c r="AQ28" t="s">
        <v>625</v>
      </c>
      <c r="AR28">
        <v>6831840</v>
      </c>
      <c r="AS28">
        <v>0</v>
      </c>
      <c r="AT28">
        <v>1247729</v>
      </c>
      <c r="AU28">
        <v>2158479</v>
      </c>
      <c r="AV28">
        <v>0</v>
      </c>
      <c r="AW28">
        <v>8594146</v>
      </c>
      <c r="AX28">
        <v>14297627</v>
      </c>
      <c r="AY28">
        <v>27305881</v>
      </c>
      <c r="AZ28">
        <v>202207</v>
      </c>
      <c r="BA28">
        <v>0</v>
      </c>
      <c r="BB28">
        <v>1292822</v>
      </c>
      <c r="BC28">
        <v>131220</v>
      </c>
      <c r="BD28">
        <v>21564</v>
      </c>
      <c r="BE28">
        <v>3751522</v>
      </c>
      <c r="BF28">
        <v>1896466</v>
      </c>
      <c r="BG28">
        <v>26306</v>
      </c>
      <c r="BH28">
        <v>4770</v>
      </c>
      <c r="BI28">
        <v>210487</v>
      </c>
      <c r="BJ28">
        <v>12372</v>
      </c>
      <c r="BK28">
        <v>793280102</v>
      </c>
      <c r="BL28">
        <v>475781</v>
      </c>
      <c r="BM28">
        <v>800829838</v>
      </c>
      <c r="BN28">
        <v>17108381</v>
      </c>
      <c r="BO28">
        <v>99948</v>
      </c>
      <c r="BP28">
        <v>1300257</v>
      </c>
      <c r="BQ28">
        <v>1400205</v>
      </c>
      <c r="BR28">
        <v>30283421</v>
      </c>
      <c r="BS28">
        <v>48953097</v>
      </c>
      <c r="BT28">
        <v>79236518</v>
      </c>
      <c r="BU28">
        <v>105900</v>
      </c>
      <c r="BV28" t="s">
        <v>625</v>
      </c>
      <c r="BW28">
        <v>22052868</v>
      </c>
      <c r="BX28">
        <v>22158768</v>
      </c>
      <c r="BY28" t="s">
        <v>625</v>
      </c>
      <c r="BZ28" t="s">
        <v>625</v>
      </c>
      <c r="CA28" t="s">
        <v>625</v>
      </c>
      <c r="CB28" t="s">
        <v>625</v>
      </c>
      <c r="CC28" t="s">
        <v>625</v>
      </c>
      <c r="CD28" t="s">
        <v>625</v>
      </c>
      <c r="CE28" t="s">
        <v>625</v>
      </c>
      <c r="CF28">
        <v>2174579</v>
      </c>
      <c r="CG28">
        <v>275713</v>
      </c>
      <c r="CH28">
        <v>937000</v>
      </c>
      <c r="CI28">
        <v>748000</v>
      </c>
      <c r="CJ28">
        <v>265000</v>
      </c>
      <c r="CK28">
        <v>0</v>
      </c>
      <c r="CL28">
        <v>483000</v>
      </c>
      <c r="CM28">
        <v>102900508</v>
      </c>
      <c r="CN28">
        <v>49536361</v>
      </c>
      <c r="CO28">
        <v>5206339</v>
      </c>
      <c r="CP28">
        <v>-253</v>
      </c>
      <c r="CQ28">
        <v>5515371</v>
      </c>
      <c r="CR28">
        <v>15685963</v>
      </c>
      <c r="CS28">
        <v>100000</v>
      </c>
      <c r="CT28">
        <v>0</v>
      </c>
      <c r="CU28">
        <v>1232720</v>
      </c>
      <c r="CV28">
        <v>1271907</v>
      </c>
      <c r="CW28">
        <v>2831730</v>
      </c>
      <c r="CX28">
        <v>1</v>
      </c>
      <c r="CY28" t="s">
        <v>752</v>
      </c>
      <c r="CZ28" s="62">
        <v>42067</v>
      </c>
      <c r="DA28" t="s">
        <v>753</v>
      </c>
      <c r="DB28" t="s">
        <v>754</v>
      </c>
      <c r="DC28" t="s">
        <v>755</v>
      </c>
      <c r="DD28" t="s">
        <v>756</v>
      </c>
      <c r="DE28">
        <v>119894948</v>
      </c>
      <c r="DF28">
        <v>0</v>
      </c>
      <c r="DG28">
        <v>1024779</v>
      </c>
      <c r="DH28">
        <v>1007900</v>
      </c>
      <c r="DI28">
        <v>4415543</v>
      </c>
      <c r="DJ28">
        <v>12929454</v>
      </c>
      <c r="DK28">
        <v>4813771</v>
      </c>
    </row>
    <row r="29" spans="1:115">
      <c r="A29" t="s">
        <v>610</v>
      </c>
      <c r="B29">
        <v>20141231</v>
      </c>
      <c r="C29">
        <v>3981856</v>
      </c>
      <c r="D29">
        <v>118353279</v>
      </c>
      <c r="E29">
        <v>0</v>
      </c>
      <c r="F29">
        <v>0</v>
      </c>
      <c r="G29">
        <v>0</v>
      </c>
      <c r="H29">
        <v>0</v>
      </c>
      <c r="I29">
        <v>366061</v>
      </c>
      <c r="J29">
        <v>5940</v>
      </c>
      <c r="K29">
        <v>416104</v>
      </c>
      <c r="L29">
        <v>256565</v>
      </c>
      <c r="M29">
        <v>256565</v>
      </c>
      <c r="N29">
        <v>6876666</v>
      </c>
      <c r="O29">
        <v>1063116</v>
      </c>
      <c r="P29">
        <v>0</v>
      </c>
      <c r="Q29">
        <v>7854964</v>
      </c>
      <c r="R29">
        <v>18578713</v>
      </c>
      <c r="S29">
        <v>1868057</v>
      </c>
      <c r="T29">
        <v>34637700</v>
      </c>
      <c r="U29">
        <v>6638562</v>
      </c>
      <c r="V29">
        <v>146358357</v>
      </c>
      <c r="W29">
        <v>1177601</v>
      </c>
      <c r="X29">
        <v>940648</v>
      </c>
      <c r="Y29">
        <v>108239</v>
      </c>
      <c r="Z29">
        <v>1480600</v>
      </c>
      <c r="AA29">
        <v>0</v>
      </c>
      <c r="AB29">
        <v>0</v>
      </c>
      <c r="AC29">
        <v>0</v>
      </c>
      <c r="AD29">
        <v>10343</v>
      </c>
      <c r="AE29">
        <v>0</v>
      </c>
      <c r="AF29">
        <v>0</v>
      </c>
      <c r="AG29">
        <v>48809</v>
      </c>
      <c r="AH29">
        <v>55115</v>
      </c>
      <c r="AI29" t="s">
        <v>625</v>
      </c>
      <c r="AJ29">
        <v>3821355</v>
      </c>
      <c r="AK29">
        <v>131493</v>
      </c>
      <c r="AL29">
        <v>1447322</v>
      </c>
      <c r="AM29">
        <v>5440810</v>
      </c>
      <c r="AN29">
        <v>0</v>
      </c>
      <c r="AO29">
        <v>189896</v>
      </c>
      <c r="AP29">
        <v>80427</v>
      </c>
      <c r="AQ29" t="s">
        <v>625</v>
      </c>
      <c r="AR29">
        <v>7289948</v>
      </c>
      <c r="AS29">
        <v>11691889</v>
      </c>
      <c r="AT29">
        <v>1573909</v>
      </c>
      <c r="AU29">
        <v>909381</v>
      </c>
      <c r="AV29">
        <v>0</v>
      </c>
      <c r="AW29">
        <v>7311308</v>
      </c>
      <c r="AX29">
        <v>0</v>
      </c>
      <c r="AY29">
        <v>21681932</v>
      </c>
      <c r="AZ29">
        <v>24429</v>
      </c>
      <c r="BA29">
        <v>0</v>
      </c>
      <c r="BB29">
        <v>456024</v>
      </c>
      <c r="BC29">
        <v>19327</v>
      </c>
      <c r="BD29">
        <v>0</v>
      </c>
      <c r="BE29">
        <v>888875</v>
      </c>
      <c r="BF29">
        <v>295017</v>
      </c>
      <c r="BG29">
        <v>102</v>
      </c>
      <c r="BH29">
        <v>0</v>
      </c>
      <c r="BI29">
        <v>9551</v>
      </c>
      <c r="BJ29">
        <v>7643</v>
      </c>
      <c r="BK29">
        <v>49880223</v>
      </c>
      <c r="BL29">
        <v>421257</v>
      </c>
      <c r="BM29">
        <v>51581191</v>
      </c>
      <c r="BN29">
        <v>0</v>
      </c>
      <c r="BO29">
        <v>0</v>
      </c>
      <c r="BP29">
        <v>0</v>
      </c>
      <c r="BQ29">
        <v>0</v>
      </c>
      <c r="BR29">
        <v>22695603</v>
      </c>
      <c r="BS29">
        <v>26309894</v>
      </c>
      <c r="BT29">
        <v>49005497</v>
      </c>
      <c r="BU29">
        <v>833936</v>
      </c>
      <c r="BV29" t="s">
        <v>625</v>
      </c>
      <c r="BW29">
        <v>15908078</v>
      </c>
      <c r="BX29">
        <v>16742014</v>
      </c>
      <c r="BY29" t="s">
        <v>625</v>
      </c>
      <c r="BZ29" t="s">
        <v>625</v>
      </c>
      <c r="CA29" t="s">
        <v>625</v>
      </c>
      <c r="CB29" t="s">
        <v>625</v>
      </c>
      <c r="CC29" t="s">
        <v>625</v>
      </c>
      <c r="CD29" t="s">
        <v>625</v>
      </c>
      <c r="CE29" t="s">
        <v>625</v>
      </c>
      <c r="CF29">
        <v>0</v>
      </c>
      <c r="CG29">
        <v>2261671</v>
      </c>
      <c r="CH29">
        <v>3785125</v>
      </c>
      <c r="CI29">
        <v>1207068</v>
      </c>
      <c r="CJ29">
        <v>632999</v>
      </c>
      <c r="CK29">
        <v>0</v>
      </c>
      <c r="CL29">
        <v>574069</v>
      </c>
      <c r="CM29">
        <v>95849184</v>
      </c>
      <c r="CN29">
        <v>32582674</v>
      </c>
      <c r="CO29">
        <v>10840522</v>
      </c>
      <c r="CP29">
        <v>12554</v>
      </c>
      <c r="CQ29">
        <v>11895245</v>
      </c>
      <c r="CR29">
        <v>0</v>
      </c>
      <c r="CS29">
        <v>0</v>
      </c>
      <c r="CT29">
        <v>0</v>
      </c>
      <c r="CU29">
        <v>387170</v>
      </c>
      <c r="CV29">
        <v>374991</v>
      </c>
      <c r="CW29">
        <v>784601</v>
      </c>
      <c r="CX29">
        <v>3</v>
      </c>
      <c r="CY29" t="s">
        <v>757</v>
      </c>
      <c r="CZ29" s="62">
        <v>42069</v>
      </c>
      <c r="DA29" t="s">
        <v>758</v>
      </c>
      <c r="DB29">
        <v>6102086435</v>
      </c>
      <c r="DC29">
        <v>6103715438</v>
      </c>
      <c r="DD29" t="s">
        <v>759</v>
      </c>
      <c r="DE29">
        <v>118359219</v>
      </c>
      <c r="DF29">
        <v>0</v>
      </c>
      <c r="DG29">
        <v>256565</v>
      </c>
      <c r="DH29">
        <v>195445</v>
      </c>
      <c r="DI29">
        <v>4204119</v>
      </c>
      <c r="DJ29">
        <v>3415311</v>
      </c>
      <c r="DK29">
        <v>9122584</v>
      </c>
    </row>
    <row r="30" spans="1:115">
      <c r="A30" t="s">
        <v>611</v>
      </c>
      <c r="B30">
        <v>20141231</v>
      </c>
      <c r="C30">
        <v>1111435</v>
      </c>
      <c r="D30">
        <v>274119072</v>
      </c>
      <c r="E30">
        <v>2389657</v>
      </c>
      <c r="F30">
        <v>30423184</v>
      </c>
      <c r="G30">
        <v>45144145</v>
      </c>
      <c r="H30">
        <v>7435293</v>
      </c>
      <c r="I30">
        <v>9815545</v>
      </c>
      <c r="J30">
        <v>0</v>
      </c>
      <c r="K30">
        <v>7366870</v>
      </c>
      <c r="L30">
        <v>0</v>
      </c>
      <c r="M30">
        <v>0</v>
      </c>
      <c r="N30">
        <v>0</v>
      </c>
      <c r="O30">
        <v>0</v>
      </c>
      <c r="P30">
        <v>0</v>
      </c>
      <c r="Q30">
        <v>19160798</v>
      </c>
      <c r="R30">
        <v>9721121</v>
      </c>
      <c r="S30">
        <v>4720499</v>
      </c>
      <c r="T30">
        <v>42414396</v>
      </c>
      <c r="U30">
        <v>7211195</v>
      </c>
      <c r="V30">
        <v>292211655</v>
      </c>
      <c r="W30">
        <v>16305838</v>
      </c>
      <c r="X30">
        <v>2703883</v>
      </c>
      <c r="Y30">
        <v>3642243</v>
      </c>
      <c r="Z30">
        <v>922997</v>
      </c>
      <c r="AA30">
        <v>304212</v>
      </c>
      <c r="AB30">
        <v>0</v>
      </c>
      <c r="AC30">
        <v>800294</v>
      </c>
      <c r="AD30">
        <v>100041</v>
      </c>
      <c r="AE30">
        <v>0</v>
      </c>
      <c r="AF30">
        <v>1445101</v>
      </c>
      <c r="AG30">
        <v>9093536</v>
      </c>
      <c r="AH30">
        <v>3848330</v>
      </c>
      <c r="AI30" t="s">
        <v>625</v>
      </c>
      <c r="AJ30">
        <v>38366181</v>
      </c>
      <c r="AK30">
        <v>5585865</v>
      </c>
      <c r="AL30">
        <v>176681907</v>
      </c>
      <c r="AM30">
        <v>690000</v>
      </c>
      <c r="AN30">
        <v>21912239</v>
      </c>
      <c r="AO30">
        <v>6335657</v>
      </c>
      <c r="AP30">
        <v>2833201</v>
      </c>
      <c r="AQ30" t="s">
        <v>625</v>
      </c>
      <c r="AR30">
        <v>214038869</v>
      </c>
      <c r="AS30">
        <v>0</v>
      </c>
      <c r="AT30">
        <v>5769000</v>
      </c>
      <c r="AU30">
        <v>3504184</v>
      </c>
      <c r="AV30">
        <v>2484936</v>
      </c>
      <c r="AW30">
        <v>13764500</v>
      </c>
      <c r="AX30">
        <v>32592819</v>
      </c>
      <c r="AY30">
        <v>60107009</v>
      </c>
      <c r="AZ30">
        <v>442976938</v>
      </c>
      <c r="BA30">
        <v>118146278</v>
      </c>
      <c r="BB30">
        <v>1253091632</v>
      </c>
      <c r="BC30">
        <v>693756343</v>
      </c>
      <c r="BD30">
        <v>223595201</v>
      </c>
      <c r="BE30">
        <v>10359823627</v>
      </c>
      <c r="BF30">
        <v>3322774977</v>
      </c>
      <c r="BG30">
        <v>501647772</v>
      </c>
      <c r="BH30">
        <v>0</v>
      </c>
      <c r="BI30">
        <v>2584434900</v>
      </c>
      <c r="BJ30">
        <v>129017872</v>
      </c>
      <c r="BK30">
        <v>51385504701</v>
      </c>
      <c r="BL30">
        <v>1243609247</v>
      </c>
      <c r="BM30">
        <v>71014770241</v>
      </c>
      <c r="BN30">
        <v>21656000000</v>
      </c>
      <c r="BO30">
        <v>0</v>
      </c>
      <c r="BP30">
        <v>0</v>
      </c>
      <c r="BQ30">
        <v>0</v>
      </c>
      <c r="BR30">
        <v>3475000</v>
      </c>
      <c r="BS30">
        <v>1235712564</v>
      </c>
      <c r="BT30">
        <v>1239187564</v>
      </c>
      <c r="BU30">
        <v>625720</v>
      </c>
      <c r="BV30" t="s">
        <v>625</v>
      </c>
      <c r="BW30">
        <v>95192240</v>
      </c>
      <c r="BX30">
        <v>95817960</v>
      </c>
      <c r="BY30" t="s">
        <v>625</v>
      </c>
      <c r="BZ30" t="s">
        <v>625</v>
      </c>
      <c r="CA30" t="s">
        <v>625</v>
      </c>
      <c r="CB30" t="s">
        <v>625</v>
      </c>
      <c r="CC30" t="s">
        <v>625</v>
      </c>
      <c r="CD30" t="s">
        <v>625</v>
      </c>
      <c r="CE30" t="s">
        <v>625</v>
      </c>
      <c r="CF30">
        <v>17723133</v>
      </c>
      <c r="CG30">
        <v>5446184</v>
      </c>
      <c r="CH30">
        <v>74588706</v>
      </c>
      <c r="CI30">
        <v>102720000</v>
      </c>
      <c r="CJ30">
        <v>455000</v>
      </c>
      <c r="CK30">
        <v>36536000</v>
      </c>
      <c r="CL30">
        <v>138801000</v>
      </c>
      <c r="CM30">
        <v>252643894</v>
      </c>
      <c r="CN30">
        <v>0</v>
      </c>
      <c r="CO30">
        <v>10302099</v>
      </c>
      <c r="CP30">
        <v>4683000</v>
      </c>
      <c r="CQ30">
        <v>10725161</v>
      </c>
      <c r="CR30">
        <v>33597592</v>
      </c>
      <c r="CS30">
        <v>68197198</v>
      </c>
      <c r="CT30">
        <v>67443929</v>
      </c>
      <c r="CU30">
        <v>15147945</v>
      </c>
      <c r="CV30">
        <v>15130343</v>
      </c>
      <c r="CW30">
        <v>0</v>
      </c>
      <c r="CX30">
        <v>29</v>
      </c>
      <c r="CY30" t="s">
        <v>760</v>
      </c>
      <c r="CZ30" s="62">
        <v>42068</v>
      </c>
      <c r="DA30" t="s">
        <v>761</v>
      </c>
      <c r="DB30" t="s">
        <v>762</v>
      </c>
      <c r="DC30" t="s">
        <v>763</v>
      </c>
      <c r="DD30" t="s">
        <v>764</v>
      </c>
      <c r="DE30">
        <v>257008454</v>
      </c>
      <c r="DF30">
        <v>1445108</v>
      </c>
      <c r="DG30">
        <v>0</v>
      </c>
      <c r="DH30">
        <v>1991570</v>
      </c>
      <c r="DI30">
        <v>19323935</v>
      </c>
      <c r="DJ30">
        <v>42511385</v>
      </c>
      <c r="DK30">
        <v>33982640</v>
      </c>
    </row>
    <row r="31" spans="1:115">
      <c r="A31" t="s">
        <v>612</v>
      </c>
      <c r="B31">
        <v>20141231</v>
      </c>
      <c r="C31">
        <v>1131787</v>
      </c>
      <c r="D31">
        <v>190446755</v>
      </c>
      <c r="E31">
        <v>1122202</v>
      </c>
      <c r="F31">
        <v>1122202</v>
      </c>
      <c r="G31">
        <v>0</v>
      </c>
      <c r="H31">
        <v>0</v>
      </c>
      <c r="I31">
        <v>1398424</v>
      </c>
      <c r="J31">
        <v>449385</v>
      </c>
      <c r="K31">
        <v>2188509</v>
      </c>
      <c r="L31">
        <v>2282006</v>
      </c>
      <c r="M31">
        <v>3475</v>
      </c>
      <c r="N31">
        <v>20369199</v>
      </c>
      <c r="O31">
        <v>6675372</v>
      </c>
      <c r="P31">
        <v>10857709</v>
      </c>
      <c r="Q31">
        <v>6800651</v>
      </c>
      <c r="R31">
        <v>44883280</v>
      </c>
      <c r="S31">
        <v>9138925</v>
      </c>
      <c r="T31">
        <v>67681230</v>
      </c>
      <c r="U31">
        <v>6094193</v>
      </c>
      <c r="V31">
        <v>252483177</v>
      </c>
      <c r="W31">
        <v>1554544</v>
      </c>
      <c r="X31">
        <v>378269</v>
      </c>
      <c r="Y31">
        <v>0</v>
      </c>
      <c r="Z31">
        <v>47269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82326</v>
      </c>
      <c r="AG31">
        <v>99695</v>
      </c>
      <c r="AH31">
        <v>1358095</v>
      </c>
      <c r="AI31" t="s">
        <v>625</v>
      </c>
      <c r="AJ31">
        <v>3520198</v>
      </c>
      <c r="AK31">
        <v>122976</v>
      </c>
      <c r="AL31">
        <v>277713</v>
      </c>
      <c r="AM31">
        <v>0</v>
      </c>
      <c r="AN31">
        <v>20332</v>
      </c>
      <c r="AO31">
        <v>133748</v>
      </c>
      <c r="AP31">
        <v>726924</v>
      </c>
      <c r="AQ31" t="s">
        <v>625</v>
      </c>
      <c r="AR31">
        <v>1281693</v>
      </c>
      <c r="AS31">
        <v>8969064</v>
      </c>
      <c r="AT31">
        <v>5126768</v>
      </c>
      <c r="AU31">
        <v>2609877</v>
      </c>
      <c r="AV31">
        <v>0</v>
      </c>
      <c r="AW31">
        <v>11832064</v>
      </c>
      <c r="AX31">
        <v>21978212</v>
      </c>
      <c r="AY31">
        <v>51740993</v>
      </c>
      <c r="AZ31">
        <v>133929</v>
      </c>
      <c r="BA31">
        <v>2427</v>
      </c>
      <c r="BB31">
        <v>622678</v>
      </c>
      <c r="BC31">
        <v>68544</v>
      </c>
      <c r="BD31">
        <v>4971</v>
      </c>
      <c r="BE31">
        <v>2479952</v>
      </c>
      <c r="BF31">
        <v>591455</v>
      </c>
      <c r="BG31">
        <v>21894</v>
      </c>
      <c r="BH31">
        <v>14394</v>
      </c>
      <c r="BI31">
        <v>67721</v>
      </c>
      <c r="BJ31">
        <v>161642</v>
      </c>
      <c r="BK31">
        <v>777550008</v>
      </c>
      <c r="BL31">
        <v>260248</v>
      </c>
      <c r="BM31">
        <v>781719615</v>
      </c>
      <c r="BN31">
        <v>58848509</v>
      </c>
      <c r="BO31">
        <v>1123948</v>
      </c>
      <c r="BP31">
        <v>10746815</v>
      </c>
      <c r="BQ31">
        <v>11870763</v>
      </c>
      <c r="BR31">
        <v>34071378</v>
      </c>
      <c r="BS31">
        <v>161831180</v>
      </c>
      <c r="BT31">
        <v>195902558</v>
      </c>
      <c r="BU31">
        <v>2282922</v>
      </c>
      <c r="BV31" t="s">
        <v>625</v>
      </c>
      <c r="BW31">
        <v>25991863</v>
      </c>
      <c r="BX31">
        <v>28274785</v>
      </c>
      <c r="BY31" t="s">
        <v>625</v>
      </c>
      <c r="BZ31" t="s">
        <v>625</v>
      </c>
      <c r="CA31" t="s">
        <v>625</v>
      </c>
      <c r="CB31" t="s">
        <v>625</v>
      </c>
      <c r="CC31" t="s">
        <v>625</v>
      </c>
      <c r="CD31" t="s">
        <v>625</v>
      </c>
      <c r="CE31" t="s">
        <v>625</v>
      </c>
      <c r="CF31">
        <v>0</v>
      </c>
      <c r="CG31">
        <v>2450076</v>
      </c>
      <c r="CH31">
        <v>1963000</v>
      </c>
      <c r="CI31">
        <v>2066344</v>
      </c>
      <c r="CJ31">
        <v>377993</v>
      </c>
      <c r="CK31">
        <v>375000</v>
      </c>
      <c r="CL31">
        <v>2063351</v>
      </c>
      <c r="CM31">
        <v>167442065</v>
      </c>
      <c r="CN31">
        <v>87721175</v>
      </c>
      <c r="CO31">
        <v>8377752</v>
      </c>
      <c r="CP31">
        <v>-123</v>
      </c>
      <c r="CQ31">
        <v>8923183</v>
      </c>
      <c r="CR31">
        <v>22392522</v>
      </c>
      <c r="CS31">
        <v>2602261</v>
      </c>
      <c r="CT31">
        <v>3037815</v>
      </c>
      <c r="CU31">
        <v>5098065</v>
      </c>
      <c r="CV31">
        <v>5099516</v>
      </c>
      <c r="CW31">
        <v>61690</v>
      </c>
      <c r="CX31">
        <v>3</v>
      </c>
      <c r="CY31" t="s">
        <v>765</v>
      </c>
      <c r="CZ31" s="62">
        <v>42066</v>
      </c>
      <c r="DA31" t="s">
        <v>766</v>
      </c>
      <c r="DB31" t="s">
        <v>767</v>
      </c>
      <c r="DC31" t="s">
        <v>768</v>
      </c>
      <c r="DD31" t="s">
        <v>769</v>
      </c>
      <c r="DE31">
        <v>190896140</v>
      </c>
      <c r="DF31">
        <v>80439</v>
      </c>
      <c r="DG31">
        <v>4300</v>
      </c>
      <c r="DH31">
        <v>1225008</v>
      </c>
      <c r="DI31">
        <v>12015484</v>
      </c>
      <c r="DJ31">
        <v>12927533</v>
      </c>
      <c r="DK31">
        <v>3331768</v>
      </c>
    </row>
    <row r="32" spans="1:115">
      <c r="A32" t="s">
        <v>613</v>
      </c>
      <c r="B32">
        <v>20141231</v>
      </c>
      <c r="C32">
        <v>1249196</v>
      </c>
      <c r="D32">
        <v>248144842</v>
      </c>
      <c r="E32">
        <v>0</v>
      </c>
      <c r="F32">
        <v>0</v>
      </c>
      <c r="G32">
        <v>0</v>
      </c>
      <c r="H32">
        <v>0</v>
      </c>
      <c r="I32">
        <v>2798541</v>
      </c>
      <c r="J32">
        <v>1739795</v>
      </c>
      <c r="K32">
        <v>2307289</v>
      </c>
      <c r="L32">
        <v>5000</v>
      </c>
      <c r="M32">
        <v>5000</v>
      </c>
      <c r="N32">
        <v>39118702</v>
      </c>
      <c r="O32">
        <v>29716084</v>
      </c>
      <c r="P32">
        <v>9402618</v>
      </c>
      <c r="Q32">
        <v>10229470</v>
      </c>
      <c r="R32">
        <v>24676313</v>
      </c>
      <c r="S32">
        <v>6803559</v>
      </c>
      <c r="T32">
        <v>47928501</v>
      </c>
      <c r="U32">
        <v>14181279</v>
      </c>
      <c r="V32">
        <v>283631859</v>
      </c>
      <c r="W32">
        <v>4675351</v>
      </c>
      <c r="X32">
        <v>2724547</v>
      </c>
      <c r="Y32">
        <v>3374684</v>
      </c>
      <c r="Z32">
        <v>401502</v>
      </c>
      <c r="AA32">
        <v>0</v>
      </c>
      <c r="AB32">
        <v>0</v>
      </c>
      <c r="AC32">
        <v>408</v>
      </c>
      <c r="AD32">
        <v>1029350</v>
      </c>
      <c r="AE32">
        <v>0</v>
      </c>
      <c r="AF32">
        <v>14926</v>
      </c>
      <c r="AG32">
        <v>194102</v>
      </c>
      <c r="AH32">
        <v>0</v>
      </c>
      <c r="AI32" t="s">
        <v>625</v>
      </c>
      <c r="AJ32">
        <v>12414462</v>
      </c>
      <c r="AK32">
        <v>461078</v>
      </c>
      <c r="AL32">
        <v>3968576</v>
      </c>
      <c r="AM32">
        <v>0</v>
      </c>
      <c r="AN32">
        <v>0</v>
      </c>
      <c r="AO32">
        <v>36191</v>
      </c>
      <c r="AP32">
        <v>6399</v>
      </c>
      <c r="AQ32" t="s">
        <v>625</v>
      </c>
      <c r="AR32">
        <v>4472244</v>
      </c>
      <c r="AS32">
        <v>0</v>
      </c>
      <c r="AT32">
        <v>0</v>
      </c>
      <c r="AU32">
        <v>1759039</v>
      </c>
      <c r="AV32">
        <v>0</v>
      </c>
      <c r="AW32">
        <v>7906687</v>
      </c>
      <c r="AX32">
        <v>0</v>
      </c>
      <c r="AY32">
        <v>9665726</v>
      </c>
      <c r="AZ32">
        <v>9338</v>
      </c>
      <c r="BA32">
        <v>0</v>
      </c>
      <c r="BB32">
        <v>206009</v>
      </c>
      <c r="BC32">
        <v>14154</v>
      </c>
      <c r="BD32">
        <v>0</v>
      </c>
      <c r="BE32">
        <v>269677</v>
      </c>
      <c r="BF32">
        <v>79669</v>
      </c>
      <c r="BG32">
        <v>4634</v>
      </c>
      <c r="BH32">
        <v>9580</v>
      </c>
      <c r="BI32">
        <v>7894</v>
      </c>
      <c r="BJ32">
        <v>5478</v>
      </c>
      <c r="BK32">
        <v>2416744021</v>
      </c>
      <c r="BL32">
        <v>21289</v>
      </c>
      <c r="BM32">
        <v>2417350454</v>
      </c>
      <c r="BN32">
        <v>9512576</v>
      </c>
      <c r="BO32">
        <v>0</v>
      </c>
      <c r="BP32">
        <v>0</v>
      </c>
      <c r="BQ32">
        <v>0</v>
      </c>
      <c r="BR32">
        <v>143021501</v>
      </c>
      <c r="BS32">
        <v>91572308</v>
      </c>
      <c r="BT32">
        <v>234593809</v>
      </c>
      <c r="BU32">
        <v>48527</v>
      </c>
      <c r="BV32" t="s">
        <v>625</v>
      </c>
      <c r="BW32">
        <v>50259171</v>
      </c>
      <c r="BX32">
        <v>50307698</v>
      </c>
      <c r="BY32" t="s">
        <v>625</v>
      </c>
      <c r="BZ32" t="s">
        <v>625</v>
      </c>
      <c r="CA32" t="s">
        <v>625</v>
      </c>
      <c r="CB32" t="s">
        <v>625</v>
      </c>
      <c r="CC32" t="s">
        <v>625</v>
      </c>
      <c r="CD32" t="s">
        <v>625</v>
      </c>
      <c r="CE32" t="s">
        <v>625</v>
      </c>
      <c r="CF32">
        <v>34293681</v>
      </c>
      <c r="CG32">
        <v>1498489</v>
      </c>
      <c r="CH32">
        <v>28605000</v>
      </c>
      <c r="CI32">
        <v>4153000</v>
      </c>
      <c r="CJ32">
        <v>2347000</v>
      </c>
      <c r="CK32">
        <v>0</v>
      </c>
      <c r="CL32">
        <v>1806000</v>
      </c>
      <c r="CM32">
        <v>222310854</v>
      </c>
      <c r="CN32">
        <v>158550032</v>
      </c>
      <c r="CO32">
        <v>7650287</v>
      </c>
      <c r="CP32">
        <v>-1384</v>
      </c>
      <c r="CQ32">
        <v>8416973</v>
      </c>
      <c r="CR32">
        <v>0</v>
      </c>
      <c r="CS32">
        <v>1504107</v>
      </c>
      <c r="CT32">
        <v>1489181</v>
      </c>
      <c r="CU32">
        <v>4083248</v>
      </c>
      <c r="CV32">
        <v>1341731</v>
      </c>
      <c r="CW32">
        <v>102996</v>
      </c>
      <c r="CX32">
        <v>2</v>
      </c>
      <c r="CY32" t="s">
        <v>770</v>
      </c>
      <c r="CZ32" s="62">
        <v>42068</v>
      </c>
      <c r="DA32" t="s">
        <v>771</v>
      </c>
      <c r="DB32" t="s">
        <v>772</v>
      </c>
      <c r="DC32" t="s">
        <v>773</v>
      </c>
      <c r="DD32" t="s">
        <v>774</v>
      </c>
      <c r="DE32">
        <v>249884637</v>
      </c>
      <c r="DF32">
        <v>0</v>
      </c>
      <c r="DG32">
        <v>5000</v>
      </c>
      <c r="DH32">
        <v>0</v>
      </c>
      <c r="DI32">
        <v>3764623</v>
      </c>
      <c r="DJ32">
        <v>7234789</v>
      </c>
      <c r="DK32">
        <v>39308286</v>
      </c>
    </row>
    <row r="33" spans="1:115">
      <c r="A33" t="s">
        <v>614</v>
      </c>
      <c r="B33">
        <v>20141231</v>
      </c>
      <c r="C33">
        <v>1119794</v>
      </c>
      <c r="D33">
        <v>402529000</v>
      </c>
      <c r="E33">
        <v>40000</v>
      </c>
      <c r="F33">
        <v>40000</v>
      </c>
      <c r="G33">
        <v>0</v>
      </c>
      <c r="H33">
        <v>0</v>
      </c>
      <c r="I33">
        <v>1198000</v>
      </c>
      <c r="J33">
        <v>258000</v>
      </c>
      <c r="K33">
        <v>2303000</v>
      </c>
      <c r="L33">
        <v>2227000</v>
      </c>
      <c r="M33">
        <v>2122000</v>
      </c>
      <c r="N33">
        <v>115907000</v>
      </c>
      <c r="O33">
        <v>99879000</v>
      </c>
      <c r="P33">
        <v>16028000</v>
      </c>
      <c r="Q33">
        <v>415000</v>
      </c>
      <c r="R33">
        <v>111210000</v>
      </c>
      <c r="S33">
        <v>19468000</v>
      </c>
      <c r="T33">
        <v>145023700</v>
      </c>
      <c r="U33">
        <v>9055000</v>
      </c>
      <c r="V33">
        <v>538755700</v>
      </c>
      <c r="W33">
        <v>8577000</v>
      </c>
      <c r="X33">
        <v>5630000</v>
      </c>
      <c r="Y33">
        <v>0</v>
      </c>
      <c r="Z33">
        <v>0</v>
      </c>
      <c r="AA33">
        <v>614000</v>
      </c>
      <c r="AB33">
        <v>0</v>
      </c>
      <c r="AC33">
        <v>0</v>
      </c>
      <c r="AD33">
        <v>216000</v>
      </c>
      <c r="AE33">
        <v>0</v>
      </c>
      <c r="AF33">
        <v>36000</v>
      </c>
      <c r="AG33">
        <v>22000</v>
      </c>
      <c r="AH33">
        <v>35000</v>
      </c>
      <c r="AI33" t="s">
        <v>625</v>
      </c>
      <c r="AJ33">
        <v>15130000</v>
      </c>
      <c r="AK33">
        <v>1835000</v>
      </c>
      <c r="AL33">
        <v>11865000</v>
      </c>
      <c r="AM33">
        <v>37000</v>
      </c>
      <c r="AN33">
        <v>1000</v>
      </c>
      <c r="AO33">
        <v>58000</v>
      </c>
      <c r="AP33">
        <v>180000</v>
      </c>
      <c r="AQ33" t="s">
        <v>625</v>
      </c>
      <c r="AR33">
        <v>13976000</v>
      </c>
      <c r="AS33">
        <v>3386000</v>
      </c>
      <c r="AT33">
        <v>21269000</v>
      </c>
      <c r="AU33">
        <v>3983000</v>
      </c>
      <c r="AV33">
        <v>22197000</v>
      </c>
      <c r="AW33">
        <v>38567000</v>
      </c>
      <c r="AX33">
        <v>80274000</v>
      </c>
      <c r="AY33">
        <v>174515000</v>
      </c>
      <c r="AZ33">
        <v>7628000</v>
      </c>
      <c r="BA33">
        <v>3086000</v>
      </c>
      <c r="BB33">
        <v>39285000</v>
      </c>
      <c r="BC33">
        <v>2478000</v>
      </c>
      <c r="BD33">
        <v>396000</v>
      </c>
      <c r="BE33">
        <v>216129000</v>
      </c>
      <c r="BF33">
        <v>144426000</v>
      </c>
      <c r="BG33">
        <v>732000</v>
      </c>
      <c r="BH33">
        <v>16000</v>
      </c>
      <c r="BI33">
        <v>7558000</v>
      </c>
      <c r="BJ33">
        <v>4069000</v>
      </c>
      <c r="BK33">
        <v>7346793000</v>
      </c>
      <c r="BL33">
        <v>48968000</v>
      </c>
      <c r="BM33">
        <v>7772596000</v>
      </c>
      <c r="BN33">
        <v>1102084000</v>
      </c>
      <c r="BO33">
        <v>68000</v>
      </c>
      <c r="BP33">
        <v>27449000</v>
      </c>
      <c r="BQ33">
        <v>27517000</v>
      </c>
      <c r="BR33">
        <v>32975000</v>
      </c>
      <c r="BS33">
        <v>103425000</v>
      </c>
      <c r="BT33">
        <v>136400000</v>
      </c>
      <c r="BU33">
        <v>830000</v>
      </c>
      <c r="BV33" t="s">
        <v>625</v>
      </c>
      <c r="BW33">
        <v>56069000</v>
      </c>
      <c r="BX33">
        <v>56899000</v>
      </c>
      <c r="BY33" t="s">
        <v>625</v>
      </c>
      <c r="BZ33" t="s">
        <v>625</v>
      </c>
      <c r="CA33" t="s">
        <v>625</v>
      </c>
      <c r="CB33" t="s">
        <v>625</v>
      </c>
      <c r="CC33" t="s">
        <v>625</v>
      </c>
      <c r="CD33" t="s">
        <v>625</v>
      </c>
      <c r="CE33" t="s">
        <v>625</v>
      </c>
      <c r="CF33">
        <v>44974000</v>
      </c>
      <c r="CG33">
        <v>3754000</v>
      </c>
      <c r="CH33">
        <v>3192000</v>
      </c>
      <c r="CI33">
        <v>61001000</v>
      </c>
      <c r="CJ33">
        <v>34715000</v>
      </c>
      <c r="CK33">
        <v>6445000</v>
      </c>
      <c r="CL33">
        <v>32731000</v>
      </c>
      <c r="CM33">
        <v>358361000</v>
      </c>
      <c r="CN33">
        <v>117476000</v>
      </c>
      <c r="CO33">
        <v>19936000</v>
      </c>
      <c r="CP33">
        <v>591000</v>
      </c>
      <c r="CQ33">
        <v>21389000</v>
      </c>
      <c r="CR33">
        <v>82026000</v>
      </c>
      <c r="CS33">
        <v>1691000</v>
      </c>
      <c r="CT33">
        <v>1654000</v>
      </c>
      <c r="CU33">
        <v>2068000</v>
      </c>
      <c r="CV33">
        <v>2189000</v>
      </c>
      <c r="CW33">
        <v>0</v>
      </c>
      <c r="CX33">
        <v>16</v>
      </c>
      <c r="CY33" t="s">
        <v>775</v>
      </c>
      <c r="CZ33" s="62">
        <v>42066</v>
      </c>
      <c r="DA33" t="s">
        <v>776</v>
      </c>
      <c r="DB33" t="s">
        <v>777</v>
      </c>
      <c r="DC33" t="s">
        <v>778</v>
      </c>
      <c r="DD33" t="s">
        <v>779</v>
      </c>
      <c r="DE33">
        <v>402787000</v>
      </c>
      <c r="DF33">
        <v>37000</v>
      </c>
      <c r="DG33">
        <v>2182000</v>
      </c>
      <c r="DH33">
        <v>4839000</v>
      </c>
      <c r="DI33">
        <v>19470000</v>
      </c>
      <c r="DJ33">
        <v>23599000</v>
      </c>
      <c r="DK33">
        <v>13830000</v>
      </c>
    </row>
    <row r="34" spans="1:115">
      <c r="A34" t="s">
        <v>616</v>
      </c>
      <c r="B34">
        <v>20141231</v>
      </c>
      <c r="C34">
        <v>1120754</v>
      </c>
      <c r="D34">
        <v>1687155000</v>
      </c>
      <c r="E34">
        <v>41581000</v>
      </c>
      <c r="F34">
        <v>48058000</v>
      </c>
      <c r="G34">
        <v>0</v>
      </c>
      <c r="H34">
        <v>0</v>
      </c>
      <c r="I34">
        <v>22605000</v>
      </c>
      <c r="J34">
        <v>5168000</v>
      </c>
      <c r="K34">
        <v>36004000</v>
      </c>
      <c r="L34">
        <v>12304000</v>
      </c>
      <c r="M34">
        <v>7192000</v>
      </c>
      <c r="N34">
        <v>190953000</v>
      </c>
      <c r="O34">
        <v>107252000</v>
      </c>
      <c r="P34">
        <v>83701000</v>
      </c>
      <c r="Q34">
        <v>45939000</v>
      </c>
      <c r="R34">
        <v>260305000</v>
      </c>
      <c r="S34">
        <v>160254000</v>
      </c>
      <c r="T34">
        <v>522734300</v>
      </c>
      <c r="U34">
        <v>29782000</v>
      </c>
      <c r="V34">
        <v>2191752300</v>
      </c>
      <c r="W34">
        <v>62327000</v>
      </c>
      <c r="X34">
        <v>49827000</v>
      </c>
      <c r="Y34">
        <v>3205000</v>
      </c>
      <c r="Z34">
        <v>4590000</v>
      </c>
      <c r="AA34">
        <v>1988000</v>
      </c>
      <c r="AB34">
        <v>0</v>
      </c>
      <c r="AC34">
        <v>0</v>
      </c>
      <c r="AD34">
        <v>3253000</v>
      </c>
      <c r="AE34">
        <v>13000</v>
      </c>
      <c r="AF34">
        <v>753000</v>
      </c>
      <c r="AG34">
        <v>14496000</v>
      </c>
      <c r="AH34">
        <v>26581000</v>
      </c>
      <c r="AI34" t="s">
        <v>625</v>
      </c>
      <c r="AJ34">
        <v>167007000</v>
      </c>
      <c r="AK34">
        <v>40644000</v>
      </c>
      <c r="AL34">
        <v>114621000</v>
      </c>
      <c r="AM34">
        <v>0</v>
      </c>
      <c r="AN34">
        <v>556000</v>
      </c>
      <c r="AO34">
        <v>9814000</v>
      </c>
      <c r="AP34">
        <v>5206000</v>
      </c>
      <c r="AQ34" t="s">
        <v>625</v>
      </c>
      <c r="AR34">
        <v>170841000</v>
      </c>
      <c r="AS34">
        <v>0</v>
      </c>
      <c r="AT34">
        <v>97564000</v>
      </c>
      <c r="AU34">
        <v>35209000</v>
      </c>
      <c r="AV34">
        <v>2456000</v>
      </c>
      <c r="AW34">
        <v>150760000</v>
      </c>
      <c r="AX34">
        <v>283439000</v>
      </c>
      <c r="AY34">
        <v>590283000</v>
      </c>
      <c r="AZ34">
        <v>49030000</v>
      </c>
      <c r="BA34">
        <v>73000</v>
      </c>
      <c r="BB34">
        <v>78631000</v>
      </c>
      <c r="BC34">
        <v>3975000</v>
      </c>
      <c r="BD34">
        <v>178000</v>
      </c>
      <c r="BE34">
        <v>485926000</v>
      </c>
      <c r="BF34">
        <v>149073000</v>
      </c>
      <c r="BG34">
        <v>6278000</v>
      </c>
      <c r="BH34">
        <v>400000</v>
      </c>
      <c r="BI34">
        <v>95461000</v>
      </c>
      <c r="BJ34">
        <v>6596000</v>
      </c>
      <c r="BK34">
        <v>33419486000</v>
      </c>
      <c r="BL34">
        <v>109203000</v>
      </c>
      <c r="BM34">
        <v>34295107000</v>
      </c>
      <c r="BN34">
        <v>2500000000</v>
      </c>
      <c r="BO34">
        <v>13587000</v>
      </c>
      <c r="BP34">
        <v>154094000</v>
      </c>
      <c r="BQ34">
        <v>167681000</v>
      </c>
      <c r="BR34">
        <v>3827437000</v>
      </c>
      <c r="BS34">
        <v>1815711000</v>
      </c>
      <c r="BT34">
        <v>5643148000</v>
      </c>
      <c r="BU34">
        <v>59914000</v>
      </c>
      <c r="BV34" t="s">
        <v>625</v>
      </c>
      <c r="BW34">
        <v>257956000</v>
      </c>
      <c r="BX34">
        <v>317870000</v>
      </c>
      <c r="BY34" t="s">
        <v>625</v>
      </c>
      <c r="BZ34" t="s">
        <v>625</v>
      </c>
      <c r="CA34" t="s">
        <v>625</v>
      </c>
      <c r="CB34" t="s">
        <v>625</v>
      </c>
      <c r="CC34" t="s">
        <v>625</v>
      </c>
      <c r="CD34" t="s">
        <v>625</v>
      </c>
      <c r="CE34" t="s">
        <v>625</v>
      </c>
      <c r="CF34">
        <v>55483000</v>
      </c>
      <c r="CG34">
        <v>32324000</v>
      </c>
      <c r="CH34">
        <v>100542000</v>
      </c>
      <c r="CI34">
        <v>258157000</v>
      </c>
      <c r="CJ34">
        <v>119604000</v>
      </c>
      <c r="CK34">
        <v>8943000</v>
      </c>
      <c r="CL34">
        <v>147496000</v>
      </c>
      <c r="CM34">
        <v>1501758000</v>
      </c>
      <c r="CN34">
        <v>644555000</v>
      </c>
      <c r="CO34">
        <v>83953000</v>
      </c>
      <c r="CP34">
        <v>1023000</v>
      </c>
      <c r="CQ34">
        <v>87978000</v>
      </c>
      <c r="CR34">
        <v>287881000</v>
      </c>
      <c r="CS34">
        <v>90106000</v>
      </c>
      <c r="CT34">
        <v>90063000</v>
      </c>
      <c r="CU34">
        <v>78807000</v>
      </c>
      <c r="CV34">
        <v>80866000</v>
      </c>
      <c r="CW34">
        <v>106968000</v>
      </c>
      <c r="CX34">
        <v>30</v>
      </c>
      <c r="CY34" t="s">
        <v>780</v>
      </c>
      <c r="CZ34" s="62">
        <v>42069</v>
      </c>
      <c r="DA34" t="s">
        <v>781</v>
      </c>
      <c r="DB34" t="s">
        <v>782</v>
      </c>
      <c r="DC34" t="s">
        <v>783</v>
      </c>
      <c r="DD34" t="s">
        <v>784</v>
      </c>
      <c r="DE34">
        <v>1698800000</v>
      </c>
      <c r="DF34">
        <v>1137000</v>
      </c>
      <c r="DG34">
        <v>8284000</v>
      </c>
      <c r="DH34">
        <v>20855000</v>
      </c>
      <c r="DI34">
        <v>49752000</v>
      </c>
      <c r="DJ34">
        <v>132897000</v>
      </c>
      <c r="DK34">
        <v>135221000</v>
      </c>
    </row>
    <row r="35" spans="1:115">
      <c r="A35" t="s">
        <v>617</v>
      </c>
      <c r="B35">
        <v>20141231</v>
      </c>
      <c r="C35">
        <v>1027004</v>
      </c>
      <c r="D35">
        <v>57208874</v>
      </c>
      <c r="E35">
        <v>1193293</v>
      </c>
      <c r="F35">
        <v>1193293</v>
      </c>
      <c r="G35">
        <v>1193293</v>
      </c>
      <c r="H35">
        <v>0</v>
      </c>
      <c r="I35">
        <v>228152</v>
      </c>
      <c r="J35">
        <v>0</v>
      </c>
      <c r="K35">
        <v>0</v>
      </c>
      <c r="L35">
        <v>125</v>
      </c>
      <c r="M35">
        <v>125</v>
      </c>
      <c r="N35">
        <v>4058672</v>
      </c>
      <c r="O35">
        <v>1549956</v>
      </c>
      <c r="P35">
        <v>2377359</v>
      </c>
      <c r="Q35">
        <v>6249701</v>
      </c>
      <c r="R35">
        <v>10831814</v>
      </c>
      <c r="S35">
        <v>797704</v>
      </c>
      <c r="T35">
        <v>18404572</v>
      </c>
      <c r="U35">
        <v>29000</v>
      </c>
      <c r="V35">
        <v>74391153</v>
      </c>
      <c r="W35">
        <v>1108965</v>
      </c>
      <c r="X35">
        <v>177854</v>
      </c>
      <c r="Y35">
        <v>0</v>
      </c>
      <c r="Z35">
        <v>0</v>
      </c>
      <c r="AA35">
        <v>457598</v>
      </c>
      <c r="AB35">
        <v>0</v>
      </c>
      <c r="AC35">
        <v>163235</v>
      </c>
      <c r="AD35">
        <v>0</v>
      </c>
      <c r="AE35">
        <v>0</v>
      </c>
      <c r="AF35">
        <v>260</v>
      </c>
      <c r="AG35">
        <v>8</v>
      </c>
      <c r="AH35">
        <v>1257</v>
      </c>
      <c r="AI35" t="s">
        <v>625</v>
      </c>
      <c r="AJ35">
        <v>1745942</v>
      </c>
      <c r="AK35">
        <v>472872</v>
      </c>
      <c r="AL35">
        <v>2178683</v>
      </c>
      <c r="AM35">
        <v>0</v>
      </c>
      <c r="AN35">
        <v>2714</v>
      </c>
      <c r="AO35">
        <v>44798</v>
      </c>
      <c r="AP35">
        <v>14274</v>
      </c>
      <c r="AQ35" t="s">
        <v>625</v>
      </c>
      <c r="AR35">
        <v>2713341</v>
      </c>
      <c r="AS35">
        <v>0</v>
      </c>
      <c r="AT35">
        <v>432385</v>
      </c>
      <c r="AU35">
        <v>635174</v>
      </c>
      <c r="AV35">
        <v>0</v>
      </c>
      <c r="AW35">
        <v>2498984</v>
      </c>
      <c r="AX35">
        <v>5787955</v>
      </c>
      <c r="AY35">
        <v>9868090</v>
      </c>
      <c r="AZ35">
        <v>311262</v>
      </c>
      <c r="BA35">
        <v>0</v>
      </c>
      <c r="BB35">
        <v>920055</v>
      </c>
      <c r="BC35">
        <v>23018</v>
      </c>
      <c r="BD35">
        <v>8474</v>
      </c>
      <c r="BE35">
        <v>1003777</v>
      </c>
      <c r="BF35">
        <v>524161</v>
      </c>
      <c r="BG35">
        <v>4667</v>
      </c>
      <c r="BH35">
        <v>16683</v>
      </c>
      <c r="BI35">
        <v>487724</v>
      </c>
      <c r="BJ35">
        <v>6106</v>
      </c>
      <c r="BK35">
        <v>413813464</v>
      </c>
      <c r="BL35">
        <v>456596</v>
      </c>
      <c r="BM35">
        <v>417119391</v>
      </c>
      <c r="BN35">
        <v>3580745</v>
      </c>
      <c r="BO35">
        <v>0</v>
      </c>
      <c r="BP35">
        <v>155175</v>
      </c>
      <c r="BQ35">
        <v>155175</v>
      </c>
      <c r="BR35">
        <v>548107</v>
      </c>
      <c r="BS35">
        <v>2521945</v>
      </c>
      <c r="BT35">
        <v>3070052</v>
      </c>
      <c r="BU35">
        <v>94852</v>
      </c>
      <c r="BV35" t="s">
        <v>625</v>
      </c>
      <c r="BW35">
        <v>3844248</v>
      </c>
      <c r="BX35">
        <v>3939100</v>
      </c>
      <c r="BY35" t="s">
        <v>625</v>
      </c>
      <c r="BZ35" t="s">
        <v>625</v>
      </c>
      <c r="CA35" t="s">
        <v>625</v>
      </c>
      <c r="CB35" t="s">
        <v>625</v>
      </c>
      <c r="CC35" t="s">
        <v>625</v>
      </c>
      <c r="CD35" t="s">
        <v>625</v>
      </c>
      <c r="CE35" t="s">
        <v>625</v>
      </c>
      <c r="CF35">
        <v>647252</v>
      </c>
      <c r="CG35">
        <v>514049</v>
      </c>
      <c r="CH35">
        <v>95170</v>
      </c>
      <c r="CI35">
        <v>629230</v>
      </c>
      <c r="CJ35">
        <v>0</v>
      </c>
      <c r="CK35">
        <v>0</v>
      </c>
      <c r="CL35">
        <v>629230</v>
      </c>
      <c r="CM35">
        <v>49839344</v>
      </c>
      <c r="CN35">
        <v>21215777</v>
      </c>
      <c r="CO35">
        <v>2183811</v>
      </c>
      <c r="CP35">
        <v>0</v>
      </c>
      <c r="CQ35">
        <v>2356795</v>
      </c>
      <c r="CR35">
        <v>6098865</v>
      </c>
      <c r="CS35">
        <v>1244535</v>
      </c>
      <c r="CT35">
        <v>1245984</v>
      </c>
      <c r="CU35">
        <v>48287</v>
      </c>
      <c r="CV35">
        <v>50669</v>
      </c>
      <c r="CW35">
        <v>260</v>
      </c>
      <c r="CX35">
        <v>2</v>
      </c>
      <c r="CY35" t="s">
        <v>785</v>
      </c>
      <c r="CZ35" s="62">
        <v>42069</v>
      </c>
      <c r="DA35" t="s">
        <v>786</v>
      </c>
      <c r="DB35" t="s">
        <v>787</v>
      </c>
      <c r="DC35" t="s">
        <v>788</v>
      </c>
      <c r="DD35" t="s">
        <v>789</v>
      </c>
      <c r="DE35">
        <v>56015581</v>
      </c>
      <c r="DF35">
        <v>1265</v>
      </c>
      <c r="DG35">
        <v>125</v>
      </c>
      <c r="DH35">
        <v>513592</v>
      </c>
      <c r="DI35">
        <v>1820533</v>
      </c>
      <c r="DJ35">
        <v>477903</v>
      </c>
      <c r="DK35">
        <v>1640664</v>
      </c>
    </row>
    <row r="41" spans="1:115">
      <c r="CZ41" s="62"/>
    </row>
    <row r="42" spans="1:115">
      <c r="CZ42" s="62"/>
    </row>
    <row r="43" spans="1:115">
      <c r="CZ43" s="62"/>
    </row>
    <row r="44" spans="1:115">
      <c r="CZ44" s="62"/>
    </row>
    <row r="45" spans="1:115">
      <c r="CZ45" s="62"/>
    </row>
    <row r="47" spans="1:115">
      <c r="CZ47" s="62"/>
    </row>
    <row r="48" spans="1:115">
      <c r="CZ48" s="62"/>
    </row>
    <row r="49" spans="104:104">
      <c r="CZ49" s="62"/>
    </row>
    <row r="50" spans="104:104">
      <c r="CZ50" s="62"/>
    </row>
    <row r="51" spans="104:104">
      <c r="CZ51" s="62"/>
    </row>
    <row r="52" spans="104:104">
      <c r="CZ52" s="62"/>
    </row>
    <row r="53" spans="104:104">
      <c r="CZ53" s="62"/>
    </row>
    <row r="54" spans="104:104">
      <c r="CZ54" s="62"/>
    </row>
    <row r="55" spans="104:104">
      <c r="CZ55" s="62"/>
    </row>
    <row r="56" spans="104:104">
      <c r="CZ56" s="62"/>
    </row>
    <row r="57" spans="104:104">
      <c r="CZ57" s="62"/>
    </row>
    <row r="58" spans="104:104">
      <c r="CZ58" s="62"/>
    </row>
    <row r="59" spans="104:104">
      <c r="CZ59" s="62"/>
    </row>
    <row r="60" spans="104:104">
      <c r="CZ60" s="62"/>
    </row>
    <row r="61" spans="104:104">
      <c r="CZ61" s="62"/>
    </row>
    <row r="62" spans="104:104">
      <c r="CZ62" s="62"/>
    </row>
    <row r="63" spans="104:104">
      <c r="CZ63" s="62"/>
    </row>
    <row r="64" spans="104:104">
      <c r="CZ64" s="62"/>
    </row>
    <row r="65" spans="104:104">
      <c r="CZ65" s="62"/>
    </row>
    <row r="66" spans="104:104">
      <c r="CZ66" s="62"/>
    </row>
    <row r="67" spans="104:104">
      <c r="CZ67" s="62"/>
    </row>
    <row r="68" spans="104:104">
      <c r="CZ68" s="62"/>
    </row>
    <row r="69" spans="104:104">
      <c r="CZ69" s="62"/>
    </row>
    <row r="70" spans="104:104">
      <c r="CZ70" s="62"/>
    </row>
    <row r="71" spans="104:104">
      <c r="CZ71" s="62"/>
    </row>
    <row r="72" spans="104:104">
      <c r="CZ72" s="62"/>
    </row>
    <row r="73" spans="104:104">
      <c r="CZ73" s="62"/>
    </row>
  </sheetData>
  <sheetProtection sheet="1" objects="1" scenarios="1"/>
  <sortState ref="A3:DK35">
    <sortCondition ref="A3"/>
  </sortState>
  <pageMargins left="0.7" right="0.7" top="0.75" bottom="0.75" header="0.3" footer="0.3"/>
  <pageSetup scale="98" orientation="landscape" r:id="rId1"/>
  <headerFooter scaleWithDoc="0">
    <oddFooter>&amp;L&amp;10Data Source: FR Y-15&amp;C&amp;10Page &amp;P of &amp;N&amp;R&amp;10As-of Date: December 31, 2014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  <pageSetUpPr fitToPage="1"/>
  </sheetPr>
  <dimension ref="A2:P40"/>
  <sheetViews>
    <sheetView showGridLines="0" zoomScale="85" zoomScaleNormal="85" workbookViewId="0">
      <selection activeCell="D3" sqref="D3"/>
    </sheetView>
  </sheetViews>
  <sheetFormatPr defaultRowHeight="14.5"/>
  <cols>
    <col min="1" max="1" width="5.7265625" customWidth="1"/>
    <col min="2" max="2" width="44.7265625" customWidth="1"/>
    <col min="3" max="3" width="12.7265625" customWidth="1"/>
    <col min="4" max="15" width="15.7265625" customWidth="1"/>
  </cols>
  <sheetData>
    <row r="2" spans="1:16" ht="25">
      <c r="B2" s="286" t="s">
        <v>584</v>
      </c>
      <c r="C2" s="2"/>
      <c r="D2" s="225" t="s">
        <v>336</v>
      </c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1"/>
    </row>
    <row r="3" spans="1:16" ht="18" customHeight="1">
      <c r="C3" s="2"/>
      <c r="D3" s="48" t="s">
        <v>13</v>
      </c>
      <c r="E3" s="403" t="s">
        <v>14</v>
      </c>
      <c r="F3" s="404"/>
      <c r="G3" s="405"/>
      <c r="H3" s="406" t="s">
        <v>19</v>
      </c>
      <c r="I3" s="407"/>
      <c r="J3" s="408"/>
      <c r="K3" s="409" t="s">
        <v>15</v>
      </c>
      <c r="L3" s="410"/>
      <c r="M3" s="411"/>
      <c r="N3" s="412" t="s">
        <v>16</v>
      </c>
      <c r="O3" s="413"/>
    </row>
    <row r="4" spans="1:16">
      <c r="A4" s="1"/>
      <c r="B4" s="284" t="s">
        <v>580</v>
      </c>
      <c r="C4" s="285" t="s">
        <v>0</v>
      </c>
      <c r="D4" s="51" t="s">
        <v>1</v>
      </c>
      <c r="E4" s="287" t="s">
        <v>2</v>
      </c>
      <c r="F4" s="288" t="s">
        <v>3</v>
      </c>
      <c r="G4" s="289" t="s">
        <v>4</v>
      </c>
      <c r="H4" s="287" t="s">
        <v>5</v>
      </c>
      <c r="I4" s="288" t="s">
        <v>6</v>
      </c>
      <c r="J4" s="289" t="s">
        <v>7</v>
      </c>
      <c r="K4" s="287" t="s">
        <v>8</v>
      </c>
      <c r="L4" s="288" t="s">
        <v>9</v>
      </c>
      <c r="M4" s="289" t="s">
        <v>10</v>
      </c>
      <c r="N4" s="287" t="s">
        <v>11</v>
      </c>
      <c r="O4" s="289" t="s">
        <v>12</v>
      </c>
    </row>
    <row r="5" spans="1:16" ht="45" customHeight="1">
      <c r="A5" s="1"/>
      <c r="B5" s="229" t="s">
        <v>337</v>
      </c>
      <c r="C5" s="230" t="s">
        <v>581</v>
      </c>
      <c r="D5" s="48" t="s">
        <v>17</v>
      </c>
      <c r="E5" s="302" t="s">
        <v>333</v>
      </c>
      <c r="F5" s="303" t="s">
        <v>334</v>
      </c>
      <c r="G5" s="304" t="s">
        <v>335</v>
      </c>
      <c r="H5" s="305" t="s">
        <v>578</v>
      </c>
      <c r="I5" s="306" t="s">
        <v>24</v>
      </c>
      <c r="J5" s="307" t="s">
        <v>25</v>
      </c>
      <c r="K5" s="314" t="s">
        <v>23</v>
      </c>
      <c r="L5" s="315" t="s">
        <v>20</v>
      </c>
      <c r="M5" s="316" t="s">
        <v>21</v>
      </c>
      <c r="N5" s="317" t="s">
        <v>22</v>
      </c>
      <c r="O5" s="318" t="s">
        <v>790</v>
      </c>
    </row>
    <row r="6" spans="1:16">
      <c r="A6" s="1"/>
      <c r="B6" s="321" t="s">
        <v>585</v>
      </c>
      <c r="C6" s="322">
        <v>1562859</v>
      </c>
      <c r="D6" s="323">
        <v>152516</v>
      </c>
      <c r="E6" s="324">
        <v>6098</v>
      </c>
      <c r="F6" s="325">
        <v>16534</v>
      </c>
      <c r="G6" s="326">
        <v>108149</v>
      </c>
      <c r="H6" s="324">
        <v>290017</v>
      </c>
      <c r="I6" s="325">
        <v>0</v>
      </c>
      <c r="J6" s="326">
        <v>0</v>
      </c>
      <c r="K6" s="324">
        <v>61542</v>
      </c>
      <c r="L6" s="325">
        <v>9027</v>
      </c>
      <c r="M6" s="326">
        <v>205</v>
      </c>
      <c r="N6" s="324">
        <v>2236</v>
      </c>
      <c r="O6" s="326">
        <v>1932</v>
      </c>
    </row>
    <row r="7" spans="1:16">
      <c r="A7" s="1"/>
      <c r="B7" s="321" t="s">
        <v>586</v>
      </c>
      <c r="C7" s="327">
        <v>1275216</v>
      </c>
      <c r="D7" s="323">
        <v>177271.7</v>
      </c>
      <c r="E7" s="324">
        <v>7155</v>
      </c>
      <c r="F7" s="325">
        <v>36921</v>
      </c>
      <c r="G7" s="326">
        <v>161518</v>
      </c>
      <c r="H7" s="324">
        <v>143718</v>
      </c>
      <c r="I7" s="325">
        <v>0</v>
      </c>
      <c r="J7" s="326">
        <v>0</v>
      </c>
      <c r="K7" s="324">
        <v>42224</v>
      </c>
      <c r="L7" s="325">
        <v>4401</v>
      </c>
      <c r="M7" s="326">
        <v>0</v>
      </c>
      <c r="N7" s="324">
        <v>29504</v>
      </c>
      <c r="O7" s="326">
        <v>19906</v>
      </c>
    </row>
    <row r="8" spans="1:16">
      <c r="A8" s="1"/>
      <c r="B8" s="321" t="s">
        <v>587</v>
      </c>
      <c r="C8" s="327">
        <v>1025608</v>
      </c>
      <c r="D8" s="323">
        <v>102647.429</v>
      </c>
      <c r="E8" s="324">
        <v>889.00699999999995</v>
      </c>
      <c r="F8" s="325">
        <v>7834.8270000000002</v>
      </c>
      <c r="G8" s="326">
        <v>11550.342000000001</v>
      </c>
      <c r="H8" s="324">
        <v>443211.74099999998</v>
      </c>
      <c r="I8" s="325">
        <v>2774.232</v>
      </c>
      <c r="J8" s="326">
        <v>0</v>
      </c>
      <c r="K8" s="324">
        <v>15779.84</v>
      </c>
      <c r="L8" s="325">
        <v>1220.223</v>
      </c>
      <c r="M8" s="326">
        <v>86.227999999999994</v>
      </c>
      <c r="N8" s="324">
        <v>504</v>
      </c>
      <c r="O8" s="326">
        <v>649.71299999999997</v>
      </c>
    </row>
    <row r="9" spans="1:16">
      <c r="A9" s="1"/>
      <c r="B9" s="321" t="s">
        <v>588</v>
      </c>
      <c r="C9" s="327">
        <v>1073757</v>
      </c>
      <c r="D9" s="323">
        <v>2695636.963</v>
      </c>
      <c r="E9" s="324">
        <v>293938.65899999999</v>
      </c>
      <c r="F9" s="325">
        <v>219926.538</v>
      </c>
      <c r="G9" s="326">
        <v>488785.261</v>
      </c>
      <c r="H9" s="324">
        <v>83704983.989999995</v>
      </c>
      <c r="I9" s="325">
        <v>136190</v>
      </c>
      <c r="J9" s="326">
        <v>390267.4</v>
      </c>
      <c r="K9" s="324">
        <v>54887232.052000001</v>
      </c>
      <c r="L9" s="325">
        <v>203137.92600000001</v>
      </c>
      <c r="M9" s="326">
        <v>31779</v>
      </c>
      <c r="N9" s="324">
        <v>387493</v>
      </c>
      <c r="O9" s="326">
        <v>245722</v>
      </c>
    </row>
    <row r="10" spans="1:16">
      <c r="A10" s="1"/>
      <c r="B10" s="321" t="s">
        <v>589</v>
      </c>
      <c r="C10" s="327">
        <v>3587146</v>
      </c>
      <c r="D10" s="323">
        <v>409666.2</v>
      </c>
      <c r="E10" s="324">
        <v>79313</v>
      </c>
      <c r="F10" s="325">
        <v>229805</v>
      </c>
      <c r="G10" s="326">
        <v>61106</v>
      </c>
      <c r="H10" s="324">
        <v>166278578</v>
      </c>
      <c r="I10" s="325">
        <v>23590412</v>
      </c>
      <c r="J10" s="326">
        <v>5840</v>
      </c>
      <c r="K10" s="324">
        <v>1157850</v>
      </c>
      <c r="L10" s="325">
        <v>38944</v>
      </c>
      <c r="M10" s="326">
        <v>139</v>
      </c>
      <c r="N10" s="324">
        <v>86775</v>
      </c>
      <c r="O10" s="326">
        <v>164125</v>
      </c>
    </row>
    <row r="11" spans="1:16">
      <c r="A11" s="1"/>
      <c r="B11" s="321" t="s">
        <v>590</v>
      </c>
      <c r="C11" s="327">
        <v>1074156</v>
      </c>
      <c r="D11" s="323">
        <v>212387.101</v>
      </c>
      <c r="E11" s="324">
        <v>1470.9829999999999</v>
      </c>
      <c r="F11" s="325">
        <v>10316.636</v>
      </c>
      <c r="G11" s="326">
        <v>68851.721000000005</v>
      </c>
      <c r="H11" s="324">
        <v>972398.49699999997</v>
      </c>
      <c r="I11" s="325">
        <v>34913.368000000002</v>
      </c>
      <c r="J11" s="326">
        <v>5511.0330000000004</v>
      </c>
      <c r="K11" s="324">
        <v>59275.900999999998</v>
      </c>
      <c r="L11" s="325">
        <v>4024.306</v>
      </c>
      <c r="M11" s="326">
        <v>2201.6779999999999</v>
      </c>
      <c r="N11" s="324">
        <v>634</v>
      </c>
      <c r="O11" s="326">
        <v>1409</v>
      </c>
    </row>
    <row r="12" spans="1:16">
      <c r="A12" s="1"/>
      <c r="B12" s="321" t="s">
        <v>591</v>
      </c>
      <c r="C12" s="327">
        <v>1078529</v>
      </c>
      <c r="D12" s="323">
        <v>100957.34299999999</v>
      </c>
      <c r="E12" s="324">
        <v>3574.69</v>
      </c>
      <c r="F12" s="325">
        <v>2381.3389999999999</v>
      </c>
      <c r="G12" s="326">
        <v>12790.829</v>
      </c>
      <c r="H12" s="324">
        <v>198758.14</v>
      </c>
      <c r="I12" s="325">
        <v>3069.3150000000001</v>
      </c>
      <c r="J12" s="326">
        <v>79954.813999999998</v>
      </c>
      <c r="K12" s="324">
        <v>18058.78</v>
      </c>
      <c r="L12" s="325">
        <v>1088.7339999999999</v>
      </c>
      <c r="M12" s="326">
        <v>32.662999999999997</v>
      </c>
      <c r="N12" s="324">
        <v>860</v>
      </c>
      <c r="O12" s="326">
        <v>1864</v>
      </c>
    </row>
    <row r="13" spans="1:16">
      <c r="A13" s="1"/>
      <c r="B13" s="321" t="s">
        <v>592</v>
      </c>
      <c r="C13" s="327">
        <v>1245415</v>
      </c>
      <c r="D13" s="323">
        <v>162934.99299999999</v>
      </c>
      <c r="E13" s="324">
        <v>15723.663</v>
      </c>
      <c r="F13" s="325">
        <v>957.76800000000003</v>
      </c>
      <c r="G13" s="326">
        <v>25682.19</v>
      </c>
      <c r="H13" s="324">
        <v>5244697.7949999999</v>
      </c>
      <c r="I13" s="325">
        <v>257113</v>
      </c>
      <c r="J13" s="326">
        <v>8304.4369999999999</v>
      </c>
      <c r="K13" s="324">
        <v>21976.5</v>
      </c>
      <c r="L13" s="325">
        <v>10560.869000000001</v>
      </c>
      <c r="M13" s="326">
        <v>78.116</v>
      </c>
      <c r="N13" s="324">
        <v>6756</v>
      </c>
      <c r="O13" s="326">
        <v>5772</v>
      </c>
    </row>
    <row r="14" spans="1:16">
      <c r="A14" s="1"/>
      <c r="B14" s="321" t="s">
        <v>593</v>
      </c>
      <c r="C14" s="327">
        <v>2277860</v>
      </c>
      <c r="D14" s="323">
        <v>336207.913</v>
      </c>
      <c r="E14" s="324">
        <v>14186.642</v>
      </c>
      <c r="F14" s="325">
        <v>2466.8710000000001</v>
      </c>
      <c r="G14" s="326">
        <v>94444.311000000002</v>
      </c>
      <c r="H14" s="324">
        <v>913806.35199999996</v>
      </c>
      <c r="I14" s="325">
        <v>2723.5650000000001</v>
      </c>
      <c r="J14" s="326">
        <v>1850.634</v>
      </c>
      <c r="K14" s="324">
        <v>63418.290999999997</v>
      </c>
      <c r="L14" s="325">
        <v>16185.754999999999</v>
      </c>
      <c r="M14" s="326">
        <v>3649.2310000000002</v>
      </c>
      <c r="N14" s="324">
        <v>9495</v>
      </c>
      <c r="O14" s="326">
        <v>1882.42</v>
      </c>
    </row>
    <row r="15" spans="1:16">
      <c r="A15" s="1"/>
      <c r="B15" s="321" t="s">
        <v>594</v>
      </c>
      <c r="C15" s="327">
        <v>1951350</v>
      </c>
      <c r="D15" s="323">
        <v>2894627.6</v>
      </c>
      <c r="E15" s="324">
        <v>420904</v>
      </c>
      <c r="F15" s="325">
        <v>512523</v>
      </c>
      <c r="G15" s="326">
        <v>595500</v>
      </c>
      <c r="H15" s="324">
        <v>300782648</v>
      </c>
      <c r="I15" s="325">
        <v>11095924</v>
      </c>
      <c r="J15" s="326">
        <v>331012</v>
      </c>
      <c r="K15" s="324">
        <v>59472006</v>
      </c>
      <c r="L15" s="325">
        <v>130113</v>
      </c>
      <c r="M15" s="326">
        <v>45685</v>
      </c>
      <c r="N15" s="324">
        <v>838644</v>
      </c>
      <c r="O15" s="326">
        <v>742475</v>
      </c>
    </row>
    <row r="16" spans="1:16">
      <c r="A16" s="1"/>
      <c r="B16" s="321" t="s">
        <v>595</v>
      </c>
      <c r="C16" s="327">
        <v>1199844</v>
      </c>
      <c r="D16" s="323">
        <v>98084.048999999999</v>
      </c>
      <c r="E16" s="324">
        <v>8430.61</v>
      </c>
      <c r="F16" s="325">
        <v>4241.7650000000003</v>
      </c>
      <c r="G16" s="326">
        <v>17245.465</v>
      </c>
      <c r="H16" s="324">
        <v>245756.383</v>
      </c>
      <c r="I16" s="325">
        <v>53084.402999999998</v>
      </c>
      <c r="J16" s="326">
        <v>1484</v>
      </c>
      <c r="K16" s="324">
        <v>20538.469000000001</v>
      </c>
      <c r="L16" s="325">
        <v>1682.347</v>
      </c>
      <c r="M16" s="326">
        <v>161.518</v>
      </c>
      <c r="N16" s="324">
        <v>1790</v>
      </c>
      <c r="O16" s="326">
        <v>1759</v>
      </c>
    </row>
    <row r="17" spans="1:15">
      <c r="A17" s="1"/>
      <c r="B17" s="321" t="s">
        <v>596</v>
      </c>
      <c r="C17" s="327">
        <v>1032473</v>
      </c>
      <c r="D17" s="323">
        <v>63609</v>
      </c>
      <c r="E17" s="324">
        <v>19744</v>
      </c>
      <c r="F17" s="325">
        <v>25846</v>
      </c>
      <c r="G17" s="326">
        <v>11819</v>
      </c>
      <c r="H17" s="324">
        <v>58495158</v>
      </c>
      <c r="I17" s="325">
        <v>0</v>
      </c>
      <c r="J17" s="326">
        <v>0</v>
      </c>
      <c r="K17" s="324">
        <v>14406</v>
      </c>
      <c r="L17" s="325">
        <v>52</v>
      </c>
      <c r="M17" s="326">
        <v>131</v>
      </c>
      <c r="N17" s="324">
        <v>3983</v>
      </c>
      <c r="O17" s="326">
        <v>49</v>
      </c>
    </row>
    <row r="18" spans="1:15">
      <c r="A18" s="1"/>
      <c r="B18" s="321" t="s">
        <v>597</v>
      </c>
      <c r="C18" s="327">
        <v>3846375</v>
      </c>
      <c r="D18" s="323">
        <v>95633.012000000002</v>
      </c>
      <c r="E18" s="324">
        <v>6860.9449999999997</v>
      </c>
      <c r="F18" s="325">
        <v>295.98500000000001</v>
      </c>
      <c r="G18" s="326">
        <v>74146</v>
      </c>
      <c r="H18" s="324">
        <v>321092.913</v>
      </c>
      <c r="I18" s="325">
        <v>0</v>
      </c>
      <c r="J18" s="326">
        <v>0</v>
      </c>
      <c r="K18" s="324">
        <v>11631.07</v>
      </c>
      <c r="L18" s="325">
        <v>559.48199999999997</v>
      </c>
      <c r="M18" s="326">
        <v>4.0979999999999999</v>
      </c>
      <c r="N18" s="324">
        <v>192</v>
      </c>
      <c r="O18" s="326">
        <v>21</v>
      </c>
    </row>
    <row r="19" spans="1:15">
      <c r="A19" s="1"/>
      <c r="B19" s="321" t="s">
        <v>598</v>
      </c>
      <c r="C19" s="327">
        <v>1070345</v>
      </c>
      <c r="D19" s="323">
        <v>174422.68599999999</v>
      </c>
      <c r="E19" s="324">
        <v>4097.9110000000001</v>
      </c>
      <c r="F19" s="325">
        <v>8942.6470000000008</v>
      </c>
      <c r="G19" s="326">
        <v>37550.497000000003</v>
      </c>
      <c r="H19" s="324">
        <v>1186752.1640000001</v>
      </c>
      <c r="I19" s="325">
        <v>240024.09599999999</v>
      </c>
      <c r="J19" s="326">
        <v>5427.5410000000002</v>
      </c>
      <c r="K19" s="324">
        <v>63886.559000000001</v>
      </c>
      <c r="L19" s="325">
        <v>6808.3919999999998</v>
      </c>
      <c r="M19" s="326">
        <v>488.51900000000001</v>
      </c>
      <c r="N19" s="324">
        <v>4407</v>
      </c>
      <c r="O19" s="326">
        <v>562</v>
      </c>
    </row>
    <row r="20" spans="1:15">
      <c r="A20" s="1"/>
      <c r="B20" s="321" t="s">
        <v>599</v>
      </c>
      <c r="C20" s="327">
        <v>2380443</v>
      </c>
      <c r="D20" s="323">
        <v>1517513.7</v>
      </c>
      <c r="E20" s="324">
        <v>336644</v>
      </c>
      <c r="F20" s="325">
        <v>106942</v>
      </c>
      <c r="G20" s="326">
        <v>310141</v>
      </c>
      <c r="H20" s="324">
        <v>9584773</v>
      </c>
      <c r="I20" s="325">
        <v>865755</v>
      </c>
      <c r="J20" s="326">
        <v>371000</v>
      </c>
      <c r="K20" s="324">
        <v>50355240</v>
      </c>
      <c r="L20" s="325">
        <v>138305</v>
      </c>
      <c r="M20" s="326">
        <v>43003</v>
      </c>
      <c r="N20" s="324">
        <v>346666</v>
      </c>
      <c r="O20" s="326">
        <v>319418</v>
      </c>
    </row>
    <row r="21" spans="1:15">
      <c r="A21" s="1"/>
      <c r="B21" s="321" t="s">
        <v>600</v>
      </c>
      <c r="C21" s="327">
        <v>3232316</v>
      </c>
      <c r="D21" s="323">
        <v>405781.91700000002</v>
      </c>
      <c r="E21" s="324">
        <v>35711.364999999998</v>
      </c>
      <c r="F21" s="325">
        <v>54924.874000000003</v>
      </c>
      <c r="G21" s="326">
        <v>50430.947999999997</v>
      </c>
      <c r="H21" s="324">
        <v>1061322.3430000001</v>
      </c>
      <c r="I21" s="325">
        <v>42774.61</v>
      </c>
      <c r="J21" s="326">
        <v>48735.222999999998</v>
      </c>
      <c r="K21" s="324">
        <v>5193826.41</v>
      </c>
      <c r="L21" s="325">
        <v>39638.237999999998</v>
      </c>
      <c r="M21" s="326">
        <v>4205.9679999999998</v>
      </c>
      <c r="N21" s="324">
        <v>43465</v>
      </c>
      <c r="O21" s="326">
        <v>897.96299999999997</v>
      </c>
    </row>
    <row r="22" spans="1:15">
      <c r="A22" s="1"/>
      <c r="B22" s="321" t="s">
        <v>601</v>
      </c>
      <c r="C22" s="327">
        <v>1068191</v>
      </c>
      <c r="D22" s="323">
        <v>64612.413999999997</v>
      </c>
      <c r="E22" s="324">
        <v>1550.4159999999999</v>
      </c>
      <c r="F22" s="325">
        <v>313.49700000000001</v>
      </c>
      <c r="G22" s="326">
        <v>15666.102999999999</v>
      </c>
      <c r="H22" s="324">
        <v>302706.092</v>
      </c>
      <c r="I22" s="325">
        <v>79935.241999999998</v>
      </c>
      <c r="J22" s="326">
        <v>941.58399999999995</v>
      </c>
      <c r="K22" s="324">
        <v>7580.2389999999996</v>
      </c>
      <c r="L22" s="325">
        <v>2909.136</v>
      </c>
      <c r="M22" s="326">
        <v>883.774</v>
      </c>
      <c r="N22" s="324">
        <v>834</v>
      </c>
      <c r="O22" s="326">
        <v>0</v>
      </c>
    </row>
    <row r="23" spans="1:15">
      <c r="A23" s="1"/>
      <c r="B23" s="321" t="s">
        <v>602</v>
      </c>
      <c r="C23" s="327">
        <v>1039502</v>
      </c>
      <c r="D23" s="323">
        <v>3569551.8</v>
      </c>
      <c r="E23" s="324">
        <v>421963</v>
      </c>
      <c r="F23" s="325">
        <v>544258</v>
      </c>
      <c r="G23" s="326">
        <v>598997</v>
      </c>
      <c r="H23" s="324">
        <v>321458431</v>
      </c>
      <c r="I23" s="325">
        <v>21320085</v>
      </c>
      <c r="J23" s="326">
        <v>507734</v>
      </c>
      <c r="K23" s="324">
        <v>68003662</v>
      </c>
      <c r="L23" s="325">
        <v>446323</v>
      </c>
      <c r="M23" s="326">
        <v>69310</v>
      </c>
      <c r="N23" s="324">
        <v>692557</v>
      </c>
      <c r="O23" s="326">
        <v>673734</v>
      </c>
    </row>
    <row r="24" spans="1:15">
      <c r="A24" s="1"/>
      <c r="B24" s="321" t="s">
        <v>603</v>
      </c>
      <c r="C24" s="327">
        <v>1068025</v>
      </c>
      <c r="D24" s="323">
        <v>134368.815</v>
      </c>
      <c r="E24" s="324">
        <v>6166.3220000000001</v>
      </c>
      <c r="F24" s="325">
        <v>724.42899999999997</v>
      </c>
      <c r="G24" s="326">
        <v>26156.038</v>
      </c>
      <c r="H24" s="324">
        <v>983712.09199999995</v>
      </c>
      <c r="I24" s="325">
        <v>82230.812999999995</v>
      </c>
      <c r="J24" s="326">
        <v>5378.5680000000002</v>
      </c>
      <c r="K24" s="324">
        <v>61561.347000000002</v>
      </c>
      <c r="L24" s="325">
        <v>1643.5160000000001</v>
      </c>
      <c r="M24" s="326">
        <v>2764.8420000000001</v>
      </c>
      <c r="N24" s="324">
        <v>2218</v>
      </c>
      <c r="O24" s="326">
        <v>27</v>
      </c>
    </row>
    <row r="25" spans="1:15">
      <c r="A25" s="1"/>
      <c r="B25" s="321" t="s">
        <v>604</v>
      </c>
      <c r="C25" s="327">
        <v>1037003</v>
      </c>
      <c r="D25" s="323">
        <v>104645.236</v>
      </c>
      <c r="E25" s="324">
        <v>2069.7339999999999</v>
      </c>
      <c r="F25" s="325">
        <v>4983.2709999999997</v>
      </c>
      <c r="G25" s="326">
        <v>21928.216</v>
      </c>
      <c r="H25" s="324">
        <v>1594474.13</v>
      </c>
      <c r="I25" s="325">
        <v>100836.317</v>
      </c>
      <c r="J25" s="326">
        <v>25845.374</v>
      </c>
      <c r="K25" s="324">
        <v>21408.258000000002</v>
      </c>
      <c r="L25" s="325">
        <v>587.51400000000001</v>
      </c>
      <c r="M25" s="326">
        <v>72.549000000000007</v>
      </c>
      <c r="N25" s="324">
        <v>272.875</v>
      </c>
      <c r="O25" s="326">
        <v>30.274000000000001</v>
      </c>
    </row>
    <row r="26" spans="1:15">
      <c r="A26" s="1"/>
      <c r="B26" s="321" t="s">
        <v>605</v>
      </c>
      <c r="C26" s="327">
        <v>2162966</v>
      </c>
      <c r="D26" s="323">
        <v>1282726.862</v>
      </c>
      <c r="E26" s="324">
        <v>535021.79799999995</v>
      </c>
      <c r="F26" s="325">
        <v>182491.08900000001</v>
      </c>
      <c r="G26" s="326">
        <v>231405.818</v>
      </c>
      <c r="H26" s="324">
        <v>9811965.0739999991</v>
      </c>
      <c r="I26" s="325">
        <v>1369185.923</v>
      </c>
      <c r="J26" s="326">
        <v>261804.79999999999</v>
      </c>
      <c r="K26" s="324">
        <v>43610512.376000002</v>
      </c>
      <c r="L26" s="325">
        <v>316368.65500000003</v>
      </c>
      <c r="M26" s="326">
        <v>23281</v>
      </c>
      <c r="N26" s="324">
        <v>353380</v>
      </c>
      <c r="O26" s="326">
        <v>470008</v>
      </c>
    </row>
    <row r="27" spans="1:15">
      <c r="A27" s="1"/>
      <c r="B27" s="321" t="s">
        <v>606</v>
      </c>
      <c r="C27" s="327">
        <v>1199611</v>
      </c>
      <c r="D27" s="323">
        <v>142399.20300000001</v>
      </c>
      <c r="E27" s="324">
        <v>43593.978000000003</v>
      </c>
      <c r="F27" s="325">
        <v>12215.42</v>
      </c>
      <c r="G27" s="326">
        <v>16241.617</v>
      </c>
      <c r="H27" s="324">
        <v>32997307.763</v>
      </c>
      <c r="I27" s="325">
        <v>5575700</v>
      </c>
      <c r="J27" s="326">
        <v>0</v>
      </c>
      <c r="K27" s="324">
        <v>254851.42800000001</v>
      </c>
      <c r="L27" s="325">
        <v>11761.216</v>
      </c>
      <c r="M27" s="326">
        <v>98.93</v>
      </c>
      <c r="N27" s="324">
        <v>28277</v>
      </c>
      <c r="O27" s="326">
        <v>51357.603000000003</v>
      </c>
    </row>
    <row r="28" spans="1:15">
      <c r="A28" s="1"/>
      <c r="B28" s="321" t="s">
        <v>607</v>
      </c>
      <c r="C28" s="327">
        <v>1069778</v>
      </c>
      <c r="D28" s="323">
        <v>425387.038</v>
      </c>
      <c r="E28" s="324">
        <v>17703</v>
      </c>
      <c r="F28" s="325">
        <v>13135</v>
      </c>
      <c r="G28" s="326">
        <v>67592.5</v>
      </c>
      <c r="H28" s="324">
        <v>2004252</v>
      </c>
      <c r="I28" s="325">
        <v>161000</v>
      </c>
      <c r="J28" s="326">
        <v>10044</v>
      </c>
      <c r="K28" s="324">
        <v>251979</v>
      </c>
      <c r="L28" s="325">
        <v>25920.728999999999</v>
      </c>
      <c r="M28" s="326">
        <v>10635.102999999999</v>
      </c>
      <c r="N28" s="324">
        <v>4895</v>
      </c>
      <c r="O28" s="326">
        <v>1989</v>
      </c>
    </row>
    <row r="29" spans="1:15">
      <c r="A29" s="1"/>
      <c r="B29" s="321" t="s">
        <v>608</v>
      </c>
      <c r="C29" s="327">
        <v>1132449</v>
      </c>
      <c r="D29" s="323">
        <v>146082.291</v>
      </c>
      <c r="E29" s="324">
        <v>3777.723</v>
      </c>
      <c r="F29" s="325">
        <v>3609.7739999999999</v>
      </c>
      <c r="G29" s="326">
        <v>1350</v>
      </c>
      <c r="H29" s="324">
        <v>2816151.1549999998</v>
      </c>
      <c r="I29" s="325">
        <v>6723.9949999999999</v>
      </c>
      <c r="J29" s="326">
        <v>0</v>
      </c>
      <c r="K29" s="324">
        <v>43162.955000000002</v>
      </c>
      <c r="L29" s="325">
        <v>869.36400000000003</v>
      </c>
      <c r="M29" s="326">
        <v>0.73499999999999999</v>
      </c>
      <c r="N29" s="324">
        <v>1689</v>
      </c>
      <c r="O29" s="326">
        <v>954</v>
      </c>
    </row>
    <row r="30" spans="1:15">
      <c r="A30" s="1"/>
      <c r="B30" s="321" t="s">
        <v>609</v>
      </c>
      <c r="C30" s="327">
        <v>3242838</v>
      </c>
      <c r="D30" s="323">
        <v>145969.288</v>
      </c>
      <c r="E30" s="324">
        <v>1253.874</v>
      </c>
      <c r="F30" s="325">
        <v>6692.8410000000003</v>
      </c>
      <c r="G30" s="326">
        <v>27270.646000000001</v>
      </c>
      <c r="H30" s="324">
        <v>754883.18</v>
      </c>
      <c r="I30" s="325">
        <v>22040.422999999999</v>
      </c>
      <c r="J30" s="326">
        <v>44635.402999999998</v>
      </c>
      <c r="K30" s="324">
        <v>74346.036999999997</v>
      </c>
      <c r="L30" s="325">
        <v>5061.2979999999998</v>
      </c>
      <c r="M30" s="326">
        <v>313.26799999999997</v>
      </c>
      <c r="N30" s="324">
        <v>1058</v>
      </c>
      <c r="O30" s="326">
        <v>460</v>
      </c>
    </row>
    <row r="31" spans="1:15">
      <c r="A31" s="1"/>
      <c r="B31" s="321" t="s">
        <v>610</v>
      </c>
      <c r="C31" s="327">
        <v>3981856</v>
      </c>
      <c r="D31" s="323">
        <v>98283.41</v>
      </c>
      <c r="E31" s="324">
        <v>3861.761</v>
      </c>
      <c r="F31" s="325">
        <v>401.81799999999998</v>
      </c>
      <c r="G31" s="326">
        <v>11631.17</v>
      </c>
      <c r="H31" s="324">
        <v>24074.151000000002</v>
      </c>
      <c r="I31" s="325">
        <v>0</v>
      </c>
      <c r="J31" s="326">
        <v>0</v>
      </c>
      <c r="K31" s="324">
        <v>17537.179</v>
      </c>
      <c r="L31" s="325">
        <v>11600.007</v>
      </c>
      <c r="M31" s="326">
        <v>195.28800000000001</v>
      </c>
      <c r="N31" s="324">
        <v>3824.9059999999999</v>
      </c>
      <c r="O31" s="326">
        <v>1210.3789999999999</v>
      </c>
    </row>
    <row r="32" spans="1:15">
      <c r="A32" s="1"/>
      <c r="B32" s="321" t="s">
        <v>611</v>
      </c>
      <c r="C32" s="327">
        <v>1111435</v>
      </c>
      <c r="D32" s="323">
        <v>345428.17</v>
      </c>
      <c r="E32" s="324">
        <v>30393.030999999999</v>
      </c>
      <c r="F32" s="325">
        <v>209263.087</v>
      </c>
      <c r="G32" s="326">
        <v>42822.161999999997</v>
      </c>
      <c r="H32" s="324">
        <v>59122189.976999998</v>
      </c>
      <c r="I32" s="325">
        <v>20411068</v>
      </c>
      <c r="J32" s="326">
        <v>0</v>
      </c>
      <c r="K32" s="324">
        <v>1141088.6499999999</v>
      </c>
      <c r="L32" s="325">
        <v>53759.419000000002</v>
      </c>
      <c r="M32" s="326">
        <v>7563.6180000000004</v>
      </c>
      <c r="N32" s="324">
        <v>47446.989000000001</v>
      </c>
      <c r="O32" s="326">
        <v>124911</v>
      </c>
    </row>
    <row r="33" spans="1:15">
      <c r="A33" s="1"/>
      <c r="B33" s="321" t="s">
        <v>612</v>
      </c>
      <c r="C33" s="327">
        <v>1131787</v>
      </c>
      <c r="D33" s="323">
        <v>229448.402</v>
      </c>
      <c r="E33" s="324">
        <v>3490.9749999999999</v>
      </c>
      <c r="F33" s="325">
        <v>1307.5239999999999</v>
      </c>
      <c r="G33" s="326">
        <v>49991.783000000003</v>
      </c>
      <c r="H33" s="324">
        <v>643952.04599999997</v>
      </c>
      <c r="I33" s="325">
        <v>64437.735000000001</v>
      </c>
      <c r="J33" s="326">
        <v>11251.064</v>
      </c>
      <c r="K33" s="324">
        <v>182526.57500000001</v>
      </c>
      <c r="L33" s="325">
        <v>14987.093000000001</v>
      </c>
      <c r="M33" s="326">
        <v>2629.8429999999998</v>
      </c>
      <c r="N33" s="324">
        <v>1643</v>
      </c>
      <c r="O33" s="326">
        <v>2002.2339999999999</v>
      </c>
    </row>
    <row r="34" spans="1:15">
      <c r="A34" s="1"/>
      <c r="B34" s="321" t="s">
        <v>613</v>
      </c>
      <c r="C34" s="327">
        <v>1249196</v>
      </c>
      <c r="D34" s="323">
        <v>276806.64299999998</v>
      </c>
      <c r="E34" s="324">
        <v>14569.418</v>
      </c>
      <c r="F34" s="325">
        <v>5124.83</v>
      </c>
      <c r="G34" s="326">
        <v>8343.5339999999997</v>
      </c>
      <c r="H34" s="324">
        <v>2392518.835</v>
      </c>
      <c r="I34" s="325">
        <v>9655.0290000000005</v>
      </c>
      <c r="J34" s="326">
        <v>0</v>
      </c>
      <c r="K34" s="324">
        <v>151227.64300000001</v>
      </c>
      <c r="L34" s="325">
        <v>17761.485000000001</v>
      </c>
      <c r="M34" s="326">
        <v>1776.915</v>
      </c>
      <c r="N34" s="324">
        <v>35402</v>
      </c>
      <c r="O34" s="326">
        <v>1244</v>
      </c>
    </row>
    <row r="35" spans="1:15">
      <c r="A35" s="1"/>
      <c r="B35" s="321" t="s">
        <v>614</v>
      </c>
      <c r="C35" s="327">
        <v>1119794</v>
      </c>
      <c r="D35" s="323">
        <v>524636.19999999995</v>
      </c>
      <c r="E35" s="324">
        <v>11460</v>
      </c>
      <c r="F35" s="325">
        <v>21887</v>
      </c>
      <c r="G35" s="326">
        <v>138882</v>
      </c>
      <c r="H35" s="324">
        <v>6918228</v>
      </c>
      <c r="I35" s="325">
        <v>959466</v>
      </c>
      <c r="J35" s="326">
        <v>17199</v>
      </c>
      <c r="K35" s="324">
        <v>106000</v>
      </c>
      <c r="L35" s="325">
        <v>12961</v>
      </c>
      <c r="M35" s="326">
        <v>4042</v>
      </c>
      <c r="N35" s="324">
        <v>3297</v>
      </c>
      <c r="O35" s="326">
        <v>33759</v>
      </c>
    </row>
    <row r="36" spans="1:15">
      <c r="A36" s="1"/>
      <c r="B36" s="321" t="s">
        <v>615</v>
      </c>
      <c r="C36" s="327">
        <v>1378434</v>
      </c>
      <c r="D36" s="323">
        <v>146461.571</v>
      </c>
      <c r="E36" s="324">
        <v>9834.2180000000008</v>
      </c>
      <c r="F36" s="325">
        <v>5857.9530000000004</v>
      </c>
      <c r="G36" s="326">
        <v>19747.054</v>
      </c>
      <c r="H36" s="324">
        <v>1058278.541</v>
      </c>
      <c r="I36" s="325">
        <v>119954.708</v>
      </c>
      <c r="J36" s="326">
        <v>0</v>
      </c>
      <c r="K36" s="324">
        <v>64308.843000000001</v>
      </c>
      <c r="L36" s="325">
        <v>8144.2979999999998</v>
      </c>
      <c r="M36" s="326">
        <v>2289.1320000000001</v>
      </c>
      <c r="N36" s="324">
        <v>2201</v>
      </c>
      <c r="O36" s="326">
        <v>2618.3609999999999</v>
      </c>
    </row>
    <row r="37" spans="1:15">
      <c r="A37" s="1"/>
      <c r="B37" s="321" t="s">
        <v>616</v>
      </c>
      <c r="C37" s="327">
        <v>1120754</v>
      </c>
      <c r="D37" s="323">
        <v>1961304.7</v>
      </c>
      <c r="E37" s="324">
        <v>110263</v>
      </c>
      <c r="F37" s="325">
        <v>128896</v>
      </c>
      <c r="G37" s="326">
        <v>507718</v>
      </c>
      <c r="H37" s="324">
        <v>28761213</v>
      </c>
      <c r="I37" s="325">
        <v>2400000</v>
      </c>
      <c r="J37" s="326">
        <v>85947</v>
      </c>
      <c r="K37" s="324">
        <v>4879596</v>
      </c>
      <c r="L37" s="325">
        <v>127761</v>
      </c>
      <c r="M37" s="326">
        <v>37171</v>
      </c>
      <c r="N37" s="324">
        <v>70104</v>
      </c>
      <c r="O37" s="326">
        <v>130239</v>
      </c>
    </row>
    <row r="38" spans="1:15">
      <c r="A38" s="1"/>
      <c r="B38" s="328" t="s">
        <v>617</v>
      </c>
      <c r="C38" s="329">
        <v>1027004</v>
      </c>
      <c r="D38" s="330">
        <v>75164.967999999993</v>
      </c>
      <c r="E38" s="331">
        <v>2607.12</v>
      </c>
      <c r="F38" s="332">
        <v>2500.6170000000002</v>
      </c>
      <c r="G38" s="333">
        <v>10865.665999999999</v>
      </c>
      <c r="H38" s="331">
        <v>437011.29200000002</v>
      </c>
      <c r="I38" s="332">
        <v>2848.6060000000002</v>
      </c>
      <c r="J38" s="333">
        <v>231.55</v>
      </c>
      <c r="K38" s="331">
        <v>3048.64</v>
      </c>
      <c r="L38" s="332">
        <v>2522.819</v>
      </c>
      <c r="M38" s="333">
        <v>1387.287</v>
      </c>
      <c r="N38" s="331">
        <v>86</v>
      </c>
      <c r="O38" s="333">
        <v>1954.2280000000001</v>
      </c>
    </row>
    <row r="40" spans="1:15">
      <c r="D40" s="37"/>
      <c r="E40" s="37"/>
      <c r="F40" s="37"/>
      <c r="G40" s="37"/>
      <c r="H40" s="37"/>
    </row>
  </sheetData>
  <sheetProtection sheet="1" objects="1" scenarios="1"/>
  <mergeCells count="4">
    <mergeCell ref="E3:G3"/>
    <mergeCell ref="H3:J3"/>
    <mergeCell ref="K3:M3"/>
    <mergeCell ref="N3:O3"/>
  </mergeCells>
  <printOptions horizontalCentered="1"/>
  <pageMargins left="0.7" right="0.7" top="0.75" bottom="0.75" header="0.3" footer="0.3"/>
  <pageSetup scale="50" orientation="landscape" r:id="rId1"/>
  <headerFooter scaleWithDoc="0">
    <oddFooter>&amp;L&amp;10Data Source: FR Y-15&amp;C&amp;10Page &amp;P of &amp;N&amp;R&amp;10As-of Date: December 31, 2013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Indicators</vt:lpstr>
      <vt:lpstr>BCBS Template</vt:lpstr>
      <vt:lpstr>Graphs</vt:lpstr>
      <vt:lpstr>Time Series</vt:lpstr>
      <vt:lpstr>Scores</vt:lpstr>
      <vt:lpstr>FR Y-15 Data</vt:lpstr>
      <vt:lpstr>2013 Indicators</vt:lpstr>
      <vt:lpstr>'2013 Indicators'!A</vt:lpstr>
      <vt:lpstr>Scores!A</vt:lpstr>
      <vt:lpstr>A</vt:lpstr>
      <vt:lpstr>'2013 Indicators'!Print_Area</vt:lpstr>
      <vt:lpstr>'BCBS Template'!Print_Area</vt:lpstr>
      <vt:lpstr>Graphs!Print_Area</vt:lpstr>
      <vt:lpstr>Indicators!Print_Area</vt:lpstr>
      <vt:lpstr>Scores!Print_Area</vt:lpstr>
      <vt:lpstr>'Time Series'!Print_Area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2015-08-12T14:53:19Z</dcterms:created>
  <dcterms:modified xsi:type="dcterms:W3CDTF">2016-10-10T05:05:20Z</dcterms:modified>
</cp:coreProperties>
</file>