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/>
  <mc:AlternateContent xmlns:mc="http://schemas.openxmlformats.org/markup-compatibility/2006">
    <mc:Choice Requires="x15">
      <x15ac:absPath xmlns:x15ac="http://schemas.microsoft.com/office/spreadsheetml/2010/11/ac" url="/Users/vivekthakur1/Downloads/Adidas/"/>
    </mc:Choice>
  </mc:AlternateContent>
  <xr:revisionPtr revIDLastSave="0" documentId="13_ncr:1_{C4A596BB-A38E-0544-B034-0C0E6A56644F}" xr6:coauthVersionLast="47" xr6:coauthVersionMax="47" xr10:uidLastSave="{00000000-0000-0000-0000-000000000000}"/>
  <bookViews>
    <workbookView xWindow="3020" yWindow="680" windowWidth="26180" windowHeight="16800" activeTab="6" xr2:uid="{00000000-000D-0000-FFFF-FFFF00000000}"/>
  </bookViews>
  <sheets>
    <sheet name="Income Statement" sheetId="4" r:id="rId1"/>
    <sheet name="Balance Sheet" sheetId="3" r:id="rId2"/>
    <sheet name="Cash Flow" sheetId="2" r:id="rId3"/>
    <sheet name="Previous Statements" sheetId="8" r:id="rId4"/>
    <sheet name="WACC_Calculation" sheetId="9" r:id="rId5"/>
    <sheet name="FCFF_CCF_Forecasting" sheetId="6" r:id="rId6"/>
    <sheet name="ECF" sheetId="10" r:id="rId7"/>
    <sheet name="ECF_Valuation" sheetId="11" r:id="rId8"/>
    <sheet name="Sensitivity Analysis" sheetId="13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D3" i="10"/>
  <c r="I17" i="10"/>
  <c r="C81" i="6"/>
  <c r="C82" i="6"/>
  <c r="C11" i="9"/>
  <c r="C10" i="9"/>
  <c r="E52" i="6"/>
  <c r="D52" i="6"/>
  <c r="F45" i="6"/>
  <c r="E45" i="6" s="1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10" i="13"/>
  <c r="C5" i="13"/>
  <c r="C4" i="13"/>
  <c r="A9" i="13"/>
  <c r="F96" i="6"/>
  <c r="M2" i="11"/>
  <c r="E18" i="10"/>
  <c r="I19" i="10"/>
  <c r="G3" i="10"/>
  <c r="G4" i="10"/>
  <c r="G9" i="10"/>
  <c r="D4" i="10"/>
  <c r="E4" i="10"/>
  <c r="F4" i="10"/>
  <c r="F3" i="10"/>
  <c r="F9" i="10"/>
  <c r="D8" i="10"/>
  <c r="E8" i="10"/>
  <c r="F8" i="10"/>
  <c r="C8" i="10"/>
  <c r="M57" i="6"/>
  <c r="C70" i="6" s="1"/>
  <c r="E40" i="6" s="1"/>
  <c r="E63" i="6" s="1"/>
  <c r="G74" i="6" s="1"/>
  <c r="I18" i="10"/>
  <c r="E9" i="11"/>
  <c r="D9" i="11"/>
  <c r="C9" i="11"/>
  <c r="C9" i="10"/>
  <c r="C10" i="10"/>
  <c r="C3" i="10"/>
  <c r="C4" i="10"/>
  <c r="E17" i="10"/>
  <c r="E19" i="10"/>
  <c r="E5" i="11"/>
  <c r="E6" i="11"/>
  <c r="E7" i="11"/>
  <c r="D9" i="10"/>
  <c r="D10" i="10"/>
  <c r="E7" i="10"/>
  <c r="E3" i="10"/>
  <c r="E9" i="10"/>
  <c r="E10" i="10"/>
  <c r="F7" i="10"/>
  <c r="F10" i="10"/>
  <c r="G7" i="10"/>
  <c r="G8" i="10"/>
  <c r="G10" i="10"/>
  <c r="E8" i="11"/>
  <c r="E10" i="11"/>
  <c r="E11" i="11"/>
  <c r="D5" i="11"/>
  <c r="D6" i="11"/>
  <c r="D7" i="11"/>
  <c r="J8" i="9"/>
  <c r="J9" i="9"/>
  <c r="B68" i="6"/>
  <c r="F16" i="2"/>
  <c r="F52" i="6"/>
  <c r="C52" i="6"/>
  <c r="E6" i="9"/>
  <c r="B1" i="9"/>
  <c r="E3" i="9"/>
  <c r="B4" i="9"/>
  <c r="D8" i="11"/>
  <c r="D10" i="11"/>
  <c r="D11" i="11"/>
  <c r="C5" i="11"/>
  <c r="E7" i="9"/>
  <c r="B5" i="9"/>
  <c r="B6" i="9"/>
  <c r="J6" i="9"/>
  <c r="E8" i="9"/>
  <c r="J47" i="6"/>
  <c r="E16" i="2"/>
  <c r="C44" i="8"/>
  <c r="D44" i="8"/>
  <c r="E44" i="8"/>
  <c r="B44" i="8"/>
  <c r="C28" i="8"/>
  <c r="D28" i="8"/>
  <c r="E28" i="8"/>
  <c r="B28" i="8"/>
  <c r="C29" i="8"/>
  <c r="D29" i="8"/>
  <c r="B29" i="8"/>
  <c r="C8" i="8"/>
  <c r="D8" i="8"/>
  <c r="E8" i="8"/>
  <c r="B8" i="8"/>
  <c r="C4" i="8"/>
  <c r="D4" i="8"/>
  <c r="B4" i="8"/>
  <c r="G48" i="6"/>
  <c r="H48" i="6"/>
  <c r="I48" i="6"/>
  <c r="J48" i="6"/>
  <c r="H47" i="6"/>
  <c r="I47" i="6"/>
  <c r="H46" i="6"/>
  <c r="I46" i="6"/>
  <c r="J46" i="6"/>
  <c r="H43" i="6"/>
  <c r="I43" i="6"/>
  <c r="J43" i="6"/>
  <c r="G43" i="6"/>
  <c r="H55" i="6"/>
  <c r="I55" i="6"/>
  <c r="J55" i="6"/>
  <c r="G55" i="6"/>
  <c r="H50" i="6"/>
  <c r="I50" i="6"/>
  <c r="J50" i="6"/>
  <c r="G50" i="6"/>
  <c r="C4" i="6"/>
  <c r="C51" i="6" s="1"/>
  <c r="D4" i="6"/>
  <c r="E4" i="6"/>
  <c r="F4" i="6"/>
  <c r="B4" i="6"/>
  <c r="J52" i="6"/>
  <c r="I52" i="6"/>
  <c r="H52" i="6"/>
  <c r="G52" i="6"/>
  <c r="J5" i="6"/>
  <c r="I5" i="6"/>
  <c r="H5" i="6"/>
  <c r="D41" i="4"/>
  <c r="E41" i="4"/>
  <c r="F41" i="4"/>
  <c r="C41" i="4"/>
  <c r="E3" i="4"/>
  <c r="D3" i="4"/>
  <c r="F3" i="4"/>
  <c r="D16" i="2"/>
  <c r="C16" i="2"/>
  <c r="G16" i="2"/>
  <c r="C6" i="11"/>
  <c r="C7" i="11"/>
  <c r="J7" i="9"/>
  <c r="B85" i="6"/>
  <c r="B98" i="6" s="1"/>
  <c r="C8" i="11"/>
  <c r="C10" i="11"/>
  <c r="C11" i="11"/>
  <c r="B5" i="11"/>
  <c r="G47" i="6"/>
  <c r="G46" i="6"/>
  <c r="F47" i="6"/>
  <c r="F51" i="6" l="1"/>
  <c r="F46" i="6"/>
  <c r="D51" i="6"/>
  <c r="E46" i="6"/>
  <c r="E47" i="6"/>
  <c r="D45" i="6"/>
  <c r="E51" i="6"/>
  <c r="M43" i="6"/>
  <c r="E43" i="6" s="1"/>
  <c r="C40" i="6"/>
  <c r="C63" i="6" s="1"/>
  <c r="E74" i="6" s="1"/>
  <c r="L54" i="6"/>
  <c r="C55" i="6" s="1"/>
  <c r="F40" i="6"/>
  <c r="F63" i="6" s="1"/>
  <c r="H74" i="6" s="1"/>
  <c r="B40" i="6"/>
  <c r="B63" i="6" s="1"/>
  <c r="D74" i="6" s="1"/>
  <c r="D40" i="6"/>
  <c r="D63" i="6" s="1"/>
  <c r="F74" i="6" s="1"/>
  <c r="B51" i="6"/>
  <c r="F43" i="6" l="1"/>
  <c r="F44" i="6" s="1"/>
  <c r="D43" i="6"/>
  <c r="C43" i="6"/>
  <c r="B43" i="6"/>
  <c r="E44" i="6"/>
  <c r="D44" i="6" s="1"/>
  <c r="C44" i="6" s="1"/>
  <c r="B44" i="6" s="1"/>
  <c r="B55" i="6"/>
  <c r="E55" i="6"/>
  <c r="F55" i="6"/>
  <c r="F54" i="6" s="1"/>
  <c r="F49" i="6" s="1"/>
  <c r="F48" i="6" s="1"/>
  <c r="F62" i="6" s="1"/>
  <c r="F64" i="6" s="1"/>
  <c r="D47" i="6"/>
  <c r="D46" i="6"/>
  <c r="C45" i="6"/>
  <c r="D55" i="6"/>
  <c r="B97" i="6" l="1"/>
  <c r="H73" i="6"/>
  <c r="C46" i="6"/>
  <c r="B45" i="6"/>
  <c r="C47" i="6"/>
  <c r="E54" i="6"/>
  <c r="E49" i="6" s="1"/>
  <c r="E48" i="6" s="1"/>
  <c r="E62" i="6" s="1"/>
  <c r="H75" i="6"/>
  <c r="B79" i="6" s="1"/>
  <c r="H87" i="6"/>
  <c r="C3" i="13"/>
  <c r="B99" i="6"/>
  <c r="F65" i="6" l="1"/>
  <c r="E64" i="6"/>
  <c r="G73" i="6"/>
  <c r="B47" i="6"/>
  <c r="B46" i="6"/>
  <c r="D54" i="6"/>
  <c r="E9" i="13"/>
  <c r="B18" i="13"/>
  <c r="B26" i="13"/>
  <c r="B19" i="13"/>
  <c r="E18" i="13"/>
  <c r="E26" i="13"/>
  <c r="B14" i="13"/>
  <c r="B27" i="13"/>
  <c r="B23" i="13"/>
  <c r="B25" i="13"/>
  <c r="B28" i="13"/>
  <c r="E14" i="13"/>
  <c r="E22" i="13"/>
  <c r="E30" i="13"/>
  <c r="B31" i="13"/>
  <c r="E31" i="13"/>
  <c r="E10" i="13"/>
  <c r="B24" i="13"/>
  <c r="B12" i="13"/>
  <c r="E13" i="13"/>
  <c r="E21" i="13"/>
  <c r="E29" i="13"/>
  <c r="B13" i="13"/>
  <c r="E15" i="13"/>
  <c r="E23" i="13"/>
  <c r="B15" i="13"/>
  <c r="B9" i="13"/>
  <c r="B16" i="13"/>
  <c r="E16" i="13"/>
  <c r="E24" i="13"/>
  <c r="B20" i="13"/>
  <c r="B21" i="13"/>
  <c r="B30" i="13"/>
  <c r="E12" i="13"/>
  <c r="E28" i="13"/>
  <c r="B22" i="13"/>
  <c r="C6" i="13"/>
  <c r="B10" i="13"/>
  <c r="B17" i="13"/>
  <c r="E17" i="13"/>
  <c r="E25" i="13"/>
  <c r="B29" i="13"/>
  <c r="B11" i="13"/>
  <c r="E19" i="13"/>
  <c r="E27" i="13"/>
  <c r="E11" i="13"/>
  <c r="E20" i="13"/>
  <c r="B78" i="6"/>
  <c r="H76" i="6"/>
  <c r="G75" i="6" l="1"/>
  <c r="G76" i="6" s="1"/>
  <c r="G87" i="6"/>
  <c r="D49" i="6"/>
  <c r="D48" i="6" s="1"/>
  <c r="D62" i="6" s="1"/>
  <c r="C54" i="6"/>
  <c r="B54" i="6" l="1"/>
  <c r="B49" i="6" s="1"/>
  <c r="B48" i="6" s="1"/>
  <c r="B62" i="6" s="1"/>
  <c r="B66" i="6" s="1"/>
  <c r="K72" i="6" s="1"/>
  <c r="C49" i="6"/>
  <c r="C48" i="6" s="1"/>
  <c r="C62" i="6" s="1"/>
  <c r="F73" i="6"/>
  <c r="D64" i="6"/>
  <c r="E65" i="6"/>
  <c r="F87" i="6" l="1"/>
  <c r="F75" i="6"/>
  <c r="F76" i="6" s="1"/>
  <c r="C64" i="6"/>
  <c r="D65" i="6"/>
  <c r="E73" i="6"/>
  <c r="B65" i="6"/>
  <c r="D73" i="6"/>
  <c r="C65" i="6"/>
  <c r="B64" i="6"/>
  <c r="D75" i="6" l="1"/>
  <c r="D76" i="6" s="1"/>
  <c r="D87" i="6"/>
  <c r="E75" i="6"/>
  <c r="E76" i="6" s="1"/>
  <c r="E87" i="6"/>
  <c r="C88" i="6" l="1"/>
  <c r="C77" i="6"/>
</calcChain>
</file>

<file path=xl/sharedStrings.xml><?xml version="1.0" encoding="utf-8"?>
<sst xmlns="http://schemas.openxmlformats.org/spreadsheetml/2006/main" count="363" uniqueCount="268">
  <si>
    <t>Currency in EUR. All numbers in thousands</t>
  </si>
  <si>
    <t>Breakdown</t>
  </si>
  <si>
    <t>TTM</t>
  </si>
  <si>
    <t>12/30/2023</t>
  </si>
  <si>
    <t>12/30/2022</t>
  </si>
  <si>
    <t>12/30/2021</t>
  </si>
  <si>
    <t>12/30/2020</t>
  </si>
  <si>
    <t>Total Revenue</t>
  </si>
  <si>
    <t>Operating Revenue</t>
  </si>
  <si>
    <t>Cost of Revenue</t>
  </si>
  <si>
    <t>Gross Profit</t>
  </si>
  <si>
    <t>Operating Expense</t>
  </si>
  <si>
    <t>Selling General and Administr...</t>
  </si>
  <si>
    <t>Selling &amp; Marketing Expense</t>
  </si>
  <si>
    <t>Other Operating Expenses</t>
  </si>
  <si>
    <t>Operating Income</t>
  </si>
  <si>
    <t>Net Non Operating Interest Inc...</t>
  </si>
  <si>
    <t>Interest Income Non Operating</t>
  </si>
  <si>
    <t>Interest Expense Non Operating</t>
  </si>
  <si>
    <t>Total Other Finance Cost</t>
  </si>
  <si>
    <t>Pretax Income</t>
  </si>
  <si>
    <t>Tax Provision</t>
  </si>
  <si>
    <t>Net Income Common Stockhold...</t>
  </si>
  <si>
    <t>Net Income</t>
  </si>
  <si>
    <t>Net Income Including Non...</t>
  </si>
  <si>
    <t>Minority Interests</t>
  </si>
  <si>
    <t>Otherunder Preferred Stock Divi...</t>
  </si>
  <si>
    <t>Diluted NI Available to Com Stock...</t>
  </si>
  <si>
    <t>Basic EPS</t>
  </si>
  <si>
    <t>Diluted EPS</t>
  </si>
  <si>
    <t>Basic Average Shares</t>
  </si>
  <si>
    <t>Diluted Average Shares</t>
  </si>
  <si>
    <t>Cash Flow</t>
  </si>
  <si>
    <t>Operating Cash Flow</t>
  </si>
  <si>
    <t>Investing Cash Flow</t>
  </si>
  <si>
    <t>Financing Cash Flow</t>
  </si>
  <si>
    <t>End Cash Position</t>
  </si>
  <si>
    <t>Changes in Cash</t>
  </si>
  <si>
    <t>Effect of Exchange Rate Changes</t>
  </si>
  <si>
    <t>Beginning Cash Position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</si>
  <si>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</si>
  <si>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</si>
  <si>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</si>
  <si>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</si>
  <si>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</si>
  <si>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</si>
  <si>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Other Cash Adjustment Outside</t>
  </si>
  <si>
    <t>Total Assets</t>
  </si>
  <si>
    <t>Current Assets</t>
  </si>
  <si>
    <t>Cash, Cash Equivalents &amp;amp; S...</t>
  </si>
  <si>
    <t>Cash And Cash Equivalents</t>
  </si>
  <si>
    <t>Other Short Term Investme...</t>
  </si>
  <si>
    <t>Inventory</t>
  </si>
  <si>
    <t>Raw Materials</t>
  </si>
  <si>
    <t>Work in Process</t>
  </si>
  <si>
    <t>Finished Goods</t>
  </si>
  <si>
    <t>Other Inventories</t>
  </si>
  <si>
    <t>Prepaid Assets</t>
  </si>
  <si>
    <t>Current Deferred Assets</t>
  </si>
  <si>
    <t>Assets Held for Sale Current</t>
  </si>
  <si>
    <t>Hedging Assets Current</t>
  </si>
  <si>
    <t>Other Current Assets</t>
  </si>
  <si>
    <t>Total non-current assets</t>
  </si>
  <si>
    <t>Net PPE</t>
  </si>
  <si>
    <t>Gross PPE</t>
  </si>
  <si>
    <t>Properties</t>
  </si>
  <si>
    <t>Land And Improvements</t>
  </si>
  <si>
    <t>Buildings And Improvem...</t>
  </si>
  <si>
    <t>Other Properties</t>
  </si>
  <si>
    <t>Construction in Progress</t>
  </si>
  <si>
    <t>Accumulated Depreciation</t>
  </si>
  <si>
    <t>Goodwill And Other Intangi...</t>
  </si>
  <si>
    <t>Goodwill</t>
  </si>
  <si>
    <t>Other Intangible Assets</t>
  </si>
  <si>
    <t>Financial Assets</t>
  </si>
  <si>
    <t>Non Current Prepaid Assets</t>
  </si>
  <si>
    <t>Other Non Current Assets</t>
  </si>
  <si>
    <t>Total Liabilities Net Minority Inte...</t>
  </si>
  <si>
    <t>Current Liabilities</t>
  </si>
  <si>
    <t>Current Provisions</t>
  </si>
  <si>
    <t>Pension &amp; Other Post Retirem...</t>
  </si>
  <si>
    <t>Current Debt And Capital L...</t>
  </si>
  <si>
    <t>Current Debt</t>
  </si>
  <si>
    <t>Current Capital Lease Oblig...</t>
  </si>
  <si>
    <t>Other Current Liabilities</t>
  </si>
  <si>
    <t>Total Non Current Liabilities ...</t>
  </si>
  <si>
    <t>Long Term Provisions</t>
  </si>
  <si>
    <t>Long Term Debt And Capit...</t>
  </si>
  <si>
    <t>Long Term Debt</t>
  </si>
  <si>
    <t>Long Term Capital Lease 0b...</t>
  </si>
  <si>
    <t>Non Current Accrued Expenses</t>
  </si>
  <si>
    <t>Derivative Product Liabilities</t>
  </si>
  <si>
    <t>Other Non Current Liabilities</t>
  </si>
  <si>
    <t>Total Equity Gross Minority Inter...</t>
  </si>
  <si>
    <t>Stockholders' Equity</t>
  </si>
  <si>
    <t>Capital Stock</t>
  </si>
  <si>
    <t>Common Stock</t>
  </si>
  <si>
    <t>Additional Paid in Capital</t>
  </si>
  <si>
    <t>Retained Earnings</t>
  </si>
  <si>
    <t>Other Equity Interest</t>
  </si>
  <si>
    <t>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</si>
  <si>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</si>
  <si>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</si>
  <si>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</si>
  <si>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</si>
  <si>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</si>
  <si>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</si>
  <si>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</si>
  <si>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</si>
  <si>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</si>
  <si>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</si>
  <si>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</si>
  <si>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</si>
  <si>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General &amp;amp; Administrative Exp.-</t>
  </si>
  <si>
    <t>Net Income Continuous Op...</t>
  </si>
  <si>
    <t>Net Income Discontinuous</t>
  </si>
  <si>
    <t>Total Operating Income as Reported</t>
  </si>
  <si>
    <t>Rent Expense Supplemental</t>
  </si>
  <si>
    <t>Total Expenses</t>
  </si>
  <si>
    <t>Net Income from Continuing &amp;amp; Dis...</t>
  </si>
  <si>
    <t>Normalized Income</t>
  </si>
  <si>
    <t>Interest Income</t>
  </si>
  <si>
    <t>Interest Expense</t>
  </si>
  <si>
    <t>Net Interest Income</t>
  </si>
  <si>
    <t>EBIT</t>
  </si>
  <si>
    <t>EBITDA</t>
  </si>
  <si>
    <t>Reconciled Coşt of Revenue</t>
  </si>
  <si>
    <t>Reconciled Depreciation</t>
  </si>
  <si>
    <t>Net Income from Continuing Open...</t>
  </si>
  <si>
    <t>Total Unusual items Excluding</t>
  </si>
  <si>
    <t>Total Unusual items</t>
  </si>
  <si>
    <t>Normalized EBITDA</t>
  </si>
  <si>
    <t>Tax Rate for Calcs</t>
  </si>
  <si>
    <t>Tax Effect Of Unusual items</t>
  </si>
  <si>
    <t>Growth Rate of Revenue</t>
  </si>
  <si>
    <t>EBITDA Margin</t>
  </si>
  <si>
    <t>12/30/2028</t>
  </si>
  <si>
    <t>12/30/2026</t>
  </si>
  <si>
    <t>12/30/2025</t>
  </si>
  <si>
    <t>12/30/2024</t>
  </si>
  <si>
    <t>Assumed Growth Rate</t>
  </si>
  <si>
    <t>EBIT Margin</t>
  </si>
  <si>
    <t>Depreciation as a percentage of sales is taken constant</t>
  </si>
  <si>
    <t>Depreciation Margin</t>
  </si>
  <si>
    <t>NOPAT</t>
  </si>
  <si>
    <t xml:space="preserve">Tax Rate </t>
  </si>
  <si>
    <t>CAPEX</t>
  </si>
  <si>
    <t>CAPEX MARGIN</t>
  </si>
  <si>
    <t>12/30/2027</t>
  </si>
  <si>
    <t>Taking average CAPEX margin.</t>
  </si>
  <si>
    <t xml:space="preserve">Working Capital </t>
  </si>
  <si>
    <t>Working Capital Percentage</t>
  </si>
  <si>
    <t>Change in WC</t>
  </si>
  <si>
    <t>FCFF</t>
  </si>
  <si>
    <t>WACC</t>
  </si>
  <si>
    <t>Operating Highlights (€ in millions)</t>
  </si>
  <si>
    <t>Net sales</t>
  </si>
  <si>
    <t>Gross profit</t>
  </si>
  <si>
    <t>Other operating expenses</t>
  </si>
  <si>
    <t>Operating profit</t>
  </si>
  <si>
    <t>Net income from continuing operations</t>
  </si>
  <si>
    <t>Net income attributable to shareholders 2</t>
  </si>
  <si>
    <t>Key Ratios</t>
  </si>
  <si>
    <t>Gross margin</t>
  </si>
  <si>
    <t>Other operating expenses in % of net sales</t>
  </si>
  <si>
    <t>Operating margin</t>
  </si>
  <si>
    <t>Effective tax rate</t>
  </si>
  <si>
    <t>Net income attributable to shareholders in % of net sales 2</t>
  </si>
  <si>
    <t>Average operating working capital in % of net sales</t>
  </si>
  <si>
    <t>Net borrowings/EBlTDA</t>
  </si>
  <si>
    <t>Balance Sheet and Cash Flow Data (€ in millions)</t>
  </si>
  <si>
    <t>Total assets</t>
  </si>
  <si>
    <t>Inventories</t>
  </si>
  <si>
    <t>Receivables and other current assets</t>
  </si>
  <si>
    <t>Operating working capital</t>
  </si>
  <si>
    <t>Net cash</t>
  </si>
  <si>
    <t>Shareholders' equity</t>
  </si>
  <si>
    <t>Capital expenditure</t>
  </si>
  <si>
    <t>Per Share of Common Stock (€)</t>
  </si>
  <si>
    <t>Basic earnings</t>
  </si>
  <si>
    <t>Diluted earnings</t>
  </si>
  <si>
    <t>Dividend</t>
  </si>
  <si>
    <t>Share price at year-end</t>
  </si>
  <si>
    <t>Other (at year-end)</t>
  </si>
  <si>
    <t>Number of employees</t>
  </si>
  <si>
    <t>Number of shares outstanding</t>
  </si>
  <si>
    <t>Average number of shares</t>
  </si>
  <si>
    <t>Revenue Growth</t>
  </si>
  <si>
    <t>Equity ratio</t>
  </si>
  <si>
    <t>Financial leverage</t>
  </si>
  <si>
    <t>Return on equity</t>
  </si>
  <si>
    <t>Net cash generated from operating activities</t>
  </si>
  <si>
    <t>WC Margin</t>
  </si>
  <si>
    <t>Tax Rate</t>
  </si>
  <si>
    <t>Assumed</t>
  </si>
  <si>
    <t>D/V</t>
  </si>
  <si>
    <t>WACC (PRE TAX)</t>
  </si>
  <si>
    <t>Rf</t>
  </si>
  <si>
    <t>WACC (POST TAX)</t>
  </si>
  <si>
    <t>Rp</t>
  </si>
  <si>
    <t>E/V</t>
  </si>
  <si>
    <t>Beta Asset</t>
  </si>
  <si>
    <t>D/E</t>
  </si>
  <si>
    <t>Kd</t>
  </si>
  <si>
    <t>Beta Equity</t>
  </si>
  <si>
    <t>Beta Debt</t>
  </si>
  <si>
    <t>Ke</t>
  </si>
  <si>
    <t>With tax</t>
  </si>
  <si>
    <t>Ka</t>
  </si>
  <si>
    <t>Without tax</t>
  </si>
  <si>
    <t>Rm</t>
  </si>
  <si>
    <t>Expected</t>
  </si>
  <si>
    <t>Interest Expense is taken as that of the last year and held constant.</t>
  </si>
  <si>
    <t>CCF</t>
  </si>
  <si>
    <t>Interest rate</t>
  </si>
  <si>
    <t>CCF = FCFF +  ( Int * t )</t>
  </si>
  <si>
    <t>Interest</t>
  </si>
  <si>
    <t>Discounted CCF</t>
  </si>
  <si>
    <t>PV of CFF</t>
  </si>
  <si>
    <t>DCF</t>
  </si>
  <si>
    <t>Growth rate</t>
  </si>
  <si>
    <t>Tax rate</t>
  </si>
  <si>
    <t>Risk-free rate</t>
  </si>
  <si>
    <t>Asset beta</t>
  </si>
  <si>
    <t>FCFF(2024)</t>
  </si>
  <si>
    <t>Yearly cashflows</t>
  </si>
  <si>
    <t>Closing</t>
  </si>
  <si>
    <t>Cash flow available</t>
  </si>
  <si>
    <t>Principal payments</t>
  </si>
  <si>
    <t>Equity cash flow</t>
  </si>
  <si>
    <t>Yearly debt schedule</t>
  </si>
  <si>
    <t>Beginning debt</t>
  </si>
  <si>
    <t>Ending Debt</t>
  </si>
  <si>
    <t>FCF Assets</t>
  </si>
  <si>
    <t>Terminal value estimates</t>
  </si>
  <si>
    <t>Terminal value, assets</t>
  </si>
  <si>
    <t>Terminal value assets</t>
  </si>
  <si>
    <t>Terminal value, debt</t>
  </si>
  <si>
    <t>Terminal value, equity
(TV of assets - TV of debt)</t>
  </si>
  <si>
    <t>Discounting cash flows by working backwards</t>
  </si>
  <si>
    <t xml:space="preserve">Interest on debt </t>
  </si>
  <si>
    <t xml:space="preserve">Ending market value of Equity </t>
  </si>
  <si>
    <t>Ending debt + equity</t>
  </si>
  <si>
    <t>Debt/capital</t>
  </si>
  <si>
    <t>Risk free rate</t>
  </si>
  <si>
    <t>Equity/capital</t>
  </si>
  <si>
    <t xml:space="preserve">Asset beta </t>
  </si>
  <si>
    <t>Market premium</t>
  </si>
  <si>
    <t>Levered (equity) beta</t>
  </si>
  <si>
    <t xml:space="preserve">Cost of equity </t>
  </si>
  <si>
    <t>Interest Rate</t>
  </si>
  <si>
    <t>Interest payment (2.48%)</t>
  </si>
  <si>
    <t>DCF 2024-228</t>
  </si>
  <si>
    <t>CAGR(2024-2028)</t>
  </si>
  <si>
    <t>Total free Cash flow 2024-2028</t>
  </si>
  <si>
    <t>Enterprise Value(2023)</t>
  </si>
  <si>
    <t>Enterprise Value</t>
  </si>
  <si>
    <t xml:space="preserve">Gordon growth model: 
Sensitive analysis </t>
  </si>
  <si>
    <t>Constant growth rate</t>
  </si>
  <si>
    <t>g</t>
  </si>
  <si>
    <t>r</t>
  </si>
  <si>
    <t>V0</t>
  </si>
  <si>
    <t>V0 (sensitive to r)</t>
  </si>
  <si>
    <t>V0 (sensitive to g)</t>
  </si>
  <si>
    <t>EBITDA Margin assumed to grow at 1% each year</t>
  </si>
  <si>
    <t>CCF(2024)</t>
  </si>
  <si>
    <t>Adidas Valuation(in thousands of EUR)</t>
  </si>
  <si>
    <t>(without including terminal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</si>
</sst>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₹&quot;\ #,##0.00;[Red]&quot;₹&quot;\ \-#,##0.00"/>
    <numFmt numFmtId="165" formatCode="_ * #,##0.00_ ;_ * \-#,##0.00_ ;_ * &quot;-&quot;??_ ;_ @_ "/>
    <numFmt numFmtId="166" formatCode="0.0%"/>
    <numFmt numFmtId="167" formatCode="_ * #,##0_ ;_ * \-#,##0_ ;_ * &quot;-&quot;??_ ;_ @_ "/>
    <numFmt numFmtId="168" formatCode="0.000"/>
    <numFmt numFmtId="169" formatCode="_ * #,##0.0_ ;_ * \-#,##0.0_ ;_ * &quot;-&quot;??_ ;_ @_ "/>
    <numFmt numFmtId="170" formatCode="0.00_);\(0.00\)"/>
  </numFmts>
  <fonts count="10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232A3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B69"/>
        <bgColor indexed="64"/>
      </patternFill>
    </fill>
    <fill>
      <patternFill patternType="solid">
        <fgColor rgb="FFFFFB69"/>
        <bgColor rgb="FFFDE9D9"/>
      </patternFill>
    </fill>
    <fill>
      <patternFill patternType="solid">
        <fgColor rgb="FFFFFB69"/>
        <bgColor rgb="FFFFFFB3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4" fontId="0" fillId="0" borderId="0" xfId="0" applyNumberFormat="1"/>
    <xf numFmtId="167" fontId="0" fillId="0" borderId="0" xfId="1" applyNumberFormat="1" applyFon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0" fontId="4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/>
    </xf>
    <xf numFmtId="10" fontId="5" fillId="0" borderId="1" xfId="0" applyNumberFormat="1" applyFont="1" applyBorder="1" applyAlignment="1">
      <alignment horizontal="left" vertical="top"/>
    </xf>
    <xf numFmtId="10" fontId="6" fillId="0" borderId="0" xfId="0" applyNumberFormat="1" applyFont="1"/>
    <xf numFmtId="164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0" fontId="7" fillId="0" borderId="0" xfId="0" applyFont="1"/>
    <xf numFmtId="0" fontId="8" fillId="0" borderId="0" xfId="0" applyFont="1"/>
    <xf numFmtId="0" fontId="0" fillId="0" borderId="3" xfId="0" applyBorder="1"/>
    <xf numFmtId="39" fontId="0" fillId="0" borderId="3" xfId="0" applyNumberFormat="1" applyBorder="1"/>
    <xf numFmtId="0" fontId="0" fillId="0" borderId="5" xfId="0" applyBorder="1"/>
    <xf numFmtId="39" fontId="0" fillId="0" borderId="0" xfId="0" applyNumberFormat="1"/>
    <xf numFmtId="39" fontId="0" fillId="0" borderId="6" xfId="0" applyNumberFormat="1" applyBorder="1"/>
    <xf numFmtId="0" fontId="0" fillId="0" borderId="7" xfId="0" applyBorder="1"/>
    <xf numFmtId="166" fontId="0" fillId="0" borderId="8" xfId="0" applyNumberFormat="1" applyBorder="1"/>
    <xf numFmtId="39" fontId="0" fillId="0" borderId="8" xfId="0" applyNumberFormat="1" applyBorder="1"/>
    <xf numFmtId="39" fontId="0" fillId="0" borderId="9" xfId="0" applyNumberFormat="1" applyBorder="1"/>
    <xf numFmtId="0" fontId="8" fillId="0" borderId="2" xfId="0" applyFont="1" applyBorder="1"/>
    <xf numFmtId="10" fontId="0" fillId="0" borderId="3" xfId="0" applyNumberFormat="1" applyBorder="1"/>
    <xf numFmtId="10" fontId="0" fillId="0" borderId="4" xfId="0" applyNumberFormat="1" applyBorder="1"/>
    <xf numFmtId="0" fontId="8" fillId="0" borderId="7" xfId="0" applyFont="1" applyBorder="1"/>
    <xf numFmtId="10" fontId="0" fillId="0" borderId="8" xfId="0" applyNumberFormat="1" applyBorder="1"/>
    <xf numFmtId="10" fontId="0" fillId="0" borderId="9" xfId="0" applyNumberFormat="1" applyBorder="1"/>
    <xf numFmtId="0" fontId="8" fillId="0" borderId="10" xfId="0" applyFont="1" applyBorder="1"/>
    <xf numFmtId="43" fontId="0" fillId="0" borderId="3" xfId="0" applyNumberFormat="1" applyBorder="1"/>
    <xf numFmtId="43" fontId="0" fillId="0" borderId="4" xfId="0" applyNumberFormat="1" applyBorder="1"/>
    <xf numFmtId="0" fontId="7" fillId="0" borderId="11" xfId="0" applyFon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3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70" fontId="0" fillId="0" borderId="3" xfId="0" applyNumberFormat="1" applyBorder="1"/>
    <xf numFmtId="170" fontId="0" fillId="0" borderId="0" xfId="0" applyNumberFormat="1"/>
    <xf numFmtId="10" fontId="0" fillId="0" borderId="6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0" fontId="3" fillId="0" borderId="0" xfId="0" applyFont="1"/>
    <xf numFmtId="0" fontId="8" fillId="0" borderId="1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2" fontId="3" fillId="0" borderId="0" xfId="0" applyNumberFormat="1" applyFont="1"/>
    <xf numFmtId="10" fontId="7" fillId="0" borderId="0" xfId="1" applyNumberFormat="1" applyFont="1"/>
    <xf numFmtId="10" fontId="0" fillId="0" borderId="0" xfId="1" applyNumberFormat="1" applyFont="1" applyAlignment="1"/>
    <xf numFmtId="0" fontId="0" fillId="0" borderId="4" xfId="0" applyBorder="1"/>
    <xf numFmtId="166" fontId="0" fillId="0" borderId="0" xfId="0" applyNumberFormat="1"/>
    <xf numFmtId="166" fontId="0" fillId="0" borderId="6" xfId="1" applyNumberFormat="1" applyFont="1" applyBorder="1"/>
    <xf numFmtId="10" fontId="0" fillId="0" borderId="6" xfId="1" applyNumberFormat="1" applyFont="1" applyBorder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7" fillId="0" borderId="15" xfId="0" applyFont="1" applyBorder="1" applyAlignment="1">
      <alignment horizontal="right"/>
    </xf>
    <xf numFmtId="0" fontId="0" fillId="0" borderId="6" xfId="0" applyBorder="1" applyAlignment="1">
      <alignment horizontal="right"/>
    </xf>
    <xf numFmtId="2" fontId="0" fillId="0" borderId="8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2" fontId="0" fillId="0" borderId="6" xfId="0" applyNumberFormat="1" applyBorder="1"/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10" fontId="0" fillId="0" borderId="4" xfId="1" applyNumberFormat="1" applyFont="1" applyBorder="1"/>
    <xf numFmtId="10" fontId="0" fillId="0" borderId="9" xfId="1" applyNumberFormat="1" applyFont="1" applyBorder="1"/>
    <xf numFmtId="166" fontId="0" fillId="0" borderId="4" xfId="1" applyNumberFormat="1" applyFont="1" applyBorder="1"/>
    <xf numFmtId="2" fontId="0" fillId="0" borderId="6" xfId="1" applyNumberFormat="1" applyFont="1" applyBorder="1"/>
    <xf numFmtId="0" fontId="3" fillId="0" borderId="7" xfId="0" applyFont="1" applyBorder="1"/>
    <xf numFmtId="10" fontId="3" fillId="0" borderId="9" xfId="1" applyNumberFormat="1" applyFont="1" applyBorder="1"/>
    <xf numFmtId="0" fontId="7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0" fontId="0" fillId="3" borderId="0" xfId="0" applyFill="1"/>
    <xf numFmtId="10" fontId="0" fillId="3" borderId="0" xfId="0" applyNumberFormat="1" applyFill="1"/>
    <xf numFmtId="3" fontId="0" fillId="3" borderId="0" xfId="0" applyNumberFormat="1" applyFill="1"/>
    <xf numFmtId="0" fontId="0" fillId="3" borderId="5" xfId="0" applyFill="1" applyBorder="1"/>
    <xf numFmtId="0" fontId="7" fillId="3" borderId="0" xfId="0" applyFont="1" applyFill="1"/>
    <xf numFmtId="10" fontId="7" fillId="3" borderId="0" xfId="0" applyNumberFormat="1" applyFont="1" applyFill="1"/>
    <xf numFmtId="0" fontId="8" fillId="3" borderId="0" xfId="0" applyFont="1" applyFill="1"/>
    <xf numFmtId="0" fontId="0" fillId="3" borderId="2" xfId="0" applyFill="1" applyBorder="1"/>
    <xf numFmtId="39" fontId="0" fillId="3" borderId="8" xfId="0" applyNumberFormat="1" applyFill="1" applyBorder="1"/>
    <xf numFmtId="39" fontId="0" fillId="3" borderId="0" xfId="0" applyNumberFormat="1" applyFill="1"/>
    <xf numFmtId="39" fontId="0" fillId="3" borderId="6" xfId="0" applyNumberFormat="1" applyFill="1" applyBorder="1"/>
    <xf numFmtId="3" fontId="0" fillId="3" borderId="6" xfId="0" applyNumberFormat="1" applyFill="1" applyBorder="1"/>
    <xf numFmtId="43" fontId="7" fillId="3" borderId="0" xfId="0" applyNumberFormat="1" applyFont="1" applyFill="1"/>
    <xf numFmtId="0" fontId="8" fillId="3" borderId="5" xfId="0" applyFont="1" applyFill="1" applyBorder="1"/>
    <xf numFmtId="2" fontId="0" fillId="3" borderId="0" xfId="0" applyNumberFormat="1" applyFill="1"/>
    <xf numFmtId="0" fontId="7" fillId="3" borderId="0" xfId="0" applyFont="1" applyFill="1" applyAlignment="1">
      <alignment horizontal="right"/>
    </xf>
    <xf numFmtId="39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7" fillId="3" borderId="14" xfId="0" applyFont="1" applyFill="1" applyBorder="1" applyAlignment="1">
      <alignment horizontal="right"/>
    </xf>
    <xf numFmtId="10" fontId="0" fillId="3" borderId="5" xfId="0" applyNumberFormat="1" applyFill="1" applyBorder="1" applyAlignment="1">
      <alignment horizontal="right"/>
    </xf>
    <xf numFmtId="10" fontId="0" fillId="3" borderId="7" xfId="0" applyNumberFormat="1" applyFill="1" applyBorder="1" applyAlignment="1">
      <alignment horizontal="right"/>
    </xf>
    <xf numFmtId="0" fontId="7" fillId="3" borderId="15" xfId="0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0" fontId="0" fillId="3" borderId="8" xfId="0" applyNumberFormat="1" applyFill="1" applyBorder="1" applyAlignment="1">
      <alignment horizontal="right"/>
    </xf>
    <xf numFmtId="0" fontId="4" fillId="4" borderId="1" xfId="0" applyFont="1" applyFill="1" applyBorder="1" applyAlignment="1">
      <alignment horizontal="left" vertical="top"/>
    </xf>
    <xf numFmtId="10" fontId="4" fillId="4" borderId="1" xfId="0" applyNumberFormat="1" applyFont="1" applyFill="1" applyBorder="1" applyAlignment="1">
      <alignment horizontal="right" vertical="top"/>
    </xf>
    <xf numFmtId="0" fontId="5" fillId="5" borderId="1" xfId="0" applyFont="1" applyFill="1" applyBorder="1" applyAlignment="1">
      <alignment horizontal="left" vertical="top"/>
    </xf>
    <xf numFmtId="168" fontId="5" fillId="5" borderId="1" xfId="0" applyNumberFormat="1" applyFont="1" applyFill="1" applyBorder="1" applyAlignment="1">
      <alignment horizontal="right" vertical="top"/>
    </xf>
    <xf numFmtId="10" fontId="5" fillId="5" borderId="1" xfId="0" applyNumberFormat="1" applyFont="1" applyFill="1" applyBorder="1" applyAlignment="1">
      <alignment horizontal="right" vertical="top"/>
    </xf>
    <xf numFmtId="10" fontId="5" fillId="5" borderId="1" xfId="0" applyNumberFormat="1" applyFont="1" applyFill="1" applyBorder="1" applyAlignment="1">
      <alignment horizontal="left" vertical="top"/>
    </xf>
    <xf numFmtId="168" fontId="5" fillId="5" borderId="1" xfId="0" applyNumberFormat="1" applyFont="1" applyFill="1" applyBorder="1" applyAlignment="1">
      <alignment horizontal="left" vertical="top"/>
    </xf>
    <xf numFmtId="10" fontId="0" fillId="3" borderId="0" xfId="1" applyNumberFormat="1" applyFont="1" applyFill="1"/>
    <xf numFmtId="9" fontId="0" fillId="3" borderId="0" xfId="1" applyFont="1" applyFill="1"/>
    <xf numFmtId="166" fontId="0" fillId="3" borderId="0" xfId="1" applyNumberFormat="1" applyFont="1" applyFill="1"/>
    <xf numFmtId="169" fontId="0" fillId="3" borderId="0" xfId="2" applyNumberFormat="1" applyFont="1" applyFill="1"/>
    <xf numFmtId="165" fontId="0" fillId="0" borderId="0" xfId="2" applyFont="1" applyBorder="1"/>
    <xf numFmtId="43" fontId="0" fillId="0" borderId="0" xfId="0" applyNumberFormat="1"/>
    <xf numFmtId="43" fontId="9" fillId="3" borderId="0" xfId="0" applyNumberFormat="1" applyFont="1" applyFill="1"/>
    <xf numFmtId="0" fontId="7" fillId="3" borderId="0" xfId="0" applyFont="1" applyFill="1" applyAlignment="1">
      <alignment horizontal="center" vertical="center"/>
    </xf>
    <xf numFmtId="169" fontId="0" fillId="6" borderId="0" xfId="2" applyNumberFormat="1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B69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7869-FD0C-AD40-B29E-85F13A964617}">
  <dimension ref="A1:I49"/>
  <sheetViews>
    <sheetView zoomScale="117" zoomScaleNormal="80" zoomScaleSheetLayoutView="100" workbookViewId="0">
      <selection activeCell="B20" sqref="B20"/>
    </sheetView>
  </sheetViews>
  <sheetFormatPr baseColWidth="10" defaultColWidth="8.83203125" defaultRowHeight="15" x14ac:dyDescent="0.2"/>
  <cols>
    <col min="1" max="1" width="28.33203125" customWidth="1"/>
    <col min="2" max="2" width="14" customWidth="1"/>
    <col min="3" max="3" width="13.6640625" bestFit="1" customWidth="1"/>
    <col min="4" max="4" width="13.1640625" customWidth="1"/>
    <col min="5" max="5" width="15.1640625" customWidth="1"/>
    <col min="6" max="6" width="15.83203125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9" x14ac:dyDescent="0.2">
      <c r="A2" t="s">
        <v>7</v>
      </c>
      <c r="B2" s="1">
        <v>21427000</v>
      </c>
      <c r="C2" s="1">
        <v>21427000</v>
      </c>
      <c r="D2" s="1">
        <v>22511000</v>
      </c>
      <c r="E2" s="1">
        <v>21234000</v>
      </c>
      <c r="F2" s="1">
        <v>18435000</v>
      </c>
      <c r="H2" s="3"/>
    </row>
    <row r="3" spans="1:9" x14ac:dyDescent="0.2">
      <c r="A3" t="s">
        <v>134</v>
      </c>
      <c r="B3" s="1"/>
      <c r="C3" s="1"/>
      <c r="D3" s="4">
        <f>(C2-D2)/D2</f>
        <v>-4.8154235706987694E-2</v>
      </c>
      <c r="E3" s="4">
        <f>(D2-E2)/E2</f>
        <v>6.0139399076952059E-2</v>
      </c>
      <c r="F3" s="6">
        <f>(E2-F2)/F2</f>
        <v>0.1518307567127746</v>
      </c>
      <c r="G3" s="6"/>
      <c r="H3" s="3"/>
      <c r="I3" s="3"/>
    </row>
    <row r="4" spans="1:9" x14ac:dyDescent="0.2">
      <c r="A4" t="s">
        <v>8</v>
      </c>
      <c r="B4" s="1">
        <v>21427000</v>
      </c>
      <c r="C4" s="1">
        <v>21427000</v>
      </c>
      <c r="D4" s="1">
        <v>22511000</v>
      </c>
      <c r="E4" s="1">
        <v>21234000</v>
      </c>
      <c r="F4" s="1">
        <v>18435000</v>
      </c>
    </row>
    <row r="5" spans="1:9" x14ac:dyDescent="0.2">
      <c r="A5" t="s">
        <v>9</v>
      </c>
      <c r="B5" s="1">
        <v>11244000</v>
      </c>
      <c r="C5" s="1">
        <v>11244000</v>
      </c>
      <c r="D5" s="1">
        <v>11867000</v>
      </c>
      <c r="E5" s="1">
        <v>10469000</v>
      </c>
      <c r="F5" s="1">
        <v>9213000</v>
      </c>
    </row>
    <row r="6" spans="1:9" x14ac:dyDescent="0.2">
      <c r="A6" t="s">
        <v>10</v>
      </c>
      <c r="B6" s="1">
        <v>10183000</v>
      </c>
      <c r="C6" s="1">
        <v>10183000</v>
      </c>
      <c r="D6" s="1">
        <v>10644000</v>
      </c>
      <c r="E6" s="1">
        <v>10765000</v>
      </c>
      <c r="F6" s="1">
        <v>9222000</v>
      </c>
    </row>
    <row r="7" spans="1:9" x14ac:dyDescent="0.2">
      <c r="A7" t="s">
        <v>11</v>
      </c>
      <c r="B7" s="1">
        <v>9904000</v>
      </c>
      <c r="C7" s="1">
        <v>9904000</v>
      </c>
      <c r="D7" s="1">
        <v>9915000</v>
      </c>
      <c r="E7" s="1">
        <v>8776000</v>
      </c>
      <c r="F7" s="1">
        <v>8369000</v>
      </c>
    </row>
    <row r="8" spans="1:9" x14ac:dyDescent="0.2">
      <c r="A8" t="s">
        <v>12</v>
      </c>
      <c r="B8" s="1">
        <v>9914000</v>
      </c>
      <c r="C8" s="1">
        <v>9914000</v>
      </c>
      <c r="D8" s="1">
        <v>10015000</v>
      </c>
      <c r="E8" s="1">
        <v>8810000</v>
      </c>
      <c r="F8" s="1">
        <v>8353000</v>
      </c>
    </row>
    <row r="9" spans="1:9" x14ac:dyDescent="0.2">
      <c r="A9" t="s">
        <v>113</v>
      </c>
      <c r="B9" s="1">
        <v>1839000</v>
      </c>
      <c r="C9" s="1">
        <v>1839000</v>
      </c>
      <c r="D9" s="1">
        <v>1651000</v>
      </c>
      <c r="E9" s="1">
        <v>1481000</v>
      </c>
      <c r="F9" s="1">
        <v>1379000</v>
      </c>
    </row>
    <row r="10" spans="1:9" x14ac:dyDescent="0.2">
      <c r="A10" t="s">
        <v>13</v>
      </c>
      <c r="B10" s="1">
        <v>8075000</v>
      </c>
      <c r="C10" s="1">
        <v>8075000</v>
      </c>
      <c r="D10" s="1">
        <v>8364000</v>
      </c>
      <c r="E10" s="1">
        <v>7329000</v>
      </c>
      <c r="F10" s="1">
        <v>6974000</v>
      </c>
    </row>
    <row r="11" spans="1:9" x14ac:dyDescent="0.2">
      <c r="A11" t="s">
        <v>14</v>
      </c>
      <c r="B11" s="1">
        <v>130000</v>
      </c>
      <c r="C11" s="1">
        <v>130000</v>
      </c>
      <c r="D11" s="1">
        <v>175000</v>
      </c>
      <c r="E11" s="1">
        <v>62000</v>
      </c>
      <c r="F11" s="1">
        <v>98000</v>
      </c>
    </row>
    <row r="12" spans="1:9" x14ac:dyDescent="0.2">
      <c r="A12" t="s">
        <v>15</v>
      </c>
      <c r="B12" s="1">
        <v>279000</v>
      </c>
      <c r="C12" s="1">
        <v>279000</v>
      </c>
      <c r="D12" s="1">
        <v>729000</v>
      </c>
      <c r="E12" s="1">
        <v>1989000</v>
      </c>
      <c r="F12" s="1">
        <v>853000</v>
      </c>
    </row>
    <row r="13" spans="1:9" x14ac:dyDescent="0.2">
      <c r="A13" t="s">
        <v>16</v>
      </c>
      <c r="B13" s="1">
        <v>-83000</v>
      </c>
      <c r="C13" s="1">
        <v>-83000</v>
      </c>
      <c r="D13" s="1">
        <v>-115000</v>
      </c>
      <c r="E13" s="1">
        <v>-96000</v>
      </c>
      <c r="F13" s="1">
        <v>-212000</v>
      </c>
    </row>
    <row r="14" spans="1:9" x14ac:dyDescent="0.2">
      <c r="A14" t="s">
        <v>17</v>
      </c>
      <c r="B14" s="1">
        <v>39000</v>
      </c>
      <c r="C14" s="1">
        <v>39000</v>
      </c>
      <c r="D14" s="1">
        <v>23000</v>
      </c>
      <c r="E14" s="1">
        <v>12000</v>
      </c>
      <c r="F14" s="1">
        <v>25000</v>
      </c>
    </row>
    <row r="15" spans="1:9" x14ac:dyDescent="0.2">
      <c r="A15" t="s">
        <v>18</v>
      </c>
      <c r="B15" s="1">
        <v>160000</v>
      </c>
      <c r="C15" s="1">
        <v>160000</v>
      </c>
      <c r="D15" s="1">
        <v>137000</v>
      </c>
      <c r="E15" s="1">
        <v>111000</v>
      </c>
      <c r="F15" s="1">
        <v>238000</v>
      </c>
    </row>
    <row r="16" spans="1:9" x14ac:dyDescent="0.2">
      <c r="A16" t="s">
        <v>19</v>
      </c>
      <c r="B16" s="1">
        <v>-38000</v>
      </c>
      <c r="C16" s="1">
        <v>-38000</v>
      </c>
      <c r="D16" s="1">
        <v>1000</v>
      </c>
      <c r="E16" s="1">
        <v>-3000</v>
      </c>
      <c r="F16" s="1">
        <v>-1000</v>
      </c>
    </row>
    <row r="17" spans="1:6" x14ac:dyDescent="0.2">
      <c r="A17" t="s">
        <v>20</v>
      </c>
      <c r="B17" s="1">
        <v>65000</v>
      </c>
      <c r="C17" s="1">
        <v>65000</v>
      </c>
      <c r="D17" s="1">
        <v>388000</v>
      </c>
      <c r="E17" s="1">
        <v>1852000</v>
      </c>
      <c r="F17" s="1">
        <v>578000</v>
      </c>
    </row>
    <row r="18" spans="1:6" x14ac:dyDescent="0.2">
      <c r="A18" t="s">
        <v>21</v>
      </c>
      <c r="B18" s="1">
        <v>124000</v>
      </c>
      <c r="C18" s="1">
        <v>124000</v>
      </c>
      <c r="D18" s="1">
        <v>134000</v>
      </c>
      <c r="E18" s="1">
        <v>360000</v>
      </c>
      <c r="F18" s="1">
        <v>117000</v>
      </c>
    </row>
    <row r="19" spans="1:6" x14ac:dyDescent="0.2">
      <c r="A19" t="s">
        <v>22</v>
      </c>
      <c r="B19" s="1">
        <v>-75000</v>
      </c>
      <c r="C19" s="1">
        <v>-75000</v>
      </c>
      <c r="D19" s="1">
        <v>612000</v>
      </c>
      <c r="E19" s="1">
        <v>2116000</v>
      </c>
      <c r="F19" s="1">
        <v>432000</v>
      </c>
    </row>
    <row r="20" spans="1:6" x14ac:dyDescent="0.2">
      <c r="A20" t="s">
        <v>23</v>
      </c>
      <c r="B20" s="1">
        <v>-75000</v>
      </c>
      <c r="C20" s="1">
        <v>-75000</v>
      </c>
      <c r="D20" s="1">
        <v>612000</v>
      </c>
      <c r="E20" s="1">
        <v>2116000</v>
      </c>
      <c r="F20" s="1">
        <v>432000</v>
      </c>
    </row>
    <row r="21" spans="1:6" x14ac:dyDescent="0.2">
      <c r="A21" t="s">
        <v>24</v>
      </c>
      <c r="B21" s="1">
        <v>-14000</v>
      </c>
      <c r="C21" s="1">
        <v>-14000</v>
      </c>
      <c r="D21" s="1">
        <v>638000</v>
      </c>
      <c r="E21" s="1">
        <v>2158000</v>
      </c>
      <c r="F21" s="1">
        <v>443000</v>
      </c>
    </row>
    <row r="22" spans="1:6" x14ac:dyDescent="0.2">
      <c r="A22" t="s">
        <v>114</v>
      </c>
      <c r="B22" s="1">
        <v>-58000</v>
      </c>
      <c r="C22" s="1">
        <v>-58000</v>
      </c>
      <c r="D22" s="1">
        <v>254000</v>
      </c>
      <c r="E22" s="1">
        <v>1492000</v>
      </c>
      <c r="F22" s="1">
        <v>461000</v>
      </c>
    </row>
    <row r="23" spans="1:6" x14ac:dyDescent="0.2">
      <c r="A23" t="s">
        <v>115</v>
      </c>
      <c r="B23" s="1">
        <v>44000</v>
      </c>
      <c r="C23" s="1">
        <v>44000</v>
      </c>
      <c r="D23" s="1">
        <v>384000</v>
      </c>
      <c r="E23" s="1">
        <v>666000</v>
      </c>
      <c r="F23" s="1">
        <v>-19000</v>
      </c>
    </row>
    <row r="24" spans="1:6" x14ac:dyDescent="0.2">
      <c r="A24" t="s">
        <v>25</v>
      </c>
      <c r="B24" s="1">
        <v>-61000</v>
      </c>
      <c r="C24" s="1">
        <v>-61000</v>
      </c>
      <c r="D24" s="1">
        <v>-26000</v>
      </c>
      <c r="E24" s="1">
        <v>-42000</v>
      </c>
      <c r="F24" s="1">
        <v>-11000</v>
      </c>
    </row>
    <row r="25" spans="1:6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27</v>
      </c>
      <c r="B26" s="1">
        <v>-75000</v>
      </c>
      <c r="C26" s="1">
        <v>-75000</v>
      </c>
      <c r="D26" s="1">
        <v>612000</v>
      </c>
      <c r="E26" s="1">
        <v>2116000</v>
      </c>
      <c r="F26" s="1">
        <v>432000</v>
      </c>
    </row>
    <row r="27" spans="1:6" x14ac:dyDescent="0.2">
      <c r="A27" t="s">
        <v>28</v>
      </c>
      <c r="B27">
        <v>-0.52</v>
      </c>
      <c r="D27">
        <v>1.67</v>
      </c>
      <c r="E27">
        <v>5.45</v>
      </c>
      <c r="F27">
        <v>1.1000000000000001</v>
      </c>
    </row>
    <row r="28" spans="1:6" x14ac:dyDescent="0.2">
      <c r="A28" t="s">
        <v>29</v>
      </c>
      <c r="B28">
        <v>-0.52</v>
      </c>
      <c r="D28">
        <v>1.67</v>
      </c>
      <c r="E28">
        <v>5.45</v>
      </c>
      <c r="F28">
        <v>1.1000000000000001</v>
      </c>
    </row>
    <row r="29" spans="1:6" x14ac:dyDescent="0.2">
      <c r="A29" t="s">
        <v>30</v>
      </c>
      <c r="B29" s="1">
        <v>357460</v>
      </c>
      <c r="D29" s="1">
        <v>366527</v>
      </c>
      <c r="E29" s="1">
        <v>388346</v>
      </c>
      <c r="F29" s="1">
        <v>390312</v>
      </c>
    </row>
    <row r="30" spans="1:6" x14ac:dyDescent="0.2">
      <c r="A30" t="s">
        <v>31</v>
      </c>
      <c r="B30" s="1">
        <v>357469</v>
      </c>
      <c r="D30" s="1">
        <v>366536</v>
      </c>
      <c r="E30" s="1">
        <v>388356</v>
      </c>
      <c r="F30" s="1">
        <v>390323</v>
      </c>
    </row>
    <row r="31" spans="1:6" x14ac:dyDescent="0.2">
      <c r="A31" t="s">
        <v>116</v>
      </c>
      <c r="B31" s="1">
        <v>268000</v>
      </c>
      <c r="C31" s="1">
        <v>268000</v>
      </c>
      <c r="D31" s="1">
        <v>669000</v>
      </c>
      <c r="E31" s="1">
        <v>1986000</v>
      </c>
      <c r="F31" s="1">
        <v>746000</v>
      </c>
    </row>
    <row r="32" spans="1:6" x14ac:dyDescent="0.2">
      <c r="A32" t="s">
        <v>117</v>
      </c>
      <c r="B32" s="1">
        <v>142000</v>
      </c>
      <c r="C32" s="1">
        <v>142000</v>
      </c>
      <c r="D32" s="1">
        <v>132000</v>
      </c>
    </row>
    <row r="33" spans="1:6" x14ac:dyDescent="0.2">
      <c r="A33" t="s">
        <v>118</v>
      </c>
      <c r="B33" s="1">
        <v>21148000</v>
      </c>
      <c r="C33" s="1">
        <v>21148000</v>
      </c>
      <c r="D33" s="1">
        <v>21782000</v>
      </c>
      <c r="E33" s="1">
        <v>19245000</v>
      </c>
      <c r="F33" s="1">
        <v>17582000</v>
      </c>
    </row>
    <row r="34" spans="1:6" x14ac:dyDescent="0.2">
      <c r="A34" t="s">
        <v>119</v>
      </c>
      <c r="B34" s="1">
        <v>-75000</v>
      </c>
      <c r="C34" s="1">
        <v>-75000</v>
      </c>
      <c r="D34" s="1">
        <v>612000</v>
      </c>
      <c r="E34" s="1">
        <v>2116000</v>
      </c>
      <c r="F34" s="1">
        <v>432000</v>
      </c>
    </row>
    <row r="35" spans="1:6" x14ac:dyDescent="0.2">
      <c r="A35" t="s">
        <v>120</v>
      </c>
      <c r="B35" s="1">
        <v>-108800</v>
      </c>
      <c r="C35" s="1">
        <v>-108800</v>
      </c>
      <c r="D35" s="1">
        <v>267300</v>
      </c>
      <c r="E35" s="1">
        <v>1450806</v>
      </c>
      <c r="F35" s="1">
        <v>537184</v>
      </c>
    </row>
    <row r="36" spans="1:6" x14ac:dyDescent="0.2">
      <c r="A36" t="s">
        <v>121</v>
      </c>
      <c r="B36" s="1">
        <v>39000</v>
      </c>
      <c r="C36" s="1">
        <v>39000</v>
      </c>
      <c r="D36" s="1">
        <v>23000</v>
      </c>
      <c r="E36" s="1">
        <v>12000</v>
      </c>
      <c r="F36" s="1">
        <v>25000</v>
      </c>
    </row>
    <row r="37" spans="1:6" x14ac:dyDescent="0.2">
      <c r="A37" t="s">
        <v>122</v>
      </c>
      <c r="B37" s="1">
        <v>160000</v>
      </c>
      <c r="C37" s="1">
        <v>160000</v>
      </c>
      <c r="D37" s="1">
        <v>137000</v>
      </c>
      <c r="E37" s="1">
        <v>111000</v>
      </c>
      <c r="F37" s="1">
        <v>238000</v>
      </c>
    </row>
    <row r="38" spans="1:6" x14ac:dyDescent="0.2">
      <c r="A38" t="s">
        <v>123</v>
      </c>
      <c r="B38" s="1">
        <v>-83000</v>
      </c>
      <c r="C38" s="1">
        <v>-83000</v>
      </c>
      <c r="D38" s="1">
        <v>-115000</v>
      </c>
      <c r="E38" s="1">
        <v>-96000</v>
      </c>
      <c r="F38" s="1">
        <v>-212000</v>
      </c>
    </row>
    <row r="39" spans="1:6" x14ac:dyDescent="0.2">
      <c r="A39" t="s">
        <v>124</v>
      </c>
      <c r="B39" s="1">
        <v>225000</v>
      </c>
      <c r="C39" s="1">
        <v>225000</v>
      </c>
      <c r="D39" s="1">
        <v>525000</v>
      </c>
      <c r="E39" s="1">
        <v>1963000</v>
      </c>
      <c r="F39" s="1">
        <v>816000</v>
      </c>
    </row>
    <row r="40" spans="1:6" x14ac:dyDescent="0.2">
      <c r="A40" t="s">
        <v>125</v>
      </c>
      <c r="B40" s="1">
        <v>1437000</v>
      </c>
      <c r="C40" s="1">
        <v>1437000</v>
      </c>
      <c r="D40" s="1">
        <v>1900000</v>
      </c>
      <c r="E40" s="1">
        <v>3112000</v>
      </c>
      <c r="F40" s="1">
        <v>2077000</v>
      </c>
    </row>
    <row r="41" spans="1:6" x14ac:dyDescent="0.2">
      <c r="A41" t="s">
        <v>135</v>
      </c>
      <c r="B41" s="1"/>
      <c r="C41" s="4">
        <f>C40/C2</f>
        <v>6.7064918093993564E-2</v>
      </c>
      <c r="D41" s="4">
        <f t="shared" ref="D41:F41" si="0">D40/D2</f>
        <v>8.4403180667229349E-2</v>
      </c>
      <c r="E41" s="4">
        <f t="shared" si="0"/>
        <v>0.1465574079306772</v>
      </c>
      <c r="F41" s="4">
        <f t="shared" si="0"/>
        <v>0.11266612422023325</v>
      </c>
    </row>
    <row r="42" spans="1:6" x14ac:dyDescent="0.2">
      <c r="A42" t="s">
        <v>126</v>
      </c>
      <c r="B42" s="1">
        <v>11244000</v>
      </c>
      <c r="C42" s="1">
        <v>11244000</v>
      </c>
      <c r="D42" s="1">
        <v>11867000</v>
      </c>
      <c r="E42" s="1">
        <v>10469000</v>
      </c>
      <c r="F42" s="1">
        <v>9213000</v>
      </c>
    </row>
    <row r="43" spans="1:6" x14ac:dyDescent="0.2">
      <c r="A43" t="s">
        <v>127</v>
      </c>
      <c r="B43" s="1">
        <v>1212000</v>
      </c>
      <c r="C43" s="1">
        <v>1212000</v>
      </c>
      <c r="D43" s="1">
        <v>1375000</v>
      </c>
      <c r="E43" s="1">
        <v>1149000</v>
      </c>
      <c r="F43" s="1">
        <v>1261000</v>
      </c>
    </row>
    <row r="44" spans="1:6" x14ac:dyDescent="0.2">
      <c r="A44" t="s">
        <v>128</v>
      </c>
      <c r="B44" s="1">
        <v>-119000</v>
      </c>
      <c r="C44" s="1">
        <v>-119000</v>
      </c>
      <c r="D44" s="1">
        <v>228000</v>
      </c>
      <c r="E44" s="1">
        <v>1450000</v>
      </c>
      <c r="F44" s="1">
        <v>451000</v>
      </c>
    </row>
    <row r="45" spans="1:6" x14ac:dyDescent="0.2">
      <c r="A45" t="s">
        <v>129</v>
      </c>
      <c r="B45" s="1">
        <v>-12000</v>
      </c>
      <c r="C45" s="1">
        <v>-12000</v>
      </c>
      <c r="D45" s="1">
        <v>-60000</v>
      </c>
      <c r="E45" s="1">
        <v>-1000</v>
      </c>
      <c r="F45" s="1">
        <v>-108000</v>
      </c>
    </row>
    <row r="46" spans="1:6" x14ac:dyDescent="0.2">
      <c r="A46" t="s">
        <v>130</v>
      </c>
      <c r="B46" s="1">
        <v>-12000</v>
      </c>
      <c r="C46" s="1">
        <v>-12000</v>
      </c>
      <c r="D46" s="1">
        <v>-60000</v>
      </c>
      <c r="E46" s="1">
        <v>-1000</v>
      </c>
      <c r="F46" s="1">
        <v>-108000</v>
      </c>
    </row>
    <row r="47" spans="1:6" x14ac:dyDescent="0.2">
      <c r="A47" t="s">
        <v>131</v>
      </c>
      <c r="B47" s="1">
        <v>1449000</v>
      </c>
      <c r="C47" s="1">
        <v>1449000</v>
      </c>
      <c r="D47" s="1">
        <v>1960000</v>
      </c>
      <c r="E47" s="1">
        <v>3113000</v>
      </c>
      <c r="F47" s="1">
        <v>2185000</v>
      </c>
    </row>
    <row r="48" spans="1:6" x14ac:dyDescent="0.2">
      <c r="A48" t="s">
        <v>132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133</v>
      </c>
      <c r="B49" s="1">
        <v>-1800</v>
      </c>
      <c r="C49" s="1">
        <v>-1800</v>
      </c>
      <c r="D49" s="1">
        <v>-20700</v>
      </c>
      <c r="E49">
        <v>-194</v>
      </c>
      <c r="F49" s="1">
        <v>-21816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E521-44E0-944F-BE17-1F0B749FF30D}">
  <dimension ref="A1:G67"/>
  <sheetViews>
    <sheetView zoomScaleNormal="80" zoomScaleSheetLayoutView="100" workbookViewId="0">
      <selection activeCell="C50" sqref="C50"/>
    </sheetView>
  </sheetViews>
  <sheetFormatPr baseColWidth="10" defaultColWidth="8.83203125" defaultRowHeight="15" x14ac:dyDescent="0.2"/>
  <cols>
    <col min="1" max="1" width="28.6640625" bestFit="1" customWidth="1"/>
    <col min="2" max="2" width="14.5" customWidth="1"/>
    <col min="3" max="3" width="15.5" customWidth="1"/>
    <col min="4" max="5" width="16" customWidth="1"/>
    <col min="7" max="7" width="9.83203125" bestFit="1" customWidth="1"/>
  </cols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</row>
    <row r="2" spans="1:7" x14ac:dyDescent="0.2">
      <c r="A2" t="s">
        <v>47</v>
      </c>
      <c r="B2" s="1">
        <v>18020000</v>
      </c>
      <c r="C2" s="1">
        <v>20296000</v>
      </c>
      <c r="D2" s="1">
        <v>22137000</v>
      </c>
      <c r="E2" s="1">
        <v>21053000</v>
      </c>
    </row>
    <row r="3" spans="1:7" x14ac:dyDescent="0.2">
      <c r="A3" t="s">
        <v>48</v>
      </c>
      <c r="B3" s="1">
        <v>9809000</v>
      </c>
      <c r="C3" s="1">
        <v>11732000</v>
      </c>
      <c r="D3" s="1">
        <v>13944000</v>
      </c>
      <c r="E3" s="1">
        <v>12154000</v>
      </c>
    </row>
    <row r="4" spans="1:7" x14ac:dyDescent="0.2">
      <c r="A4" t="s">
        <v>49</v>
      </c>
      <c r="B4" s="1">
        <v>2220000</v>
      </c>
      <c r="C4" s="1">
        <v>1812000</v>
      </c>
      <c r="D4" s="1">
        <v>3937000</v>
      </c>
      <c r="E4" s="1">
        <v>4197000</v>
      </c>
      <c r="G4" s="1"/>
    </row>
    <row r="5" spans="1:7" x14ac:dyDescent="0.2">
      <c r="A5" t="s">
        <v>50</v>
      </c>
      <c r="B5" s="1">
        <v>1431000</v>
      </c>
      <c r="C5" s="1">
        <v>798000</v>
      </c>
      <c r="D5" s="1">
        <v>3828000</v>
      </c>
      <c r="E5" s="1">
        <v>3994000</v>
      </c>
      <c r="G5" s="6"/>
    </row>
    <row r="6" spans="1:7" x14ac:dyDescent="0.2">
      <c r="A6" t="s">
        <v>51</v>
      </c>
      <c r="B6" s="1">
        <v>789000</v>
      </c>
      <c r="C6" s="1">
        <v>1014000</v>
      </c>
      <c r="D6" s="1">
        <v>109000</v>
      </c>
      <c r="E6" s="1">
        <v>203000</v>
      </c>
    </row>
    <row r="7" spans="1:7" x14ac:dyDescent="0.2">
      <c r="A7" t="s">
        <v>52</v>
      </c>
      <c r="B7" s="1">
        <v>4525000</v>
      </c>
      <c r="C7" s="1">
        <v>5973000</v>
      </c>
      <c r="D7" s="1">
        <v>4009000</v>
      </c>
      <c r="E7" s="1">
        <v>4397000</v>
      </c>
    </row>
    <row r="8" spans="1:7" x14ac:dyDescent="0.2">
      <c r="A8" t="s">
        <v>53</v>
      </c>
      <c r="B8" s="1">
        <v>8000</v>
      </c>
      <c r="C8" s="1">
        <v>9000</v>
      </c>
      <c r="D8" s="1">
        <v>7000</v>
      </c>
      <c r="E8" s="1">
        <v>8000</v>
      </c>
    </row>
    <row r="9" spans="1:7" x14ac:dyDescent="0.2">
      <c r="A9" t="s">
        <v>54</v>
      </c>
      <c r="B9">
        <v>0</v>
      </c>
      <c r="C9">
        <v>0</v>
      </c>
      <c r="D9">
        <v>0</v>
      </c>
      <c r="E9">
        <v>0</v>
      </c>
    </row>
    <row r="10" spans="1:7" x14ac:dyDescent="0.2">
      <c r="A10" t="s">
        <v>55</v>
      </c>
      <c r="B10" s="1">
        <v>4516000</v>
      </c>
      <c r="C10" s="1">
        <v>5964000</v>
      </c>
      <c r="D10" s="1">
        <v>4002000</v>
      </c>
      <c r="E10" s="1">
        <v>4389000</v>
      </c>
    </row>
    <row r="11" spans="1:7" x14ac:dyDescent="0.2">
      <c r="A11" t="s">
        <v>56</v>
      </c>
      <c r="B11" s="1">
        <v>1000</v>
      </c>
    </row>
    <row r="12" spans="1:7" x14ac:dyDescent="0.2">
      <c r="A12" t="s">
        <v>57</v>
      </c>
      <c r="C12" s="1">
        <v>296000</v>
      </c>
      <c r="D12" s="1">
        <v>318000</v>
      </c>
      <c r="E12" s="1">
        <v>240000</v>
      </c>
    </row>
    <row r="13" spans="1:7" x14ac:dyDescent="0.2">
      <c r="A13" t="s">
        <v>58</v>
      </c>
      <c r="C13" s="1">
        <v>241000</v>
      </c>
      <c r="D13">
        <v>0</v>
      </c>
    </row>
    <row r="14" spans="1:7" x14ac:dyDescent="0.2">
      <c r="A14" t="s">
        <v>59</v>
      </c>
      <c r="C14">
        <v>0</v>
      </c>
      <c r="D14" s="1">
        <v>2033000</v>
      </c>
      <c r="E14">
        <v>0</v>
      </c>
    </row>
    <row r="15" spans="1:7" x14ac:dyDescent="0.2">
      <c r="A15" t="s">
        <v>60</v>
      </c>
      <c r="C15" s="1">
        <v>232000</v>
      </c>
      <c r="D15" s="1">
        <v>273000</v>
      </c>
      <c r="E15" s="1">
        <v>185000</v>
      </c>
    </row>
    <row r="16" spans="1:7" x14ac:dyDescent="0.2">
      <c r="A16" t="s">
        <v>61</v>
      </c>
      <c r="B16" s="1">
        <v>1002000</v>
      </c>
      <c r="C16" s="1">
        <v>1316000</v>
      </c>
      <c r="D16" s="1">
        <v>347000</v>
      </c>
      <c r="E16" s="1">
        <v>380000</v>
      </c>
    </row>
    <row r="17" spans="1:5" x14ac:dyDescent="0.2">
      <c r="A17" t="s">
        <v>62</v>
      </c>
      <c r="B17" s="1">
        <v>8211000</v>
      </c>
      <c r="C17" s="1">
        <v>8563000</v>
      </c>
      <c r="D17" s="1">
        <v>8193000</v>
      </c>
      <c r="E17" s="1">
        <v>8899000</v>
      </c>
    </row>
    <row r="18" spans="1:5" x14ac:dyDescent="0.2">
      <c r="A18" t="s">
        <v>63</v>
      </c>
      <c r="B18" s="1">
        <v>4405000</v>
      </c>
      <c r="C18" s="1">
        <v>4943000</v>
      </c>
      <c r="D18" s="1">
        <v>4825000</v>
      </c>
      <c r="E18" s="1">
        <v>4587000</v>
      </c>
    </row>
    <row r="19" spans="1:5" x14ac:dyDescent="0.2">
      <c r="A19" t="s">
        <v>64</v>
      </c>
      <c r="B19" s="1">
        <v>7112000</v>
      </c>
      <c r="C19" s="1">
        <v>7571000</v>
      </c>
      <c r="D19" s="1">
        <v>7141000</v>
      </c>
      <c r="E19" s="1">
        <v>6756000</v>
      </c>
    </row>
    <row r="20" spans="1:5" x14ac:dyDescent="0.2">
      <c r="A20" t="s">
        <v>65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66</v>
      </c>
      <c r="B21" s="1">
        <v>2300000</v>
      </c>
      <c r="C21" s="1">
        <v>2290000</v>
      </c>
      <c r="D21" s="1">
        <v>2093000</v>
      </c>
      <c r="E21" s="1">
        <v>1852000</v>
      </c>
    </row>
    <row r="22" spans="1:5" x14ac:dyDescent="0.2">
      <c r="A22" t="s">
        <v>67</v>
      </c>
      <c r="B22" s="1">
        <v>2195000</v>
      </c>
      <c r="C22" s="1">
        <v>2600000</v>
      </c>
      <c r="D22" s="1">
        <v>2493000</v>
      </c>
      <c r="E22" s="1">
        <v>2317000</v>
      </c>
    </row>
    <row r="23" spans="1:5" x14ac:dyDescent="0.2">
      <c r="A23" t="s">
        <v>68</v>
      </c>
      <c r="B23" s="1">
        <v>2461000</v>
      </c>
      <c r="C23" s="1">
        <v>2451000</v>
      </c>
      <c r="D23" s="1">
        <v>2343000</v>
      </c>
      <c r="E23" s="1">
        <v>2329000</v>
      </c>
    </row>
    <row r="24" spans="1:5" x14ac:dyDescent="0.2">
      <c r="A24" t="s">
        <v>69</v>
      </c>
      <c r="B24" s="1">
        <v>156000</v>
      </c>
      <c r="C24" s="1">
        <v>230000</v>
      </c>
      <c r="D24" s="1">
        <v>212000</v>
      </c>
      <c r="E24" s="1">
        <v>258000</v>
      </c>
    </row>
    <row r="25" spans="1:5" x14ac:dyDescent="0.2">
      <c r="A25" t="s">
        <v>70</v>
      </c>
      <c r="B25" s="1">
        <v>-2707000</v>
      </c>
      <c r="C25" s="1">
        <v>-2628000</v>
      </c>
      <c r="D25" s="1">
        <v>-2316000</v>
      </c>
      <c r="E25" s="1">
        <v>-2169000</v>
      </c>
    </row>
    <row r="26" spans="1:5" x14ac:dyDescent="0.2">
      <c r="A26" t="s">
        <v>71</v>
      </c>
      <c r="B26" s="1">
        <v>1680000</v>
      </c>
      <c r="C26" s="1">
        <v>1689000</v>
      </c>
      <c r="D26" s="1">
        <v>1581000</v>
      </c>
      <c r="E26" s="1">
        <v>2209000</v>
      </c>
    </row>
    <row r="27" spans="1:5" x14ac:dyDescent="0.2">
      <c r="A27" t="s">
        <v>72</v>
      </c>
      <c r="B27" s="1">
        <v>1238000</v>
      </c>
      <c r="C27" s="1">
        <v>1260000</v>
      </c>
      <c r="D27" s="1">
        <v>1228000</v>
      </c>
      <c r="E27" s="1">
        <v>1208000</v>
      </c>
    </row>
    <row r="28" spans="1:5" x14ac:dyDescent="0.2">
      <c r="A28" t="s">
        <v>73</v>
      </c>
      <c r="B28" s="1">
        <v>442000</v>
      </c>
      <c r="C28" s="1">
        <v>429000</v>
      </c>
      <c r="D28" s="1">
        <v>353000</v>
      </c>
      <c r="E28" s="1">
        <v>1001000</v>
      </c>
    </row>
    <row r="29" spans="1:5" x14ac:dyDescent="0.2">
      <c r="A29" t="s">
        <v>74</v>
      </c>
      <c r="B29" s="1">
        <v>2000</v>
      </c>
      <c r="C29" s="1">
        <v>3000</v>
      </c>
      <c r="D29" s="1">
        <v>53000</v>
      </c>
      <c r="E29" s="1">
        <v>123000</v>
      </c>
    </row>
    <row r="30" spans="1:5" x14ac:dyDescent="0.2">
      <c r="A30" t="s">
        <v>75</v>
      </c>
      <c r="B30" s="1">
        <v>125000</v>
      </c>
      <c r="C30" s="1">
        <v>155000</v>
      </c>
      <c r="D30" s="1">
        <v>165000</v>
      </c>
      <c r="E30" s="1">
        <v>193000</v>
      </c>
    </row>
    <row r="31" spans="1:5" x14ac:dyDescent="0.2">
      <c r="A31" t="s">
        <v>76</v>
      </c>
      <c r="B31" s="1">
        <v>2000</v>
      </c>
      <c r="C31" s="1">
        <v>4000</v>
      </c>
      <c r="D31" s="1">
        <v>-2000</v>
      </c>
      <c r="E31" s="1">
        <v>2000</v>
      </c>
    </row>
    <row r="32" spans="1:5" x14ac:dyDescent="0.2">
      <c r="A32" t="s">
        <v>77</v>
      </c>
      <c r="B32" s="1">
        <v>13095000</v>
      </c>
      <c r="C32" s="1">
        <v>14945000</v>
      </c>
      <c r="D32" s="1">
        <v>14300000</v>
      </c>
      <c r="E32" s="1">
        <v>14362000</v>
      </c>
    </row>
    <row r="33" spans="1:5" x14ac:dyDescent="0.2">
      <c r="A33" t="s">
        <v>78</v>
      </c>
      <c r="B33" s="1">
        <v>8043000</v>
      </c>
      <c r="C33" s="1">
        <v>9257000</v>
      </c>
      <c r="D33" s="1">
        <v>8965000</v>
      </c>
      <c r="E33" s="1">
        <v>8827000</v>
      </c>
    </row>
    <row r="34" spans="1:5" x14ac:dyDescent="0.2">
      <c r="A34" t="s">
        <v>79</v>
      </c>
      <c r="B34" s="1">
        <v>1323000</v>
      </c>
      <c r="C34" s="1">
        <v>1589000</v>
      </c>
      <c r="D34" s="1">
        <v>1458000</v>
      </c>
      <c r="E34" s="1">
        <v>1609000</v>
      </c>
    </row>
    <row r="35" spans="1:5" x14ac:dyDescent="0.2">
      <c r="A35" t="s">
        <v>80</v>
      </c>
      <c r="B35" s="1">
        <v>37000</v>
      </c>
      <c r="C35" s="1">
        <v>52000</v>
      </c>
      <c r="D35" s="1">
        <v>55000</v>
      </c>
      <c r="E35" s="1">
        <v>44000</v>
      </c>
    </row>
    <row r="36" spans="1:5" x14ac:dyDescent="0.2">
      <c r="A36" t="s">
        <v>81</v>
      </c>
      <c r="B36" s="1">
        <v>1094000</v>
      </c>
      <c r="C36" s="1">
        <v>1170000</v>
      </c>
      <c r="D36" s="1">
        <v>602000</v>
      </c>
      <c r="E36" s="1">
        <v>1249000</v>
      </c>
    </row>
    <row r="37" spans="1:5" x14ac:dyDescent="0.2">
      <c r="A37" t="s">
        <v>82</v>
      </c>
      <c r="B37" s="1">
        <v>549000</v>
      </c>
      <c r="C37" s="1">
        <v>527000</v>
      </c>
      <c r="D37" s="1">
        <v>29000</v>
      </c>
      <c r="E37" s="1">
        <v>686000</v>
      </c>
    </row>
    <row r="38" spans="1:5" x14ac:dyDescent="0.2">
      <c r="A38" t="s">
        <v>83</v>
      </c>
      <c r="B38" s="1">
        <v>545000</v>
      </c>
      <c r="C38" s="1">
        <v>643000</v>
      </c>
      <c r="D38" s="1">
        <v>573000</v>
      </c>
      <c r="E38" s="1">
        <v>563000</v>
      </c>
    </row>
    <row r="39" spans="1:5" x14ac:dyDescent="0.2">
      <c r="A39" t="s">
        <v>84</v>
      </c>
      <c r="B39" s="1">
        <v>96000</v>
      </c>
      <c r="C39" s="1">
        <v>72000</v>
      </c>
      <c r="D39" s="1">
        <v>50000</v>
      </c>
      <c r="E39" s="1">
        <v>69000</v>
      </c>
    </row>
    <row r="40" spans="1:5" x14ac:dyDescent="0.2">
      <c r="A40" t="s">
        <v>85</v>
      </c>
      <c r="B40" s="1">
        <v>5052000</v>
      </c>
      <c r="C40" s="1">
        <v>5688000</v>
      </c>
      <c r="D40" s="1">
        <v>5335000</v>
      </c>
      <c r="E40" s="1">
        <v>5535000</v>
      </c>
    </row>
    <row r="41" spans="1:5" x14ac:dyDescent="0.2">
      <c r="A41" t="s">
        <v>86</v>
      </c>
      <c r="B41" s="1">
        <v>188000</v>
      </c>
      <c r="C41" s="1">
        <v>88000</v>
      </c>
      <c r="D41" s="1">
        <v>149000</v>
      </c>
      <c r="E41" s="1">
        <v>229000</v>
      </c>
    </row>
    <row r="42" spans="1:5" x14ac:dyDescent="0.2">
      <c r="A42" t="s">
        <v>87</v>
      </c>
      <c r="B42" s="1">
        <v>4469000</v>
      </c>
      <c r="C42" s="1">
        <v>5289000</v>
      </c>
      <c r="D42" s="1">
        <v>4729000</v>
      </c>
      <c r="E42" s="1">
        <v>4641000</v>
      </c>
    </row>
    <row r="43" spans="1:5" x14ac:dyDescent="0.2">
      <c r="A43" t="s">
        <v>88</v>
      </c>
      <c r="B43" s="1">
        <v>2430000</v>
      </c>
      <c r="C43" s="1">
        <v>2946000</v>
      </c>
      <c r="D43" s="1">
        <v>2466000</v>
      </c>
      <c r="E43" s="1">
        <v>2482000</v>
      </c>
    </row>
    <row r="44" spans="1:5" x14ac:dyDescent="0.2">
      <c r="A44" t="s">
        <v>89</v>
      </c>
      <c r="B44" s="1">
        <v>2039000</v>
      </c>
      <c r="C44" s="1">
        <v>2343000</v>
      </c>
      <c r="D44" s="1">
        <v>2263000</v>
      </c>
      <c r="E44" s="1">
        <v>2159000</v>
      </c>
    </row>
    <row r="45" spans="1:5" x14ac:dyDescent="0.2">
      <c r="A45" t="s">
        <v>90</v>
      </c>
      <c r="B45">
        <v>0</v>
      </c>
      <c r="C45" s="1">
        <v>7000</v>
      </c>
      <c r="D45" s="1">
        <v>8000</v>
      </c>
      <c r="E45" s="1">
        <v>8000</v>
      </c>
    </row>
    <row r="46" spans="1:5" x14ac:dyDescent="0.2">
      <c r="A46" t="s">
        <v>91</v>
      </c>
      <c r="B46" s="1">
        <v>6000</v>
      </c>
      <c r="C46" s="1">
        <v>44000</v>
      </c>
      <c r="D46" s="1">
        <v>52000</v>
      </c>
      <c r="E46" s="1">
        <v>111000</v>
      </c>
    </row>
    <row r="47" spans="1:5" x14ac:dyDescent="0.2">
      <c r="A47" t="s">
        <v>92</v>
      </c>
      <c r="B47" s="1">
        <v>99000</v>
      </c>
      <c r="C47" s="1">
        <v>1000</v>
      </c>
      <c r="D47" s="1">
        <v>-1000</v>
      </c>
      <c r="E47" s="1">
        <v>10000</v>
      </c>
    </row>
    <row r="48" spans="1:5" x14ac:dyDescent="0.2">
      <c r="A48" t="s">
        <v>93</v>
      </c>
      <c r="B48" s="1">
        <v>4925000</v>
      </c>
      <c r="C48" s="1">
        <v>5351000</v>
      </c>
      <c r="D48" s="1">
        <v>7837000</v>
      </c>
      <c r="E48" s="1">
        <v>6691000</v>
      </c>
    </row>
    <row r="49" spans="1:7" x14ac:dyDescent="0.2">
      <c r="A49" t="s">
        <v>94</v>
      </c>
      <c r="B49" s="1">
        <v>4580000</v>
      </c>
      <c r="C49" s="1">
        <v>4991000</v>
      </c>
      <c r="D49" s="1">
        <v>7519000</v>
      </c>
      <c r="E49" s="1">
        <v>6454000</v>
      </c>
    </row>
    <row r="50" spans="1:7" x14ac:dyDescent="0.2">
      <c r="A50" t="s">
        <v>95</v>
      </c>
      <c r="B50" s="1">
        <v>179000</v>
      </c>
      <c r="C50" s="1">
        <v>179000</v>
      </c>
      <c r="D50" s="1">
        <v>192000</v>
      </c>
      <c r="E50" s="1">
        <v>195000</v>
      </c>
    </row>
    <row r="51" spans="1:7" x14ac:dyDescent="0.2">
      <c r="A51" t="s">
        <v>96</v>
      </c>
      <c r="B51" s="1">
        <v>179000</v>
      </c>
      <c r="C51" s="1">
        <v>179000</v>
      </c>
      <c r="D51" s="1">
        <v>192000</v>
      </c>
      <c r="E51" s="1">
        <v>195000</v>
      </c>
    </row>
    <row r="52" spans="1:7" x14ac:dyDescent="0.2">
      <c r="A52" t="s">
        <v>97</v>
      </c>
      <c r="B52" s="1">
        <v>1355000</v>
      </c>
      <c r="C52" s="1">
        <v>1338000</v>
      </c>
      <c r="D52" s="1">
        <v>1294000</v>
      </c>
      <c r="E52" s="1">
        <v>887000</v>
      </c>
    </row>
    <row r="53" spans="1:7" x14ac:dyDescent="0.2">
      <c r="A53" t="s">
        <v>98</v>
      </c>
      <c r="B53" s="1">
        <v>4145000</v>
      </c>
      <c r="C53" s="1">
        <v>4347000</v>
      </c>
      <c r="D53" s="1">
        <v>6860000</v>
      </c>
      <c r="E53" s="1">
        <v>6733000</v>
      </c>
    </row>
    <row r="54" spans="1:7" x14ac:dyDescent="0.2">
      <c r="A54" t="s">
        <v>99</v>
      </c>
      <c r="B54" s="1">
        <v>-2000</v>
      </c>
      <c r="C54" s="1">
        <v>-2000</v>
      </c>
      <c r="D54" s="1">
        <v>-1000</v>
      </c>
    </row>
    <row r="55" spans="1:7" x14ac:dyDescent="0.2">
      <c r="A55" t="s">
        <v>100</v>
      </c>
      <c r="B55" s="1">
        <v>345000</v>
      </c>
      <c r="C55" s="1">
        <v>360000</v>
      </c>
      <c r="D55" s="1">
        <v>318000</v>
      </c>
      <c r="E55" s="1">
        <v>237000</v>
      </c>
    </row>
    <row r="56" spans="1:7" x14ac:dyDescent="0.2">
      <c r="A56" t="s">
        <v>101</v>
      </c>
      <c r="B56" s="1">
        <v>7010000</v>
      </c>
      <c r="C56" s="1">
        <v>7937000</v>
      </c>
      <c r="D56" s="1">
        <v>9985000</v>
      </c>
      <c r="E56" s="1">
        <v>8936000</v>
      </c>
    </row>
    <row r="57" spans="1:7" x14ac:dyDescent="0.2">
      <c r="A57" t="s">
        <v>102</v>
      </c>
      <c r="B57" s="1">
        <v>4580000</v>
      </c>
      <c r="C57" s="1">
        <v>4991000</v>
      </c>
      <c r="D57" s="1">
        <v>7519000</v>
      </c>
      <c r="E57" s="1">
        <v>6454000</v>
      </c>
    </row>
    <row r="58" spans="1:7" x14ac:dyDescent="0.2">
      <c r="A58" t="s">
        <v>103</v>
      </c>
      <c r="B58" s="1">
        <v>2584000</v>
      </c>
      <c r="C58" s="1">
        <v>2986000</v>
      </c>
      <c r="D58" s="1">
        <v>2836000</v>
      </c>
      <c r="E58" s="1">
        <v>2722000</v>
      </c>
    </row>
    <row r="59" spans="1:7" x14ac:dyDescent="0.2">
      <c r="A59" t="s">
        <v>104</v>
      </c>
      <c r="B59" s="1">
        <v>2900000</v>
      </c>
      <c r="C59" s="1">
        <v>3302000</v>
      </c>
      <c r="D59" s="1">
        <v>5938000</v>
      </c>
      <c r="E59" s="1">
        <v>4245000</v>
      </c>
    </row>
    <row r="60" spans="1:7" x14ac:dyDescent="0.2">
      <c r="A60" t="s">
        <v>105</v>
      </c>
      <c r="B60" s="1">
        <v>1766000</v>
      </c>
      <c r="C60" s="1">
        <v>2475000</v>
      </c>
      <c r="D60" s="1">
        <v>4979000</v>
      </c>
      <c r="E60" s="1">
        <v>3327000</v>
      </c>
    </row>
    <row r="61" spans="1:7" x14ac:dyDescent="0.2">
      <c r="A61" t="s">
        <v>106</v>
      </c>
      <c r="B61" s="1">
        <v>7559000</v>
      </c>
      <c r="C61" s="1">
        <v>8464000</v>
      </c>
      <c r="D61" s="1">
        <v>10014000</v>
      </c>
      <c r="E61" s="1">
        <v>9622000</v>
      </c>
      <c r="G61" s="1"/>
    </row>
    <row r="62" spans="1:7" x14ac:dyDescent="0.2">
      <c r="A62" t="s">
        <v>107</v>
      </c>
      <c r="B62" s="1">
        <v>2900000</v>
      </c>
      <c r="C62" s="1">
        <v>3302000</v>
      </c>
      <c r="D62" s="1">
        <v>5938000</v>
      </c>
      <c r="E62" s="1">
        <v>4245000</v>
      </c>
    </row>
    <row r="63" spans="1:7" x14ac:dyDescent="0.2">
      <c r="A63" t="s">
        <v>108</v>
      </c>
      <c r="B63" s="1">
        <v>5563000</v>
      </c>
      <c r="C63" s="1">
        <v>6459000</v>
      </c>
      <c r="D63" s="1">
        <v>5331000</v>
      </c>
      <c r="E63" s="1">
        <v>5890000</v>
      </c>
    </row>
    <row r="64" spans="1:7" x14ac:dyDescent="0.2">
      <c r="A64" t="s">
        <v>109</v>
      </c>
      <c r="B64" s="1">
        <v>1548000</v>
      </c>
      <c r="C64" s="1">
        <v>2675000</v>
      </c>
    </row>
    <row r="65" spans="1:5" x14ac:dyDescent="0.2">
      <c r="A65" t="s">
        <v>110</v>
      </c>
      <c r="B65" s="1">
        <v>180000</v>
      </c>
      <c r="C65" s="1">
        <v>180000</v>
      </c>
      <c r="D65" s="1">
        <v>192100</v>
      </c>
      <c r="E65" s="1">
        <v>200416</v>
      </c>
    </row>
    <row r="66" spans="1:5" x14ac:dyDescent="0.2">
      <c r="A66" t="s">
        <v>111</v>
      </c>
      <c r="B66" s="1">
        <v>178549</v>
      </c>
      <c r="C66" s="1">
        <v>178537</v>
      </c>
      <c r="D66" s="1">
        <v>192100</v>
      </c>
      <c r="E66" s="1">
        <v>195066</v>
      </c>
    </row>
    <row r="67" spans="1:5" x14ac:dyDescent="0.2">
      <c r="A67" t="s">
        <v>112</v>
      </c>
      <c r="B67" s="1">
        <v>1451</v>
      </c>
      <c r="C67" s="1">
        <v>1463</v>
      </c>
      <c r="E67" s="1">
        <v>5350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C013-BDDA-C04E-B37F-1D3DCA59EEB1}">
  <dimension ref="A1:G17"/>
  <sheetViews>
    <sheetView zoomScaleNormal="80" zoomScaleSheetLayoutView="100" workbookViewId="0">
      <selection activeCell="B34" sqref="B34"/>
    </sheetView>
  </sheetViews>
  <sheetFormatPr baseColWidth="10" defaultColWidth="8.83203125" defaultRowHeight="15" x14ac:dyDescent="0.2"/>
  <cols>
    <col min="1" max="1" width="29.6640625" customWidth="1"/>
    <col min="3" max="3" width="12.83203125" customWidth="1"/>
    <col min="4" max="5" width="12.1640625" customWidth="1"/>
    <col min="6" max="6" width="14.33203125" customWidth="1"/>
    <col min="7" max="7" width="12.83203125" customWidth="1"/>
  </cols>
  <sheetData>
    <row r="1" spans="1:7" x14ac:dyDescent="0.2">
      <c r="A1" t="s">
        <v>32</v>
      </c>
      <c r="B1" t="s">
        <v>0</v>
      </c>
    </row>
    <row r="2" spans="1:7" ht="16" x14ac:dyDescent="0.2">
      <c r="A2" t="s">
        <v>1</v>
      </c>
      <c r="C2" t="s">
        <v>2</v>
      </c>
      <c r="D2" s="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t="s">
        <v>33</v>
      </c>
      <c r="C3" s="1">
        <v>2630000</v>
      </c>
      <c r="D3" s="1">
        <v>2630000</v>
      </c>
      <c r="E3" s="1">
        <v>-479000</v>
      </c>
      <c r="F3" s="1">
        <v>3192000</v>
      </c>
      <c r="G3" s="1">
        <v>1486000</v>
      </c>
    </row>
    <row r="4" spans="1:7" x14ac:dyDescent="0.2">
      <c r="A4" t="s">
        <v>34</v>
      </c>
      <c r="C4" s="1">
        <v>-450000</v>
      </c>
      <c r="D4" s="1">
        <v>-450000</v>
      </c>
      <c r="E4" s="1">
        <v>495000</v>
      </c>
      <c r="F4" s="1">
        <v>-424000</v>
      </c>
      <c r="G4" s="1">
        <v>-115000</v>
      </c>
    </row>
    <row r="5" spans="1:7" x14ac:dyDescent="0.2">
      <c r="A5" t="s">
        <v>35</v>
      </c>
      <c r="C5" s="1">
        <v>-1425000</v>
      </c>
      <c r="D5" s="1">
        <v>-1425000</v>
      </c>
      <c r="E5" s="1">
        <v>-2963000</v>
      </c>
      <c r="F5" s="1">
        <v>-2991000</v>
      </c>
      <c r="G5" s="1">
        <v>479000</v>
      </c>
    </row>
    <row r="6" spans="1:7" x14ac:dyDescent="0.2">
      <c r="A6" t="s">
        <v>36</v>
      </c>
      <c r="C6" s="1">
        <v>1431000</v>
      </c>
      <c r="D6" s="1">
        <v>1431000</v>
      </c>
      <c r="E6" s="1">
        <v>798000</v>
      </c>
      <c r="F6" s="1">
        <v>3828000</v>
      </c>
      <c r="G6" s="1">
        <v>3994000</v>
      </c>
    </row>
    <row r="7" spans="1:7" x14ac:dyDescent="0.2">
      <c r="A7" t="s">
        <v>37</v>
      </c>
      <c r="C7" s="1">
        <v>755000</v>
      </c>
      <c r="D7" s="1">
        <v>755000</v>
      </c>
      <c r="E7" s="1">
        <v>-2947000</v>
      </c>
      <c r="F7" s="1">
        <v>-223000</v>
      </c>
      <c r="G7" s="1">
        <v>1850000</v>
      </c>
    </row>
    <row r="8" spans="1:7" x14ac:dyDescent="0.2">
      <c r="A8" t="s">
        <v>38</v>
      </c>
      <c r="C8" s="1">
        <v>-40000</v>
      </c>
      <c r="D8" s="1">
        <v>-40000</v>
      </c>
      <c r="E8" s="1">
        <v>-39000</v>
      </c>
      <c r="F8" s="1">
        <v>57000</v>
      </c>
      <c r="G8" s="1">
        <v>-75000</v>
      </c>
    </row>
    <row r="9" spans="1:7" x14ac:dyDescent="0.2">
      <c r="A9" t="s">
        <v>39</v>
      </c>
      <c r="C9" s="1">
        <v>798000</v>
      </c>
      <c r="D9" s="1">
        <v>798000</v>
      </c>
      <c r="E9" s="1">
        <v>3849000</v>
      </c>
      <c r="F9" s="1">
        <v>3994000</v>
      </c>
      <c r="G9" s="1">
        <v>2220000</v>
      </c>
    </row>
    <row r="10" spans="1:7" x14ac:dyDescent="0.2">
      <c r="A10" t="s">
        <v>46</v>
      </c>
      <c r="C10" s="1">
        <v>-82000</v>
      </c>
      <c r="D10" s="1">
        <v>-82000</v>
      </c>
      <c r="E10" s="1">
        <v>-65000</v>
      </c>
      <c r="G10" s="1">
        <v>-1000</v>
      </c>
    </row>
    <row r="11" spans="1:7" x14ac:dyDescent="0.2">
      <c r="A11" t="s">
        <v>40</v>
      </c>
      <c r="C11" s="1">
        <v>-504000</v>
      </c>
      <c r="D11" s="1">
        <v>-504000</v>
      </c>
      <c r="E11" s="1">
        <v>-695000</v>
      </c>
      <c r="F11" s="1">
        <v>-667000</v>
      </c>
      <c r="G11" s="1">
        <v>-432000</v>
      </c>
    </row>
    <row r="12" spans="1:7" x14ac:dyDescent="0.2">
      <c r="A12" t="s">
        <v>41</v>
      </c>
      <c r="C12" s="1">
        <v>25000</v>
      </c>
      <c r="D12" s="1">
        <v>25000</v>
      </c>
      <c r="E12" s="1">
        <v>25000</v>
      </c>
      <c r="F12" s="1">
        <v>27000</v>
      </c>
      <c r="G12" s="1">
        <v>25000</v>
      </c>
    </row>
    <row r="13" spans="1:7" x14ac:dyDescent="0.2">
      <c r="A13" t="s">
        <v>42</v>
      </c>
      <c r="C13">
        <v>0</v>
      </c>
      <c r="D13">
        <v>0</v>
      </c>
      <c r="E13" s="1">
        <v>994000</v>
      </c>
      <c r="F13">
        <v>0</v>
      </c>
      <c r="G13" s="1">
        <v>1501000</v>
      </c>
    </row>
    <row r="14" spans="1:7" x14ac:dyDescent="0.2">
      <c r="A14" t="s">
        <v>43</v>
      </c>
      <c r="C14" s="1">
        <v>-500000</v>
      </c>
      <c r="D14" s="1">
        <v>-500000</v>
      </c>
      <c r="E14">
        <v>0</v>
      </c>
      <c r="F14" s="1">
        <v>-679000</v>
      </c>
      <c r="G14" s="1">
        <v>-519000</v>
      </c>
    </row>
    <row r="15" spans="1:7" x14ac:dyDescent="0.2">
      <c r="A15" t="s">
        <v>44</v>
      </c>
      <c r="C15" s="1">
        <v>-29000</v>
      </c>
      <c r="D15" s="1">
        <v>-29000</v>
      </c>
      <c r="E15" s="1">
        <v>-2530000</v>
      </c>
      <c r="F15" s="1">
        <v>-1032000</v>
      </c>
      <c r="G15" s="1">
        <v>-286000</v>
      </c>
    </row>
    <row r="16" spans="1:7" x14ac:dyDescent="0.2">
      <c r="A16" t="s">
        <v>45</v>
      </c>
      <c r="C16" s="1">
        <f>C3+C11</f>
        <v>2126000</v>
      </c>
      <c r="D16" s="1">
        <f>D3+D11</f>
        <v>2126000</v>
      </c>
      <c r="E16" s="1">
        <f>E3+E11</f>
        <v>-1174000</v>
      </c>
      <c r="F16" s="1">
        <f>F3+F11</f>
        <v>2525000</v>
      </c>
      <c r="G16" s="1">
        <f t="shared" ref="G16" si="0">G3+G11</f>
        <v>1054000</v>
      </c>
    </row>
    <row r="17" spans="3:3" x14ac:dyDescent="0.2">
      <c r="C17" s="1"/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FD66-7573-F64F-9D4B-ADBCE307AA47}">
  <dimension ref="A1:G44"/>
  <sheetViews>
    <sheetView zoomScale="150" zoomScaleNormal="80" zoomScaleSheetLayoutView="100" workbookViewId="0">
      <selection activeCell="B44" sqref="B44"/>
    </sheetView>
  </sheetViews>
  <sheetFormatPr baseColWidth="10" defaultColWidth="8.83203125" defaultRowHeight="15" x14ac:dyDescent="0.2"/>
  <cols>
    <col min="1" max="1" width="49.1640625" bestFit="1" customWidth="1"/>
    <col min="2" max="5" width="11.83203125" bestFit="1" customWidth="1"/>
  </cols>
  <sheetData>
    <row r="1" spans="1:7" x14ac:dyDescent="0.2">
      <c r="B1">
        <v>2019</v>
      </c>
      <c r="C1">
        <v>2018</v>
      </c>
      <c r="D1">
        <v>2017</v>
      </c>
      <c r="E1">
        <v>2016</v>
      </c>
    </row>
    <row r="2" spans="1:7" x14ac:dyDescent="0.2">
      <c r="A2" t="s">
        <v>155</v>
      </c>
    </row>
    <row r="3" spans="1:7" x14ac:dyDescent="0.2">
      <c r="A3" t="s">
        <v>156</v>
      </c>
      <c r="B3" s="1">
        <v>23640</v>
      </c>
      <c r="C3" s="1">
        <v>21915</v>
      </c>
      <c r="D3" s="1">
        <v>21218</v>
      </c>
      <c r="E3" s="1">
        <v>18483</v>
      </c>
    </row>
    <row r="4" spans="1:7" x14ac:dyDescent="0.2">
      <c r="A4" t="s">
        <v>187</v>
      </c>
      <c r="B4" s="3">
        <f>(B3-C3)/C3</f>
        <v>7.8713210130047909E-2</v>
      </c>
      <c r="C4" s="3">
        <f t="shared" ref="C4:D4" si="0">(C3-D3)/D3</f>
        <v>3.2849467433311338E-2</v>
      </c>
      <c r="D4" s="3">
        <f t="shared" si="0"/>
        <v>0.14797381377482011</v>
      </c>
      <c r="E4" s="1"/>
    </row>
    <row r="5" spans="1:7" x14ac:dyDescent="0.2">
      <c r="A5" t="s">
        <v>157</v>
      </c>
      <c r="B5" s="1">
        <v>12293</v>
      </c>
      <c r="C5" s="1">
        <v>11363</v>
      </c>
      <c r="D5" s="1">
        <v>10703</v>
      </c>
      <c r="E5" s="1">
        <v>9100</v>
      </c>
    </row>
    <row r="6" spans="1:7" x14ac:dyDescent="0.2">
      <c r="A6" t="s">
        <v>158</v>
      </c>
      <c r="B6" s="1">
        <v>9843</v>
      </c>
      <c r="C6" s="1">
        <v>9172</v>
      </c>
      <c r="D6">
        <v>8.8819999999999997</v>
      </c>
      <c r="E6" s="1">
        <v>7885</v>
      </c>
    </row>
    <row r="7" spans="1:7" x14ac:dyDescent="0.2">
      <c r="A7" t="s">
        <v>125</v>
      </c>
      <c r="B7" s="1">
        <v>3845</v>
      </c>
      <c r="C7" s="1">
        <v>2882</v>
      </c>
      <c r="D7" s="1">
        <v>2511</v>
      </c>
      <c r="E7" s="1">
        <v>1953</v>
      </c>
    </row>
    <row r="8" spans="1:7" x14ac:dyDescent="0.2">
      <c r="A8" t="s">
        <v>135</v>
      </c>
      <c r="B8" s="3">
        <f>B7/B3</f>
        <v>0.16264805414551609</v>
      </c>
      <c r="C8" s="3">
        <f t="shared" ref="C8:E8" si="1">C7/C3</f>
        <v>0.13150809947524528</v>
      </c>
      <c r="D8" s="3">
        <f t="shared" si="1"/>
        <v>0.11834291639174287</v>
      </c>
      <c r="E8" s="3">
        <f t="shared" si="1"/>
        <v>0.10566466482713845</v>
      </c>
    </row>
    <row r="9" spans="1:7" x14ac:dyDescent="0.2">
      <c r="A9" t="s">
        <v>159</v>
      </c>
      <c r="B9" s="1">
        <v>2660</v>
      </c>
      <c r="C9" s="1">
        <v>2368</v>
      </c>
      <c r="D9" s="1">
        <v>2070</v>
      </c>
      <c r="E9" s="1">
        <v>1582</v>
      </c>
    </row>
    <row r="10" spans="1:7" x14ac:dyDescent="0.2">
      <c r="A10" t="s">
        <v>160</v>
      </c>
      <c r="B10" s="1">
        <v>1918</v>
      </c>
      <c r="C10" s="1">
        <v>1709</v>
      </c>
      <c r="D10">
        <v>1.43</v>
      </c>
      <c r="E10" s="1">
        <v>1082</v>
      </c>
    </row>
    <row r="11" spans="1:7" x14ac:dyDescent="0.2">
      <c r="A11" t="s">
        <v>161</v>
      </c>
      <c r="B11" s="1">
        <v>1976</v>
      </c>
      <c r="C11" s="1">
        <v>1702</v>
      </c>
      <c r="D11" s="1">
        <v>1173</v>
      </c>
      <c r="E11" s="1">
        <v>1017</v>
      </c>
    </row>
    <row r="12" spans="1:7" x14ac:dyDescent="0.2">
      <c r="A12" t="s">
        <v>162</v>
      </c>
    </row>
    <row r="13" spans="1:7" x14ac:dyDescent="0.2">
      <c r="A13" t="s">
        <v>163</v>
      </c>
      <c r="B13" s="3">
        <v>0.52</v>
      </c>
      <c r="C13" s="3">
        <v>0.51800000000000002</v>
      </c>
      <c r="D13" s="3">
        <v>0.504</v>
      </c>
      <c r="E13" s="3">
        <v>0.49199999999999999</v>
      </c>
    </row>
    <row r="14" spans="1:7" x14ac:dyDescent="0.2">
      <c r="A14" t="s">
        <v>164</v>
      </c>
      <c r="B14" s="3">
        <v>0.41599999999999998</v>
      </c>
      <c r="C14" s="3">
        <v>0.41899999999999998</v>
      </c>
      <c r="D14" s="3">
        <v>0.41899999999999998</v>
      </c>
      <c r="E14" s="3">
        <v>0.42699999999999999</v>
      </c>
    </row>
    <row r="15" spans="1:7" x14ac:dyDescent="0.2">
      <c r="A15" t="s">
        <v>165</v>
      </c>
      <c r="B15" s="3">
        <v>0.113</v>
      </c>
      <c r="C15" s="3">
        <v>0.108</v>
      </c>
      <c r="D15" s="3">
        <v>9.8000000000000004E-2</v>
      </c>
      <c r="E15" s="3">
        <v>8.5999999999999993E-2</v>
      </c>
    </row>
    <row r="16" spans="1:7" x14ac:dyDescent="0.2">
      <c r="A16" t="s">
        <v>166</v>
      </c>
      <c r="B16" s="3">
        <v>0.25</v>
      </c>
      <c r="C16" s="3">
        <v>0.28100000000000003</v>
      </c>
      <c r="D16" s="3">
        <v>0.29299999999999998</v>
      </c>
      <c r="E16" s="3">
        <v>0.29599999999999999</v>
      </c>
      <c r="G16" s="3"/>
    </row>
    <row r="17" spans="1:5" x14ac:dyDescent="0.2">
      <c r="A17" t="s">
        <v>167</v>
      </c>
      <c r="B17" s="3">
        <v>8.4000000000000005E-2</v>
      </c>
      <c r="C17" s="3">
        <v>7.8E-2</v>
      </c>
      <c r="D17" s="3">
        <v>5.5E-2</v>
      </c>
      <c r="E17" s="3">
        <v>5.5E-2</v>
      </c>
    </row>
    <row r="18" spans="1:5" x14ac:dyDescent="0.2">
      <c r="A18" t="s">
        <v>168</v>
      </c>
      <c r="B18" s="3">
        <v>0.18099999999999999</v>
      </c>
      <c r="C18" s="3">
        <v>0.19</v>
      </c>
      <c r="D18" s="3">
        <v>0.20399999999999999</v>
      </c>
      <c r="E18" s="3">
        <v>0.21099999999999999</v>
      </c>
    </row>
    <row r="19" spans="1:5" x14ac:dyDescent="0.2">
      <c r="A19" t="s">
        <v>188</v>
      </c>
      <c r="B19" s="3">
        <v>0.32900000000000001</v>
      </c>
      <c r="C19" s="3">
        <v>0.40799999999999997</v>
      </c>
      <c r="D19" s="3">
        <v>0.44400000000000001</v>
      </c>
      <c r="E19" s="3">
        <v>0.42599999999999999</v>
      </c>
    </row>
    <row r="20" spans="1:5" x14ac:dyDescent="0.2">
      <c r="A20" t="s">
        <v>169</v>
      </c>
      <c r="B20">
        <v>-0.2</v>
      </c>
      <c r="C20">
        <v>-0.3</v>
      </c>
      <c r="D20">
        <v>-0.2</v>
      </c>
      <c r="E20">
        <v>0.1</v>
      </c>
    </row>
    <row r="21" spans="1:5" x14ac:dyDescent="0.2">
      <c r="A21" t="s">
        <v>189</v>
      </c>
      <c r="B21" s="3">
        <v>-0.128</v>
      </c>
      <c r="C21" s="3">
        <v>-0.15</v>
      </c>
      <c r="D21" s="3">
        <v>-7.4999999999999997E-2</v>
      </c>
      <c r="E21" s="3">
        <v>1.6E-2</v>
      </c>
    </row>
    <row r="22" spans="1:5" x14ac:dyDescent="0.2">
      <c r="A22" t="s">
        <v>190</v>
      </c>
      <c r="B22" s="3">
        <v>0.29099999999999998</v>
      </c>
      <c r="C22" s="3">
        <v>0.26700000000000002</v>
      </c>
      <c r="D22" s="3">
        <v>0.17</v>
      </c>
      <c r="E22" s="3">
        <v>0.157</v>
      </c>
    </row>
    <row r="23" spans="1:5" x14ac:dyDescent="0.2">
      <c r="A23" t="s">
        <v>170</v>
      </c>
    </row>
    <row r="24" spans="1:5" x14ac:dyDescent="0.2">
      <c r="A24" t="s">
        <v>171</v>
      </c>
      <c r="B24" s="1">
        <v>20680</v>
      </c>
      <c r="C24" s="1">
        <v>15612</v>
      </c>
      <c r="D24" s="1">
        <v>14522</v>
      </c>
      <c r="E24" s="1">
        <v>15176</v>
      </c>
    </row>
    <row r="25" spans="1:5" x14ac:dyDescent="0.2">
      <c r="A25" t="s">
        <v>172</v>
      </c>
      <c r="B25" s="1">
        <v>4085</v>
      </c>
      <c r="C25" s="1">
        <v>3445</v>
      </c>
      <c r="D25" s="1">
        <v>3692</v>
      </c>
      <c r="E25" s="1">
        <v>3763</v>
      </c>
    </row>
    <row r="26" spans="1:5" x14ac:dyDescent="0.2">
      <c r="A26" t="s">
        <v>173</v>
      </c>
      <c r="B26" s="1">
        <v>4338</v>
      </c>
      <c r="C26" s="1">
        <v>3734</v>
      </c>
      <c r="D26" s="1">
        <v>3277</v>
      </c>
      <c r="E26" s="1">
        <v>3607</v>
      </c>
    </row>
    <row r="27" spans="1:5" x14ac:dyDescent="0.2">
      <c r="A27" t="s">
        <v>174</v>
      </c>
      <c r="B27" s="1">
        <v>4007</v>
      </c>
      <c r="C27" s="1">
        <v>3563</v>
      </c>
      <c r="D27" s="1">
        <v>4033</v>
      </c>
      <c r="E27" s="1">
        <v>3468</v>
      </c>
    </row>
    <row r="28" spans="1:5" x14ac:dyDescent="0.2">
      <c r="A28" t="s">
        <v>192</v>
      </c>
      <c r="B28" s="3">
        <f>B27/B3</f>
        <v>0.16950084602368867</v>
      </c>
      <c r="C28" s="3">
        <f t="shared" ref="C28:E28" si="2">C27/C3</f>
        <v>0.1625827059091946</v>
      </c>
      <c r="D28" s="3">
        <f t="shared" si="2"/>
        <v>0.19007446507682157</v>
      </c>
      <c r="E28" s="3">
        <f t="shared" si="2"/>
        <v>0.18763187794189254</v>
      </c>
    </row>
    <row r="29" spans="1:5" x14ac:dyDescent="0.2">
      <c r="A29" t="s">
        <v>152</v>
      </c>
      <c r="B29" s="1">
        <f>B27-C27</f>
        <v>444</v>
      </c>
      <c r="C29" s="1">
        <f>C27-D27</f>
        <v>-470</v>
      </c>
      <c r="D29" s="1">
        <f>D27-E27</f>
        <v>565</v>
      </c>
      <c r="E29" s="1"/>
    </row>
    <row r="30" spans="1:5" x14ac:dyDescent="0.2">
      <c r="A30" t="s">
        <v>175</v>
      </c>
      <c r="B30">
        <v>873</v>
      </c>
      <c r="C30">
        <v>959</v>
      </c>
      <c r="D30">
        <v>484</v>
      </c>
      <c r="E30">
        <v>-103</v>
      </c>
    </row>
    <row r="31" spans="1:5" x14ac:dyDescent="0.2">
      <c r="A31" t="s">
        <v>176</v>
      </c>
      <c r="B31" s="1">
        <v>6796</v>
      </c>
      <c r="C31" s="1">
        <v>6377</v>
      </c>
      <c r="D31" s="1">
        <v>6450</v>
      </c>
      <c r="E31" s="1">
        <v>6472</v>
      </c>
    </row>
    <row r="32" spans="1:5" x14ac:dyDescent="0.2">
      <c r="A32" t="s">
        <v>177</v>
      </c>
      <c r="B32">
        <v>711</v>
      </c>
      <c r="C32">
        <v>794</v>
      </c>
      <c r="D32">
        <v>752</v>
      </c>
      <c r="E32">
        <v>642</v>
      </c>
    </row>
    <row r="33" spans="1:5" x14ac:dyDescent="0.2">
      <c r="A33" t="s">
        <v>191</v>
      </c>
      <c r="B33" s="1">
        <v>2819</v>
      </c>
      <c r="C33" s="1">
        <v>2686</v>
      </c>
      <c r="D33" s="1">
        <v>1648</v>
      </c>
      <c r="E33" s="1">
        <v>1348</v>
      </c>
    </row>
    <row r="34" spans="1:5" x14ac:dyDescent="0.2">
      <c r="A34" t="s">
        <v>178</v>
      </c>
    </row>
    <row r="35" spans="1:5" x14ac:dyDescent="0.2">
      <c r="A35" t="s">
        <v>179</v>
      </c>
      <c r="B35">
        <v>9.6999999999999993</v>
      </c>
      <c r="C35">
        <v>8.4600000000000009</v>
      </c>
      <c r="D35">
        <v>7.05</v>
      </c>
      <c r="E35">
        <v>5.39</v>
      </c>
    </row>
    <row r="36" spans="1:5" x14ac:dyDescent="0.2">
      <c r="A36" t="s">
        <v>180</v>
      </c>
      <c r="B36">
        <v>9.6999999999999993</v>
      </c>
      <c r="C36">
        <v>8.4499999999999993</v>
      </c>
      <c r="D36">
        <v>7</v>
      </c>
      <c r="E36">
        <v>5.29</v>
      </c>
    </row>
    <row r="37" spans="1:5" x14ac:dyDescent="0.2">
      <c r="A37" t="s">
        <v>191</v>
      </c>
      <c r="B37">
        <v>14.26</v>
      </c>
      <c r="C37">
        <v>13.31</v>
      </c>
      <c r="D37">
        <v>8.14</v>
      </c>
      <c r="E37">
        <v>6.73</v>
      </c>
    </row>
    <row r="38" spans="1:5" x14ac:dyDescent="0.2">
      <c r="A38" t="s">
        <v>181</v>
      </c>
      <c r="B38">
        <v>3.85</v>
      </c>
      <c r="C38">
        <v>3.35</v>
      </c>
      <c r="D38">
        <v>2.6</v>
      </c>
      <c r="E38">
        <v>2</v>
      </c>
    </row>
    <row r="39" spans="1:5" x14ac:dyDescent="0.2">
      <c r="A39" t="s">
        <v>182</v>
      </c>
      <c r="B39">
        <v>289.8</v>
      </c>
      <c r="C39">
        <v>182.4</v>
      </c>
      <c r="D39">
        <v>167.15</v>
      </c>
      <c r="E39">
        <v>150.15</v>
      </c>
    </row>
    <row r="40" spans="1:5" x14ac:dyDescent="0.2">
      <c r="A40" t="s">
        <v>183</v>
      </c>
    </row>
    <row r="41" spans="1:5" x14ac:dyDescent="0.2">
      <c r="A41" t="s">
        <v>184</v>
      </c>
      <c r="B41" s="1">
        <v>59533</v>
      </c>
      <c r="C41" s="1">
        <v>57016</v>
      </c>
      <c r="D41" s="1">
        <v>56888</v>
      </c>
      <c r="E41" s="1">
        <v>58902</v>
      </c>
    </row>
    <row r="42" spans="1:5" x14ac:dyDescent="0.2">
      <c r="A42" t="s">
        <v>185</v>
      </c>
      <c r="B42" s="7">
        <v>195969.38699999999</v>
      </c>
      <c r="C42" s="1">
        <v>199171345</v>
      </c>
      <c r="D42" s="1">
        <v>203861234</v>
      </c>
      <c r="E42" s="1">
        <v>201489310</v>
      </c>
    </row>
    <row r="43" spans="1:5" x14ac:dyDescent="0.2">
      <c r="A43" t="s">
        <v>186</v>
      </c>
      <c r="B43" s="1">
        <v>197606107</v>
      </c>
      <c r="C43" s="1">
        <v>201759012</v>
      </c>
      <c r="D43" s="1">
        <v>202391673</v>
      </c>
      <c r="E43" s="1">
        <v>200188276</v>
      </c>
    </row>
    <row r="44" spans="1:5" x14ac:dyDescent="0.2">
      <c r="A44" t="s">
        <v>153</v>
      </c>
      <c r="B44" s="1">
        <f>B33-B32</f>
        <v>2108</v>
      </c>
      <c r="C44" s="1">
        <f>C33-C32</f>
        <v>1892</v>
      </c>
      <c r="D44" s="1">
        <f t="shared" ref="D44:E44" si="3">D33-D32</f>
        <v>896</v>
      </c>
      <c r="E44" s="1">
        <f t="shared" si="3"/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E131-0F0A-44DE-B2C3-7951EA78B593}">
  <dimension ref="A1:M2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9.6640625" bestFit="1" customWidth="1"/>
    <col min="2" max="2" width="10.5" bestFit="1" customWidth="1"/>
    <col min="4" max="4" width="6.6640625" bestFit="1" customWidth="1"/>
    <col min="5" max="5" width="9.33203125" bestFit="1" customWidth="1"/>
    <col min="9" max="9" width="18" bestFit="1" customWidth="1"/>
    <col min="12" max="12" width="19.5" bestFit="1" customWidth="1"/>
  </cols>
  <sheetData>
    <row r="1" spans="1:13" x14ac:dyDescent="0.2">
      <c r="A1" s="110" t="s">
        <v>193</v>
      </c>
      <c r="B1" s="111">
        <f>27.4%</f>
        <v>0.27399999999999997</v>
      </c>
      <c r="C1" s="110" t="s">
        <v>211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B3" s="10"/>
      <c r="C3" s="9"/>
      <c r="D3" s="10" t="s">
        <v>195</v>
      </c>
      <c r="E3" s="11">
        <f>53.04%</f>
        <v>0.53039999999999998</v>
      </c>
      <c r="F3" s="9"/>
      <c r="G3" s="9"/>
      <c r="K3" s="9"/>
    </row>
    <row r="4" spans="1:13" x14ac:dyDescent="0.2">
      <c r="A4" s="112" t="s">
        <v>201</v>
      </c>
      <c r="B4" s="113">
        <f>1.11</f>
        <v>1.1100000000000001</v>
      </c>
      <c r="C4" s="9"/>
      <c r="D4" s="10" t="s">
        <v>197</v>
      </c>
      <c r="E4" s="11">
        <v>0.04</v>
      </c>
      <c r="F4" s="9"/>
      <c r="G4" s="9"/>
      <c r="K4" s="9"/>
    </row>
    <row r="5" spans="1:13" x14ac:dyDescent="0.2">
      <c r="A5" s="112" t="s">
        <v>204</v>
      </c>
      <c r="B5" s="113">
        <f>B4*(1+(1-B1)*(E3/(1-E3)))</f>
        <v>2.0201962180579214</v>
      </c>
      <c r="C5" s="9"/>
      <c r="D5" s="10" t="s">
        <v>210</v>
      </c>
      <c r="E5" s="11">
        <v>8.5000000000000006E-2</v>
      </c>
      <c r="F5" s="9"/>
      <c r="G5" s="9"/>
      <c r="K5" s="9"/>
    </row>
    <row r="6" spans="1:13" x14ac:dyDescent="0.2">
      <c r="A6" s="112" t="s">
        <v>206</v>
      </c>
      <c r="B6" s="114">
        <f>E4+B5*E6</f>
        <v>0.13090882981260649</v>
      </c>
      <c r="C6" s="9"/>
      <c r="D6" s="10" t="s">
        <v>199</v>
      </c>
      <c r="E6" s="11">
        <f>E5-E4</f>
        <v>4.5000000000000005E-2</v>
      </c>
      <c r="F6" s="9" t="s">
        <v>194</v>
      </c>
      <c r="G6" s="9"/>
      <c r="I6" s="112" t="s">
        <v>196</v>
      </c>
      <c r="J6" s="115">
        <f>(1-$E$3)*$B$6+$E$3*$J$8</f>
        <v>9.3199646293084124E-2</v>
      </c>
      <c r="K6" s="9"/>
    </row>
    <row r="7" spans="1:13" x14ac:dyDescent="0.2">
      <c r="A7" s="9"/>
      <c r="B7" s="9"/>
      <c r="C7" s="9"/>
      <c r="D7" s="10" t="s">
        <v>200</v>
      </c>
      <c r="E7" s="11">
        <f>1-E3</f>
        <v>0.46960000000000002</v>
      </c>
      <c r="F7" s="9"/>
      <c r="G7" s="9"/>
      <c r="H7" s="9"/>
      <c r="I7" s="112" t="s">
        <v>198</v>
      </c>
      <c r="J7" s="115">
        <f>(1-$E$3)*$B$6+$E$3*$J$8*(1-$B$1)</f>
        <v>8.4507034704299072E-2</v>
      </c>
      <c r="K7" s="9"/>
      <c r="L7" s="9"/>
      <c r="M7" s="9"/>
    </row>
    <row r="8" spans="1:13" x14ac:dyDescent="0.2">
      <c r="A8" s="9"/>
      <c r="B8" s="9"/>
      <c r="C8" s="9"/>
      <c r="D8" s="10" t="s">
        <v>202</v>
      </c>
      <c r="E8" s="11">
        <f>E3/E7</f>
        <v>1.1294718909710391</v>
      </c>
      <c r="F8" s="9"/>
      <c r="G8" s="9"/>
      <c r="H8" s="9"/>
      <c r="I8" s="112" t="s">
        <v>203</v>
      </c>
      <c r="J8" s="115">
        <f>'Income Statement'!C37/'Balance Sheet'!C64</f>
        <v>5.9813084112149535E-2</v>
      </c>
      <c r="K8" s="9"/>
      <c r="L8" s="9"/>
      <c r="M8" s="9"/>
    </row>
    <row r="9" spans="1:13" x14ac:dyDescent="0.2">
      <c r="A9" s="12"/>
      <c r="B9" s="9"/>
      <c r="C9" s="9"/>
      <c r="D9" s="9"/>
      <c r="E9" s="9"/>
      <c r="F9" s="9"/>
      <c r="G9" s="9"/>
      <c r="H9" s="9"/>
      <c r="I9" s="112" t="s">
        <v>205</v>
      </c>
      <c r="J9" s="116">
        <f>(J8-E4)/E6</f>
        <v>0.44029075804776741</v>
      </c>
      <c r="K9" s="9"/>
      <c r="L9" s="9"/>
      <c r="M9" s="9"/>
    </row>
    <row r="10" spans="1:13" x14ac:dyDescent="0.2">
      <c r="A10" s="10" t="s">
        <v>207</v>
      </c>
      <c r="B10" s="13" t="s">
        <v>208</v>
      </c>
      <c r="C10" s="13">
        <f>($B$6+($J$8*$E$8))/(1+($E$8))</f>
        <v>9.3199646293084137E-2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10" t="s">
        <v>209</v>
      </c>
      <c r="B11" s="13" t="s">
        <v>208</v>
      </c>
      <c r="C11" s="13">
        <f>($B$6+($J$8*$E$8))/(1+(0.6*$E$8))</f>
        <v>0.11829768264252148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3:13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21" spans="3:13" x14ac:dyDescent="0.2">
      <c r="H21" s="14"/>
    </row>
    <row r="22" spans="3:13" x14ac:dyDescent="0.2">
      <c r="J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BD63-8971-47B6-B81A-BD7D6EF6354E}">
  <dimension ref="A1:M101"/>
  <sheetViews>
    <sheetView topLeftCell="A24" zoomScaleNormal="115" workbookViewId="0">
      <selection activeCell="H68" sqref="H68"/>
    </sheetView>
  </sheetViews>
  <sheetFormatPr baseColWidth="10" defaultColWidth="8.83203125" defaultRowHeight="15" x14ac:dyDescent="0.2"/>
  <cols>
    <col min="1" max="1" width="34.1640625" bestFit="1" customWidth="1"/>
    <col min="2" max="2" width="16.5" bestFit="1" customWidth="1"/>
    <col min="3" max="7" width="14" bestFit="1" customWidth="1"/>
    <col min="8" max="8" width="16" bestFit="1" customWidth="1"/>
    <col min="9" max="9" width="16.83203125" bestFit="1" customWidth="1"/>
    <col min="10" max="10" width="14" bestFit="1" customWidth="1"/>
    <col min="11" max="11" width="12.6640625" bestFit="1" customWidth="1"/>
    <col min="12" max="12" width="48.1640625" bestFit="1" customWidth="1"/>
  </cols>
  <sheetData>
    <row r="1" spans="1:13" x14ac:dyDescent="0.2">
      <c r="A1" t="s">
        <v>266</v>
      </c>
    </row>
    <row r="2" spans="1:13" x14ac:dyDescent="0.2">
      <c r="B2">
        <v>5</v>
      </c>
      <c r="C2">
        <v>4</v>
      </c>
      <c r="D2">
        <v>3</v>
      </c>
      <c r="E2">
        <v>2</v>
      </c>
      <c r="F2">
        <v>1</v>
      </c>
    </row>
    <row r="3" spans="1:13" x14ac:dyDescent="0.2">
      <c r="A3" t="s">
        <v>1</v>
      </c>
      <c r="B3" t="s">
        <v>136</v>
      </c>
      <c r="C3" t="s">
        <v>148</v>
      </c>
      <c r="D3" t="s">
        <v>137</v>
      </c>
      <c r="E3" t="s">
        <v>138</v>
      </c>
      <c r="F3" t="s">
        <v>139</v>
      </c>
      <c r="G3" t="s">
        <v>3</v>
      </c>
      <c r="H3" t="s">
        <v>4</v>
      </c>
      <c r="I3" t="s">
        <v>5</v>
      </c>
      <c r="J3" t="s">
        <v>6</v>
      </c>
    </row>
    <row r="4" spans="1:13" x14ac:dyDescent="0.2">
      <c r="A4" s="85" t="s">
        <v>7</v>
      </c>
      <c r="B4" s="87">
        <f>$G$4*(1+$M$4)^B2</f>
        <v>27346885.039687503</v>
      </c>
      <c r="C4" s="87">
        <f>$G$4*(1+$M$4)^C2</f>
        <v>26044652.418749999</v>
      </c>
      <c r="D4" s="87">
        <f>$G$4*(1+$M$4)^D2</f>
        <v>24804430.875000004</v>
      </c>
      <c r="E4" s="87">
        <f>$G$4*(1+$M$4)^E2</f>
        <v>23623267.5</v>
      </c>
      <c r="F4" s="87">
        <f>$G$4*(1+$M$4)^F2</f>
        <v>22498350</v>
      </c>
      <c r="G4" s="87">
        <v>21427000</v>
      </c>
      <c r="H4" s="87">
        <v>22511000</v>
      </c>
      <c r="I4" s="87">
        <v>21234000</v>
      </c>
      <c r="J4" s="87">
        <v>18435000</v>
      </c>
      <c r="L4" s="85" t="s">
        <v>140</v>
      </c>
      <c r="M4" s="86">
        <v>0.05</v>
      </c>
    </row>
    <row r="5" spans="1:13" x14ac:dyDescent="0.2">
      <c r="A5" t="s">
        <v>134</v>
      </c>
      <c r="B5" s="1"/>
      <c r="C5" s="1"/>
      <c r="D5" s="1"/>
      <c r="E5" s="1"/>
      <c r="F5" s="1"/>
      <c r="G5" s="1"/>
      <c r="H5" s="6">
        <f>(G4-H4)/H4</f>
        <v>-4.8154235706987694E-2</v>
      </c>
      <c r="I5" s="6">
        <f>(H4-I4)/I4</f>
        <v>6.0139399076952059E-2</v>
      </c>
      <c r="J5" s="6">
        <f>(I4-J4)/J4</f>
        <v>0.1518307567127746</v>
      </c>
    </row>
    <row r="6" spans="1:13" x14ac:dyDescent="0.2">
      <c r="A6" t="s">
        <v>8</v>
      </c>
      <c r="B6" s="1"/>
      <c r="C6" s="1"/>
      <c r="D6" s="1"/>
      <c r="E6" s="1"/>
      <c r="F6" s="1"/>
      <c r="G6" s="1">
        <v>21427000</v>
      </c>
      <c r="H6" s="1">
        <v>22511000</v>
      </c>
      <c r="I6" s="1">
        <v>21234000</v>
      </c>
      <c r="J6" s="1">
        <v>18435000</v>
      </c>
    </row>
    <row r="7" spans="1:13" x14ac:dyDescent="0.2">
      <c r="A7" t="s">
        <v>9</v>
      </c>
      <c r="B7" s="1"/>
      <c r="C7" s="1"/>
      <c r="D7" s="1"/>
      <c r="E7" s="1"/>
      <c r="F7" s="1"/>
      <c r="G7" s="1">
        <v>11244000</v>
      </c>
      <c r="H7" s="1">
        <v>11867000</v>
      </c>
      <c r="I7" s="1">
        <v>10469000</v>
      </c>
      <c r="J7" s="1">
        <v>9213000</v>
      </c>
    </row>
    <row r="8" spans="1:13" x14ac:dyDescent="0.2">
      <c r="A8" t="s">
        <v>10</v>
      </c>
      <c r="B8" s="1"/>
      <c r="C8" s="1"/>
      <c r="D8" s="1"/>
      <c r="E8" s="1"/>
      <c r="F8" s="1"/>
      <c r="G8" s="1">
        <v>10183000</v>
      </c>
      <c r="H8" s="1">
        <v>10644000</v>
      </c>
      <c r="I8" s="1">
        <v>10765000</v>
      </c>
      <c r="J8" s="1">
        <v>9222000</v>
      </c>
    </row>
    <row r="9" spans="1:13" x14ac:dyDescent="0.2">
      <c r="A9" t="s">
        <v>11</v>
      </c>
      <c r="B9" s="1"/>
      <c r="C9" s="1"/>
      <c r="D9" s="1"/>
      <c r="E9" s="1"/>
      <c r="F9" s="1"/>
      <c r="G9" s="1">
        <v>9904000</v>
      </c>
      <c r="H9" s="1">
        <v>9915000</v>
      </c>
      <c r="I9" s="1">
        <v>8776000</v>
      </c>
      <c r="J9" s="1">
        <v>8369000</v>
      </c>
    </row>
    <row r="10" spans="1:13" x14ac:dyDescent="0.2">
      <c r="A10" t="s">
        <v>12</v>
      </c>
      <c r="B10" s="1"/>
      <c r="C10" s="1"/>
      <c r="D10" s="1"/>
      <c r="E10" s="1"/>
      <c r="F10" s="1"/>
      <c r="G10" s="1">
        <v>9914000</v>
      </c>
      <c r="H10" s="1">
        <v>10015000</v>
      </c>
      <c r="I10" s="1">
        <v>8810000</v>
      </c>
      <c r="J10" s="1">
        <v>8353000</v>
      </c>
    </row>
    <row r="11" spans="1:13" x14ac:dyDescent="0.2">
      <c r="A11" t="s">
        <v>113</v>
      </c>
      <c r="B11" s="1"/>
      <c r="C11" s="1"/>
      <c r="D11" s="1"/>
      <c r="E11" s="1"/>
      <c r="F11" s="1"/>
      <c r="G11" s="1">
        <v>1839000</v>
      </c>
      <c r="H11" s="1">
        <v>1651000</v>
      </c>
      <c r="I11" s="1">
        <v>1481000</v>
      </c>
      <c r="J11" s="1">
        <v>1379000</v>
      </c>
    </row>
    <row r="12" spans="1:13" x14ac:dyDescent="0.2">
      <c r="A12" t="s">
        <v>13</v>
      </c>
      <c r="B12" s="1"/>
      <c r="C12" s="1"/>
      <c r="D12" s="1"/>
      <c r="E12" s="1"/>
      <c r="F12" s="1"/>
      <c r="G12" s="1">
        <v>8075000</v>
      </c>
      <c r="H12" s="1">
        <v>8364000</v>
      </c>
      <c r="I12" s="1">
        <v>7329000</v>
      </c>
      <c r="J12" s="1">
        <v>6974000</v>
      </c>
    </row>
    <row r="13" spans="1:13" x14ac:dyDescent="0.2">
      <c r="A13" t="s">
        <v>14</v>
      </c>
      <c r="B13" s="1"/>
      <c r="C13" s="1"/>
      <c r="D13" s="1"/>
      <c r="E13" s="1"/>
      <c r="F13" s="1"/>
      <c r="G13" s="1">
        <v>130000</v>
      </c>
      <c r="H13" s="1">
        <v>175000</v>
      </c>
      <c r="I13" s="1">
        <v>62000</v>
      </c>
      <c r="J13" s="1">
        <v>98000</v>
      </c>
    </row>
    <row r="14" spans="1:13" x14ac:dyDescent="0.2">
      <c r="A14" t="s">
        <v>15</v>
      </c>
      <c r="B14" s="1"/>
      <c r="C14" s="1"/>
      <c r="D14" s="1"/>
      <c r="E14" s="1"/>
      <c r="F14" s="1"/>
      <c r="G14" s="1">
        <v>279000</v>
      </c>
      <c r="H14" s="1">
        <v>729000</v>
      </c>
      <c r="I14" s="1">
        <v>1989000</v>
      </c>
      <c r="J14" s="1">
        <v>853000</v>
      </c>
    </row>
    <row r="15" spans="1:13" x14ac:dyDescent="0.2">
      <c r="A15" t="s">
        <v>16</v>
      </c>
      <c r="B15" s="1"/>
      <c r="C15" s="1"/>
      <c r="D15" s="1"/>
      <c r="E15" s="1"/>
      <c r="F15" s="1"/>
      <c r="G15" s="1">
        <v>-83000</v>
      </c>
      <c r="H15" s="1">
        <v>-115000</v>
      </c>
      <c r="I15" s="1">
        <v>-96000</v>
      </c>
      <c r="J15" s="1">
        <v>-212000</v>
      </c>
    </row>
    <row r="16" spans="1:13" x14ac:dyDescent="0.2">
      <c r="A16" t="s">
        <v>17</v>
      </c>
      <c r="B16" s="1"/>
      <c r="C16" s="1"/>
      <c r="D16" s="1"/>
      <c r="E16" s="1"/>
      <c r="F16" s="1"/>
      <c r="G16" s="1">
        <v>39000</v>
      </c>
      <c r="H16" s="1">
        <v>23000</v>
      </c>
      <c r="I16" s="1">
        <v>12000</v>
      </c>
      <c r="J16" s="1">
        <v>25000</v>
      </c>
    </row>
    <row r="17" spans="1:10" x14ac:dyDescent="0.2">
      <c r="A17" t="s">
        <v>18</v>
      </c>
      <c r="B17" s="1"/>
      <c r="C17" s="1"/>
      <c r="D17" s="1"/>
      <c r="E17" s="1"/>
      <c r="F17" s="1"/>
      <c r="G17" s="1">
        <v>160000</v>
      </c>
      <c r="H17" s="1">
        <v>137000</v>
      </c>
      <c r="I17" s="1">
        <v>111000</v>
      </c>
      <c r="J17" s="1">
        <v>238000</v>
      </c>
    </row>
    <row r="18" spans="1:10" x14ac:dyDescent="0.2">
      <c r="A18" t="s">
        <v>19</v>
      </c>
      <c r="B18" s="1"/>
      <c r="C18" s="1"/>
      <c r="D18" s="1"/>
      <c r="E18" s="1"/>
      <c r="F18" s="1"/>
      <c r="G18" s="1">
        <v>-38000</v>
      </c>
      <c r="H18" s="1">
        <v>1000</v>
      </c>
      <c r="I18" s="1">
        <v>-3000</v>
      </c>
      <c r="J18" s="1">
        <v>-1000</v>
      </c>
    </row>
    <row r="19" spans="1:10" x14ac:dyDescent="0.2">
      <c r="A19" t="s">
        <v>20</v>
      </c>
      <c r="B19" s="1"/>
      <c r="C19" s="1"/>
      <c r="D19" s="1"/>
      <c r="E19" s="1"/>
      <c r="F19" s="1"/>
      <c r="G19" s="1">
        <v>65000</v>
      </c>
      <c r="H19" s="1">
        <v>388000</v>
      </c>
      <c r="I19" s="1">
        <v>1852000</v>
      </c>
      <c r="J19" s="1">
        <v>578000</v>
      </c>
    </row>
    <row r="20" spans="1:10" x14ac:dyDescent="0.2">
      <c r="A20" s="85" t="s">
        <v>145</v>
      </c>
      <c r="B20" s="117">
        <v>0.27400000000000002</v>
      </c>
      <c r="C20" s="117">
        <v>0.27400000000000002</v>
      </c>
      <c r="D20" s="117">
        <v>0.27400000000000002</v>
      </c>
      <c r="E20" s="117">
        <v>0.27400000000000002</v>
      </c>
      <c r="F20" s="117">
        <v>0.27400000000000002</v>
      </c>
      <c r="G20" s="117">
        <v>0.27400000000000002</v>
      </c>
      <c r="H20" s="117">
        <v>0.27400000000000002</v>
      </c>
      <c r="I20" s="117">
        <v>0.27400000000000002</v>
      </c>
      <c r="J20" s="117">
        <v>0.27400000000000002</v>
      </c>
    </row>
    <row r="21" spans="1:10" x14ac:dyDescent="0.2">
      <c r="A21" t="s">
        <v>21</v>
      </c>
      <c r="B21" s="1"/>
      <c r="C21" s="1"/>
      <c r="D21" s="1"/>
      <c r="E21" s="1"/>
      <c r="F21" s="1"/>
      <c r="G21" s="1">
        <v>124000</v>
      </c>
      <c r="H21" s="1">
        <v>134000</v>
      </c>
      <c r="I21" s="1">
        <v>360000</v>
      </c>
      <c r="J21" s="1">
        <v>117000</v>
      </c>
    </row>
    <row r="22" spans="1:10" x14ac:dyDescent="0.2">
      <c r="A22" t="s">
        <v>22</v>
      </c>
      <c r="B22" s="1"/>
      <c r="C22" s="1"/>
      <c r="D22" s="1"/>
      <c r="E22" s="1"/>
      <c r="F22" s="1"/>
      <c r="G22" s="1">
        <v>-75000</v>
      </c>
      <c r="H22" s="1">
        <v>612000</v>
      </c>
      <c r="I22" s="1">
        <v>2116000</v>
      </c>
      <c r="J22" s="1">
        <v>432000</v>
      </c>
    </row>
    <row r="23" spans="1:10" x14ac:dyDescent="0.2">
      <c r="A23" t="s">
        <v>23</v>
      </c>
      <c r="B23" s="1"/>
      <c r="C23" s="1"/>
      <c r="D23" s="1"/>
      <c r="E23" s="1"/>
      <c r="F23" s="1"/>
      <c r="G23" s="1">
        <v>-75000</v>
      </c>
      <c r="H23" s="1">
        <v>612000</v>
      </c>
      <c r="I23" s="1">
        <v>2116000</v>
      </c>
      <c r="J23" s="1">
        <v>432000</v>
      </c>
    </row>
    <row r="24" spans="1:10" x14ac:dyDescent="0.2">
      <c r="A24" t="s">
        <v>24</v>
      </c>
      <c r="B24" s="1"/>
      <c r="C24" s="1"/>
      <c r="D24" s="1"/>
      <c r="E24" s="1"/>
      <c r="F24" s="1"/>
      <c r="G24" s="1">
        <v>-14000</v>
      </c>
      <c r="H24" s="1">
        <v>638000</v>
      </c>
      <c r="I24" s="1">
        <v>2158000</v>
      </c>
      <c r="J24" s="1">
        <v>443000</v>
      </c>
    </row>
    <row r="25" spans="1:10" x14ac:dyDescent="0.2">
      <c r="A25" t="s">
        <v>114</v>
      </c>
      <c r="B25" s="1"/>
      <c r="C25" s="1"/>
      <c r="D25" s="1"/>
      <c r="E25" s="1"/>
      <c r="F25" s="1"/>
      <c r="G25" s="1">
        <v>-58000</v>
      </c>
      <c r="H25" s="1">
        <v>254000</v>
      </c>
      <c r="I25" s="1">
        <v>1492000</v>
      </c>
      <c r="J25" s="1">
        <v>461000</v>
      </c>
    </row>
    <row r="26" spans="1:10" x14ac:dyDescent="0.2">
      <c r="A26" t="s">
        <v>115</v>
      </c>
      <c r="B26" s="1"/>
      <c r="C26" s="1"/>
      <c r="D26" s="1"/>
      <c r="E26" s="1"/>
      <c r="F26" s="1"/>
      <c r="G26" s="1">
        <v>44000</v>
      </c>
      <c r="H26" s="1">
        <v>384000</v>
      </c>
      <c r="I26" s="1">
        <v>666000</v>
      </c>
      <c r="J26" s="1">
        <v>-19000</v>
      </c>
    </row>
    <row r="27" spans="1:10" x14ac:dyDescent="0.2">
      <c r="A27" t="s">
        <v>25</v>
      </c>
      <c r="B27" s="1"/>
      <c r="C27" s="1"/>
      <c r="D27" s="1"/>
      <c r="E27" s="1"/>
      <c r="F27" s="1"/>
      <c r="G27" s="1">
        <v>-61000</v>
      </c>
      <c r="H27" s="1">
        <v>-26000</v>
      </c>
      <c r="I27" s="1">
        <v>-42000</v>
      </c>
      <c r="J27" s="1">
        <v>-11000</v>
      </c>
    </row>
    <row r="28" spans="1:10" x14ac:dyDescent="0.2">
      <c r="A28" t="s">
        <v>26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27</v>
      </c>
      <c r="B29" s="1"/>
      <c r="C29" s="1"/>
      <c r="D29" s="1"/>
      <c r="E29" s="1"/>
      <c r="F29" s="1"/>
      <c r="G29" s="1">
        <v>-75000</v>
      </c>
      <c r="H29" s="1">
        <v>612000</v>
      </c>
      <c r="I29" s="1">
        <v>2116000</v>
      </c>
      <c r="J29" s="1">
        <v>432000</v>
      </c>
    </row>
    <row r="30" spans="1:10" x14ac:dyDescent="0.2">
      <c r="A30" t="s">
        <v>28</v>
      </c>
      <c r="H30">
        <v>1.67</v>
      </c>
      <c r="I30">
        <v>5.45</v>
      </c>
      <c r="J30">
        <v>1.1000000000000001</v>
      </c>
    </row>
    <row r="31" spans="1:10" x14ac:dyDescent="0.2">
      <c r="A31" t="s">
        <v>29</v>
      </c>
      <c r="H31">
        <v>1.67</v>
      </c>
      <c r="I31">
        <v>5.45</v>
      </c>
      <c r="J31">
        <v>1.1000000000000001</v>
      </c>
    </row>
    <row r="32" spans="1:10" x14ac:dyDescent="0.2">
      <c r="A32" t="s">
        <v>30</v>
      </c>
      <c r="B32" s="1"/>
      <c r="C32" s="1"/>
      <c r="D32" s="1"/>
      <c r="E32" s="1"/>
      <c r="F32" s="1"/>
      <c r="H32" s="1">
        <v>366527</v>
      </c>
      <c r="I32" s="1">
        <v>388346</v>
      </c>
      <c r="J32" s="1">
        <v>390312</v>
      </c>
    </row>
    <row r="33" spans="1:13" x14ac:dyDescent="0.2">
      <c r="A33" t="s">
        <v>31</v>
      </c>
      <c r="B33" s="1"/>
      <c r="C33" s="1"/>
      <c r="D33" s="1"/>
      <c r="E33" s="1"/>
      <c r="F33" s="1"/>
      <c r="H33" s="1">
        <v>366536</v>
      </c>
      <c r="I33" s="1">
        <v>388356</v>
      </c>
      <c r="J33" s="1">
        <v>390323</v>
      </c>
    </row>
    <row r="34" spans="1:13" x14ac:dyDescent="0.2">
      <c r="A34" t="s">
        <v>116</v>
      </c>
      <c r="B34" s="1"/>
      <c r="C34" s="1"/>
      <c r="D34" s="1"/>
      <c r="E34" s="1"/>
      <c r="F34" s="1"/>
      <c r="G34" s="1">
        <v>268000</v>
      </c>
      <c r="H34" s="1">
        <v>669000</v>
      </c>
      <c r="I34" s="1">
        <v>1986000</v>
      </c>
      <c r="J34" s="1">
        <v>746000</v>
      </c>
    </row>
    <row r="35" spans="1:13" x14ac:dyDescent="0.2">
      <c r="A35" t="s">
        <v>117</v>
      </c>
      <c r="B35" s="1"/>
      <c r="C35" s="1"/>
      <c r="D35" s="1"/>
      <c r="E35" s="1"/>
      <c r="F35" s="1"/>
      <c r="G35" s="1">
        <v>142000</v>
      </c>
      <c r="H35" s="1">
        <v>132000</v>
      </c>
    </row>
    <row r="36" spans="1:13" x14ac:dyDescent="0.2">
      <c r="A36" t="s">
        <v>118</v>
      </c>
      <c r="B36" s="1"/>
      <c r="C36" s="1"/>
      <c r="D36" s="1"/>
      <c r="E36" s="1"/>
      <c r="F36" s="1"/>
      <c r="G36" s="1">
        <v>21148000</v>
      </c>
      <c r="H36" s="1">
        <v>21782000</v>
      </c>
      <c r="I36" s="1">
        <v>19245000</v>
      </c>
      <c r="J36" s="1">
        <v>17582000</v>
      </c>
    </row>
    <row r="37" spans="1:13" x14ac:dyDescent="0.2">
      <c r="A37" t="s">
        <v>119</v>
      </c>
      <c r="B37" s="1"/>
      <c r="C37" s="1"/>
      <c r="D37" s="1"/>
      <c r="E37" s="1"/>
      <c r="F37" s="1"/>
      <c r="G37" s="1">
        <v>-75000</v>
      </c>
      <c r="H37" s="1">
        <v>612000</v>
      </c>
      <c r="I37" s="1">
        <v>2116000</v>
      </c>
      <c r="J37" s="1">
        <v>432000</v>
      </c>
    </row>
    <row r="38" spans="1:13" x14ac:dyDescent="0.2">
      <c r="A38" t="s">
        <v>120</v>
      </c>
      <c r="B38" s="1"/>
      <c r="C38" s="1"/>
      <c r="D38" s="1"/>
      <c r="E38" s="1"/>
      <c r="F38" s="1"/>
      <c r="G38" s="1">
        <v>-108800</v>
      </c>
      <c r="H38" s="1">
        <v>267300</v>
      </c>
      <c r="I38" s="1">
        <v>1450806</v>
      </c>
      <c r="J38" s="1">
        <v>537184</v>
      </c>
    </row>
    <row r="39" spans="1:13" x14ac:dyDescent="0.2">
      <c r="A39" t="s">
        <v>121</v>
      </c>
      <c r="B39" s="1"/>
      <c r="C39" s="1"/>
      <c r="D39" s="1"/>
      <c r="E39" s="1"/>
      <c r="F39" s="1"/>
      <c r="G39" s="1">
        <v>39000</v>
      </c>
      <c r="H39" s="1">
        <v>23000</v>
      </c>
      <c r="I39" s="1">
        <v>12000</v>
      </c>
      <c r="J39" s="1">
        <v>25000</v>
      </c>
    </row>
    <row r="40" spans="1:13" x14ac:dyDescent="0.2">
      <c r="A40" s="85" t="s">
        <v>122</v>
      </c>
      <c r="B40" s="87">
        <f>$G$42*$C$70</f>
        <v>137804.61371729369</v>
      </c>
      <c r="C40" s="87">
        <f>$G$42*$C$70</f>
        <v>137804.61371729369</v>
      </c>
      <c r="D40" s="87">
        <f>$G$42*$C$70</f>
        <v>137804.61371729369</v>
      </c>
      <c r="E40" s="87">
        <f>$G$42*$C$70</f>
        <v>137804.61371729369</v>
      </c>
      <c r="F40" s="87">
        <f>$G$42*$C$70</f>
        <v>137804.61371729369</v>
      </c>
      <c r="G40" s="87">
        <v>160000</v>
      </c>
      <c r="H40" s="87">
        <v>137000</v>
      </c>
      <c r="I40" s="87">
        <v>111000</v>
      </c>
      <c r="J40" s="87">
        <v>238000</v>
      </c>
      <c r="L40" t="s">
        <v>212</v>
      </c>
    </row>
    <row r="41" spans="1:13" x14ac:dyDescent="0.2">
      <c r="A41" t="s">
        <v>123</v>
      </c>
      <c r="B41" s="1"/>
      <c r="C41" s="1"/>
      <c r="D41" s="1"/>
      <c r="E41" s="1"/>
      <c r="F41" s="1"/>
      <c r="G41" s="1">
        <v>-83000</v>
      </c>
      <c r="H41" s="1">
        <v>-115000</v>
      </c>
      <c r="I41" s="1">
        <v>-96000</v>
      </c>
      <c r="J41" s="1">
        <v>-212000</v>
      </c>
    </row>
    <row r="42" spans="1:13" x14ac:dyDescent="0.2">
      <c r="A42" t="s">
        <v>108</v>
      </c>
      <c r="B42" s="1"/>
      <c r="C42" s="1"/>
      <c r="D42" s="1"/>
      <c r="E42" s="1"/>
      <c r="F42" s="1"/>
      <c r="G42" s="1">
        <v>5563000</v>
      </c>
      <c r="H42" s="1">
        <v>6459000</v>
      </c>
      <c r="I42" s="1">
        <v>5331000</v>
      </c>
      <c r="J42" s="1">
        <v>5890000</v>
      </c>
    </row>
    <row r="43" spans="1:13" x14ac:dyDescent="0.2">
      <c r="A43" s="85" t="s">
        <v>147</v>
      </c>
      <c r="B43" s="117">
        <f>$M$43</f>
        <v>-2.7310273120128986E-2</v>
      </c>
      <c r="C43" s="117">
        <f t="shared" ref="C43:E43" si="0">$M$43</f>
        <v>-2.7310273120128986E-2</v>
      </c>
      <c r="D43" s="117">
        <f t="shared" si="0"/>
        <v>-2.7310273120128986E-2</v>
      </c>
      <c r="E43" s="117">
        <f t="shared" si="0"/>
        <v>-2.7310273120128986E-2</v>
      </c>
      <c r="F43" s="117">
        <f>$M$43</f>
        <v>-2.7310273120128986E-2</v>
      </c>
      <c r="G43" s="117">
        <f>G44/G4</f>
        <v>-2.3521724926494611E-2</v>
      </c>
      <c r="H43" s="117">
        <f t="shared" ref="H43:J43" si="1">H44/H4</f>
        <v>-3.087379503353916E-2</v>
      </c>
      <c r="I43" s="117">
        <f t="shared" si="1"/>
        <v>-3.1411886596967128E-2</v>
      </c>
      <c r="J43" s="117">
        <f t="shared" si="1"/>
        <v>-2.3433685923515052E-2</v>
      </c>
      <c r="L43" t="s">
        <v>149</v>
      </c>
      <c r="M43" s="3">
        <f>AVERAGE(G43:J43)</f>
        <v>-2.7310273120128986E-2</v>
      </c>
    </row>
    <row r="44" spans="1:13" x14ac:dyDescent="0.2">
      <c r="A44" s="85" t="s">
        <v>146</v>
      </c>
      <c r="B44" s="87">
        <f>(1+(B4*B43)/C4)*C44</f>
        <v>-435764.26347820915</v>
      </c>
      <c r="C44" s="87">
        <f t="shared" ref="C44:D44" si="2">(1+(C4*C43)/D4)*D44</f>
        <v>-448629.05458918796</v>
      </c>
      <c r="D44" s="87">
        <f t="shared" si="2"/>
        <v>-461873.64474336524</v>
      </c>
      <c r="E44" s="87">
        <f>(1+(E4*E43)/F4)*F44</f>
        <v>-475509.2465062596</v>
      </c>
      <c r="F44" s="87">
        <f t="shared" ref="F44" si="3">(1+(F4*F43)/G4)*G44</f>
        <v>-489547.40346482774</v>
      </c>
      <c r="G44" s="87">
        <v>-504000</v>
      </c>
      <c r="H44" s="87">
        <v>-695000</v>
      </c>
      <c r="I44" s="87">
        <v>-667000</v>
      </c>
      <c r="J44" s="87">
        <v>-432000</v>
      </c>
    </row>
    <row r="45" spans="1:13" x14ac:dyDescent="0.2">
      <c r="A45" s="85" t="s">
        <v>150</v>
      </c>
      <c r="B45" s="87">
        <f t="shared" ref="B45:D45" si="4">C45</f>
        <v>1375750</v>
      </c>
      <c r="C45" s="87">
        <f t="shared" si="4"/>
        <v>1375750</v>
      </c>
      <c r="D45" s="87">
        <f t="shared" si="4"/>
        <v>1375750</v>
      </c>
      <c r="E45" s="87">
        <f>F45</f>
        <v>1375750</v>
      </c>
      <c r="F45" s="87">
        <f>G45-($J$45-$G$45)/4</f>
        <v>1375750</v>
      </c>
      <c r="G45" s="87">
        <v>1766000</v>
      </c>
      <c r="H45" s="87">
        <v>2475000</v>
      </c>
      <c r="I45" s="87">
        <v>4979000</v>
      </c>
      <c r="J45" s="87">
        <v>3327000</v>
      </c>
    </row>
    <row r="46" spans="1:13" x14ac:dyDescent="0.2">
      <c r="A46" s="85" t="s">
        <v>151</v>
      </c>
      <c r="B46" s="117">
        <f t="shared" ref="B46:E46" si="5">B45/B4</f>
        <v>5.0307374971717105E-2</v>
      </c>
      <c r="C46" s="117">
        <f t="shared" si="5"/>
        <v>5.2822743720302968E-2</v>
      </c>
      <c r="D46" s="117">
        <f t="shared" si="5"/>
        <v>5.5463880906318104E-2</v>
      </c>
      <c r="E46" s="117">
        <f t="shared" si="5"/>
        <v>5.8237074951634021E-2</v>
      </c>
      <c r="F46" s="117">
        <f>F45/F4</f>
        <v>6.1148928699215718E-2</v>
      </c>
      <c r="G46" s="117">
        <f>G45/G4</f>
        <v>8.2419377421010881E-2</v>
      </c>
      <c r="H46" s="117">
        <f t="shared" ref="H46:J46" si="6">H45/H4</f>
        <v>0.10994624850073298</v>
      </c>
      <c r="I46" s="117">
        <f t="shared" si="6"/>
        <v>0.23448243383253273</v>
      </c>
      <c r="J46" s="117">
        <f t="shared" si="6"/>
        <v>0.1804719283970708</v>
      </c>
      <c r="M46" s="3"/>
    </row>
    <row r="47" spans="1:13" x14ac:dyDescent="0.2">
      <c r="A47" t="s">
        <v>152</v>
      </c>
      <c r="B47" s="1">
        <f>B45-C45</f>
        <v>0</v>
      </c>
      <c r="C47" s="1">
        <f t="shared" ref="C47:I47" si="7">C45-D45</f>
        <v>0</v>
      </c>
      <c r="D47" s="1">
        <f t="shared" si="7"/>
        <v>0</v>
      </c>
      <c r="E47" s="1">
        <f t="shared" si="7"/>
        <v>0</v>
      </c>
      <c r="F47" s="1">
        <f t="shared" si="7"/>
        <v>-390250</v>
      </c>
      <c r="G47" s="1">
        <f t="shared" si="7"/>
        <v>-709000</v>
      </c>
      <c r="H47" s="1">
        <f t="shared" si="7"/>
        <v>-2504000</v>
      </c>
      <c r="I47" s="1">
        <f t="shared" si="7"/>
        <v>1652000</v>
      </c>
      <c r="J47" s="8">
        <f>J45-(1000*'Previous Statements'!B27)</f>
        <v>-680000</v>
      </c>
      <c r="M47" s="3"/>
    </row>
    <row r="48" spans="1:13" x14ac:dyDescent="0.2">
      <c r="A48" s="85" t="s">
        <v>144</v>
      </c>
      <c r="B48" s="87">
        <f t="shared" ref="B48:J48" si="8">B49*(1-B20)</f>
        <v>1187947.4566757046</v>
      </c>
      <c r="C48" s="87">
        <f t="shared" si="8"/>
        <v>956251.24533066677</v>
      </c>
      <c r="D48" s="87">
        <f t="shared" si="8"/>
        <v>743764.50676465651</v>
      </c>
      <c r="E48" s="87">
        <f t="shared" si="8"/>
        <v>549192.82646551961</v>
      </c>
      <c r="F48" s="87">
        <f t="shared" si="8"/>
        <v>371320.93508591363</v>
      </c>
      <c r="G48" s="87">
        <f t="shared" si="8"/>
        <v>163350</v>
      </c>
      <c r="H48" s="87">
        <f t="shared" si="8"/>
        <v>381150</v>
      </c>
      <c r="I48" s="87">
        <f t="shared" si="8"/>
        <v>1425138</v>
      </c>
      <c r="J48" s="87">
        <f t="shared" si="8"/>
        <v>592416</v>
      </c>
    </row>
    <row r="49" spans="1:13" x14ac:dyDescent="0.2">
      <c r="A49" s="85" t="s">
        <v>124</v>
      </c>
      <c r="B49" s="87">
        <f>B51-B54</f>
        <v>1636291.2626387116</v>
      </c>
      <c r="C49" s="87">
        <f t="shared" ref="C49:F49" si="9">C51-C54</f>
        <v>1317150.4756620754</v>
      </c>
      <c r="D49" s="87">
        <f t="shared" si="9"/>
        <v>1024469.0175821716</v>
      </c>
      <c r="E49" s="87">
        <f t="shared" si="9"/>
        <v>756463.94829961378</v>
      </c>
      <c r="F49" s="87">
        <f t="shared" si="9"/>
        <v>511461.34309354494</v>
      </c>
      <c r="G49" s="87">
        <v>225000</v>
      </c>
      <c r="H49" s="87">
        <v>525000</v>
      </c>
      <c r="I49" s="87">
        <v>1963000</v>
      </c>
      <c r="J49" s="87">
        <v>816000</v>
      </c>
    </row>
    <row r="50" spans="1:13" x14ac:dyDescent="0.2">
      <c r="A50" s="85" t="s">
        <v>141</v>
      </c>
      <c r="B50" s="87"/>
      <c r="C50" s="87"/>
      <c r="D50" s="87"/>
      <c r="E50" s="87"/>
      <c r="F50" s="87"/>
      <c r="G50" s="118">
        <f>G49/G4</f>
        <v>1.0500770056470808E-2</v>
      </c>
      <c r="H50" s="118">
        <f>H49/H4</f>
        <v>2.332193150015548E-2</v>
      </c>
      <c r="I50" s="118">
        <f>I49/I4</f>
        <v>9.2446077046246591E-2</v>
      </c>
      <c r="J50" s="118">
        <f>J49/J4</f>
        <v>4.4263628966639545E-2</v>
      </c>
    </row>
    <row r="51" spans="1:13" x14ac:dyDescent="0.2">
      <c r="A51" s="85" t="s">
        <v>125</v>
      </c>
      <c r="B51" s="87">
        <f>B52*B4</f>
        <v>3281626.2047625002</v>
      </c>
      <c r="C51" s="87">
        <f>C52*C4</f>
        <v>2864911.7660625</v>
      </c>
      <c r="D51" s="87">
        <f>D52*D4</f>
        <v>2480443.0875000004</v>
      </c>
      <c r="E51" s="87">
        <f>E52*E4</f>
        <v>2126094.0749999997</v>
      </c>
      <c r="F51" s="87">
        <f>F52*F4</f>
        <v>1799868</v>
      </c>
      <c r="G51" s="87">
        <v>1437000</v>
      </c>
      <c r="H51" s="87">
        <v>1900000</v>
      </c>
      <c r="I51" s="87">
        <v>3112000</v>
      </c>
      <c r="J51" s="87">
        <v>2077000</v>
      </c>
    </row>
    <row r="52" spans="1:13" x14ac:dyDescent="0.2">
      <c r="A52" s="85" t="s">
        <v>135</v>
      </c>
      <c r="B52" s="119">
        <v>0.12</v>
      </c>
      <c r="C52" s="119">
        <f>11%</f>
        <v>0.11</v>
      </c>
      <c r="D52" s="119">
        <f>10%</f>
        <v>0.1</v>
      </c>
      <c r="E52" s="119">
        <f>9%</f>
        <v>0.09</v>
      </c>
      <c r="F52" s="119">
        <f>8%</f>
        <v>0.08</v>
      </c>
      <c r="G52" s="118">
        <f>G51/G4</f>
        <v>6.7064918093993564E-2</v>
      </c>
      <c r="H52" s="118">
        <f>H51/H4</f>
        <v>8.4403180667229349E-2</v>
      </c>
      <c r="I52" s="118">
        <f>I51/I4</f>
        <v>0.1465574079306772</v>
      </c>
      <c r="J52" s="118">
        <f>J51/J4</f>
        <v>0.11266612422023325</v>
      </c>
      <c r="L52" t="s">
        <v>264</v>
      </c>
      <c r="M52" s="3"/>
    </row>
    <row r="53" spans="1:13" x14ac:dyDescent="0.2">
      <c r="A53" s="85" t="s">
        <v>126</v>
      </c>
      <c r="B53" s="87"/>
      <c r="C53" s="87"/>
      <c r="D53" s="87"/>
      <c r="E53" s="87"/>
      <c r="F53" s="87"/>
      <c r="G53" s="87">
        <v>11244000</v>
      </c>
      <c r="H53" s="87">
        <v>11867000</v>
      </c>
      <c r="I53" s="87">
        <v>10469000</v>
      </c>
      <c r="J53" s="87">
        <v>9213000</v>
      </c>
      <c r="L53" t="s">
        <v>142</v>
      </c>
      <c r="M53" s="3"/>
    </row>
    <row r="54" spans="1:13" x14ac:dyDescent="0.2">
      <c r="A54" s="85" t="s">
        <v>127</v>
      </c>
      <c r="B54" s="87">
        <f>(1+(B4*B55)/C4)*C54</f>
        <v>1645334.9421237886</v>
      </c>
      <c r="C54" s="87">
        <f t="shared" ref="C54:D54" si="10">(1+(C4*C55)/D4)*D54</f>
        <v>1547761.2904004245</v>
      </c>
      <c r="D54" s="87">
        <f t="shared" si="10"/>
        <v>1455974.0699178288</v>
      </c>
      <c r="E54" s="87">
        <f>(1+(E4*E55)/F4)*F54</f>
        <v>1369630.1267003859</v>
      </c>
      <c r="F54" s="87">
        <f>(1+(F4*F55)/G4)*G54</f>
        <v>1288406.6569064551</v>
      </c>
      <c r="G54" s="87">
        <v>1212000</v>
      </c>
      <c r="H54" s="87">
        <v>1375000</v>
      </c>
      <c r="I54" s="87">
        <v>1149000</v>
      </c>
      <c r="J54" s="87">
        <v>1261000</v>
      </c>
      <c r="L54" s="3">
        <f>AVERAGE(G55:J55)</f>
        <v>6.0039805835655241E-2</v>
      </c>
    </row>
    <row r="55" spans="1:13" x14ac:dyDescent="0.2">
      <c r="A55" s="85" t="s">
        <v>143</v>
      </c>
      <c r="B55" s="117">
        <f>$L$54</f>
        <v>6.0039805835655241E-2</v>
      </c>
      <c r="C55" s="117">
        <f t="shared" ref="C55:E55" si="11">$L$54</f>
        <v>6.0039805835655241E-2</v>
      </c>
      <c r="D55" s="117">
        <f t="shared" si="11"/>
        <v>6.0039805835655241E-2</v>
      </c>
      <c r="E55" s="117">
        <f t="shared" si="11"/>
        <v>6.0039805835655241E-2</v>
      </c>
      <c r="F55" s="117">
        <f>$L$54</f>
        <v>6.0039805835655241E-2</v>
      </c>
      <c r="G55" s="117">
        <f>G54/G4</f>
        <v>5.656414803752275E-2</v>
      </c>
      <c r="H55" s="117">
        <f>H54/H4</f>
        <v>6.1081249167073873E-2</v>
      </c>
      <c r="I55" s="117">
        <f>I54/I4</f>
        <v>5.4111330884430632E-2</v>
      </c>
      <c r="J55" s="117">
        <f>J54/J4</f>
        <v>6.8402495253593709E-2</v>
      </c>
    </row>
    <row r="56" spans="1:13" x14ac:dyDescent="0.2">
      <c r="A56" t="s">
        <v>128</v>
      </c>
      <c r="B56" s="1"/>
      <c r="C56" s="1"/>
      <c r="D56" s="1"/>
      <c r="E56" s="1"/>
      <c r="F56" s="1"/>
      <c r="G56" s="1">
        <v>-119000</v>
      </c>
      <c r="H56" s="1">
        <v>228000</v>
      </c>
      <c r="I56" s="1">
        <v>1450000</v>
      </c>
      <c r="J56" s="1">
        <v>451000</v>
      </c>
    </row>
    <row r="57" spans="1:13" x14ac:dyDescent="0.2">
      <c r="A57" t="s">
        <v>129</v>
      </c>
      <c r="B57" s="1"/>
      <c r="C57" s="1"/>
      <c r="D57" s="1"/>
      <c r="E57" s="1"/>
      <c r="F57" s="1"/>
      <c r="G57" s="1">
        <v>-12000</v>
      </c>
      <c r="H57" s="1">
        <v>-60000</v>
      </c>
      <c r="I57" s="1">
        <v>-1000</v>
      </c>
      <c r="J57" s="1">
        <v>-108000</v>
      </c>
      <c r="L57" t="s">
        <v>250</v>
      </c>
      <c r="M57" s="6">
        <f>G40/'Balance Sheet'!C63</f>
        <v>2.4771636476234711E-2</v>
      </c>
    </row>
    <row r="58" spans="1:13" x14ac:dyDescent="0.2">
      <c r="A58" t="s">
        <v>130</v>
      </c>
      <c r="B58" s="1"/>
      <c r="C58" s="1"/>
      <c r="D58" s="1"/>
      <c r="E58" s="1"/>
      <c r="F58" s="1"/>
      <c r="G58" s="1">
        <v>-12000</v>
      </c>
      <c r="H58" s="1">
        <v>-60000</v>
      </c>
      <c r="I58" s="1">
        <v>-1000</v>
      </c>
      <c r="J58" s="1">
        <v>-108000</v>
      </c>
    </row>
    <row r="59" spans="1:13" x14ac:dyDescent="0.2">
      <c r="A59" t="s">
        <v>131</v>
      </c>
      <c r="B59" s="1"/>
      <c r="C59" s="1"/>
      <c r="D59" s="1"/>
      <c r="E59" s="1"/>
      <c r="F59" s="1"/>
      <c r="G59" s="1">
        <v>1449000</v>
      </c>
      <c r="H59" s="1">
        <v>1960000</v>
      </c>
      <c r="I59" s="1">
        <v>3113000</v>
      </c>
      <c r="J59" s="1">
        <v>2185000</v>
      </c>
    </row>
    <row r="60" spans="1:13" x14ac:dyDescent="0.2">
      <c r="A60" t="s">
        <v>132</v>
      </c>
      <c r="G60">
        <v>0</v>
      </c>
      <c r="H60">
        <v>0</v>
      </c>
      <c r="I60">
        <v>0</v>
      </c>
      <c r="J60">
        <v>0</v>
      </c>
    </row>
    <row r="61" spans="1:13" x14ac:dyDescent="0.2">
      <c r="A61" t="s">
        <v>133</v>
      </c>
      <c r="B61" s="1"/>
      <c r="C61" s="1"/>
      <c r="D61" s="1"/>
      <c r="E61" s="1"/>
      <c r="F61" s="1"/>
      <c r="G61" s="1">
        <v>-1800</v>
      </c>
      <c r="H61" s="1">
        <v>-20700</v>
      </c>
      <c r="I61">
        <v>-194</v>
      </c>
      <c r="J61" s="1">
        <v>-21816</v>
      </c>
    </row>
    <row r="62" spans="1:13" x14ac:dyDescent="0.2">
      <c r="A62" s="85" t="s">
        <v>153</v>
      </c>
      <c r="B62" s="87">
        <f>B48+B54+B44-B47</f>
        <v>2397518.1353212837</v>
      </c>
      <c r="C62" s="87">
        <f>C48+C54+C44-C47</f>
        <v>2055383.4811419032</v>
      </c>
      <c r="D62" s="87">
        <f>D48+D54+D44-D47</f>
        <v>1737864.9319391199</v>
      </c>
      <c r="E62" s="87">
        <f>E48+E54+E44-E47</f>
        <v>1443313.706659646</v>
      </c>
      <c r="F62" s="87">
        <f>F48+F54+F44-F47</f>
        <v>1560430.188527541</v>
      </c>
    </row>
    <row r="63" spans="1:13" x14ac:dyDescent="0.2">
      <c r="A63" t="s">
        <v>122</v>
      </c>
      <c r="B63" s="1">
        <f>B40</f>
        <v>137804.61371729369</v>
      </c>
      <c r="C63" s="1">
        <f>C40</f>
        <v>137804.61371729369</v>
      </c>
      <c r="D63" s="1">
        <f>D40</f>
        <v>137804.61371729369</v>
      </c>
      <c r="E63" s="1">
        <f>E40</f>
        <v>137804.61371729369</v>
      </c>
      <c r="F63" s="1">
        <f>F40</f>
        <v>137804.61371729369</v>
      </c>
    </row>
    <row r="64" spans="1:13" x14ac:dyDescent="0.2">
      <c r="A64" t="s">
        <v>213</v>
      </c>
      <c r="B64" s="17">
        <f>B62+B63*B20</f>
        <v>2435276.599479822</v>
      </c>
      <c r="C64" s="17">
        <f>C62+C63*C20</f>
        <v>2093141.9453004417</v>
      </c>
      <c r="D64" s="17">
        <f>D62+D63*D20</f>
        <v>1775623.3960976584</v>
      </c>
      <c r="E64" s="17">
        <f>E62+E63*E20</f>
        <v>1481072.1708181845</v>
      </c>
      <c r="F64" s="17">
        <f>F62+F63*F20</f>
        <v>1598188.6526860795</v>
      </c>
      <c r="G64" s="18"/>
      <c r="H64" s="18"/>
    </row>
    <row r="65" spans="1:11" x14ac:dyDescent="0.2">
      <c r="A65" s="85" t="s">
        <v>256</v>
      </c>
      <c r="B65" s="125">
        <f>B62*(1+F92)/(B85-F92)</f>
        <v>72953067.79210785</v>
      </c>
      <c r="C65" s="120">
        <f>B62/($B$98-$F$92)</f>
        <v>69479112.18295984</v>
      </c>
      <c r="D65" s="120">
        <f>C62/($B$98-$F$92)</f>
        <v>59564187.382517472</v>
      </c>
      <c r="E65" s="120">
        <f>D62/($B$98-$F$92)</f>
        <v>50362627.412972331</v>
      </c>
      <c r="F65" s="120">
        <f>E62/($B$98-$F$92)</f>
        <v>41826651.261918783</v>
      </c>
    </row>
    <row r="66" spans="1:11" x14ac:dyDescent="0.2">
      <c r="A66" s="89" t="s">
        <v>254</v>
      </c>
      <c r="B66" s="97">
        <f>SUM(B62:F62)</f>
        <v>9194510.4435894936</v>
      </c>
      <c r="D66" s="18"/>
      <c r="E66" s="18"/>
      <c r="F66" s="56"/>
    </row>
    <row r="67" spans="1:11" x14ac:dyDescent="0.2">
      <c r="C67" s="15"/>
      <c r="I67" s="122"/>
    </row>
    <row r="68" spans="1:11" x14ac:dyDescent="0.2">
      <c r="A68" s="89" t="s">
        <v>253</v>
      </c>
      <c r="B68" s="90">
        <f>5%</f>
        <v>0.05</v>
      </c>
    </row>
    <row r="69" spans="1:11" x14ac:dyDescent="0.2">
      <c r="A69" s="19"/>
    </row>
    <row r="70" spans="1:11" x14ac:dyDescent="0.2">
      <c r="A70" s="91" t="s">
        <v>214</v>
      </c>
      <c r="B70" s="3"/>
      <c r="C70" s="86">
        <f>M57</f>
        <v>2.4771636476234711E-2</v>
      </c>
    </row>
    <row r="71" spans="1:11" ht="16" thickBot="1" x14ac:dyDescent="0.25">
      <c r="A71" s="19"/>
      <c r="B71" s="3"/>
    </row>
    <row r="72" spans="1:11" x14ac:dyDescent="0.2">
      <c r="A72" s="92" t="s">
        <v>215</v>
      </c>
      <c r="B72" s="20"/>
      <c r="C72" s="21"/>
      <c r="D72" s="20">
        <v>5</v>
      </c>
      <c r="E72" s="20">
        <v>4</v>
      </c>
      <c r="F72" s="20">
        <v>3</v>
      </c>
      <c r="G72" s="20">
        <v>2</v>
      </c>
      <c r="H72" s="58">
        <v>1</v>
      </c>
      <c r="K72" s="122">
        <f>B66/(1+0.08)^5</f>
        <v>6257629.3128583683</v>
      </c>
    </row>
    <row r="73" spans="1:11" x14ac:dyDescent="0.2">
      <c r="A73" s="88" t="s">
        <v>153</v>
      </c>
      <c r="B73" s="59"/>
      <c r="C73" s="23"/>
      <c r="D73" s="87">
        <f>B62</f>
        <v>2397518.1353212837</v>
      </c>
      <c r="E73" s="87">
        <f>C62</f>
        <v>2055383.4811419032</v>
      </c>
      <c r="F73" s="87">
        <f>D62</f>
        <v>1737864.9319391199</v>
      </c>
      <c r="G73" s="87">
        <f>E62</f>
        <v>1443313.706659646</v>
      </c>
      <c r="H73" s="96">
        <f>F62</f>
        <v>1560430.188527541</v>
      </c>
    </row>
    <row r="74" spans="1:11" x14ac:dyDescent="0.2">
      <c r="A74" s="22" t="s">
        <v>216</v>
      </c>
      <c r="B74" s="59"/>
      <c r="C74" s="23"/>
      <c r="D74" s="23">
        <f>B63</f>
        <v>137804.61371729369</v>
      </c>
      <c r="E74" s="23">
        <f>C63</f>
        <v>137804.61371729369</v>
      </c>
      <c r="F74" s="23">
        <f>D63</f>
        <v>137804.61371729369</v>
      </c>
      <c r="G74" s="23">
        <f>E63</f>
        <v>137804.61371729369</v>
      </c>
      <c r="H74" s="24">
        <f>F63</f>
        <v>137804.61371729369</v>
      </c>
    </row>
    <row r="75" spans="1:11" x14ac:dyDescent="0.2">
      <c r="A75" s="88" t="s">
        <v>213</v>
      </c>
      <c r="B75" s="59"/>
      <c r="C75" s="23"/>
      <c r="D75" s="94">
        <f>D73+D74*B20</f>
        <v>2435276.599479822</v>
      </c>
      <c r="E75" s="94">
        <f>E73+E74*C20</f>
        <v>2093141.9453004417</v>
      </c>
      <c r="F75" s="94">
        <f>F73+F74*D20</f>
        <v>1775623.3960976584</v>
      </c>
      <c r="G75" s="94">
        <f>G73+G74*E20</f>
        <v>1481072.1708181845</v>
      </c>
      <c r="H75" s="95">
        <f>H73+H74*F20</f>
        <v>1598188.6526860795</v>
      </c>
    </row>
    <row r="76" spans="1:11" x14ac:dyDescent="0.2">
      <c r="A76" s="22" t="s">
        <v>217</v>
      </c>
      <c r="B76" s="59"/>
      <c r="C76" s="23"/>
      <c r="D76" s="23">
        <f>D75/(1+$C$81)^(D72)</f>
        <v>1559735.2349942529</v>
      </c>
      <c r="E76" s="23">
        <f t="shared" ref="E76:F76" si="12">E75/(1+$C$81)^(E72)</f>
        <v>1465550.3744676933</v>
      </c>
      <c r="F76" s="23">
        <f t="shared" si="12"/>
        <v>1359103.1256594912</v>
      </c>
      <c r="G76" s="23">
        <f>G75/(1+$C$81)^(G72)</f>
        <v>1239302.3027576837</v>
      </c>
      <c r="H76" s="24">
        <f>H75/(1+$C$81)^(H72)</f>
        <v>1461936.6719568155</v>
      </c>
    </row>
    <row r="77" spans="1:11" ht="16" thickBot="1" x14ac:dyDescent="0.25">
      <c r="A77" s="25" t="s">
        <v>218</v>
      </c>
      <c r="B77" s="26"/>
      <c r="C77" s="93">
        <f>SUM(D76:H76)</f>
        <v>7085627.7098359363</v>
      </c>
      <c r="D77" s="27"/>
      <c r="E77" s="27"/>
      <c r="F77" s="27"/>
      <c r="G77" s="27"/>
      <c r="H77" s="28"/>
    </row>
    <row r="78" spans="1:11" x14ac:dyDescent="0.2">
      <c r="A78" s="22" t="s">
        <v>265</v>
      </c>
      <c r="B78" s="121">
        <f>H75</f>
        <v>1598188.6526860795</v>
      </c>
      <c r="C78" s="23"/>
      <c r="D78" s="23"/>
      <c r="E78" s="23"/>
      <c r="F78" s="23"/>
      <c r="G78" s="23"/>
      <c r="H78" s="23"/>
    </row>
    <row r="79" spans="1:11" x14ac:dyDescent="0.2">
      <c r="A79" s="88" t="s">
        <v>255</v>
      </c>
      <c r="B79" s="85">
        <f>H75/(B85-F92)</f>
        <v>46314864.965402797</v>
      </c>
    </row>
    <row r="80" spans="1:11" ht="16" thickBot="1" x14ac:dyDescent="0.25"/>
    <row r="81" spans="1:12" x14ac:dyDescent="0.2">
      <c r="A81" s="29" t="s">
        <v>207</v>
      </c>
      <c r="B81" s="30" t="s">
        <v>208</v>
      </c>
      <c r="C81" s="31">
        <f>WACC_Calculation!C10</f>
        <v>9.3199646293084137E-2</v>
      </c>
      <c r="L81" s="122"/>
    </row>
    <row r="82" spans="1:12" ht="16" thickBot="1" x14ac:dyDescent="0.25">
      <c r="A82" s="32" t="s">
        <v>209</v>
      </c>
      <c r="B82" s="33" t="s">
        <v>208</v>
      </c>
      <c r="C82" s="34">
        <f>WACC_Calculation!C11</f>
        <v>0.11829768264252148</v>
      </c>
    </row>
    <row r="83" spans="1:12" x14ac:dyDescent="0.2">
      <c r="I83" s="122"/>
    </row>
    <row r="85" spans="1:12" x14ac:dyDescent="0.2">
      <c r="A85" s="89" t="s">
        <v>154</v>
      </c>
      <c r="B85" s="90">
        <f>WACC_Calculation!J7</f>
        <v>8.4507034704299072E-2</v>
      </c>
    </row>
    <row r="86" spans="1:12" ht="16" thickBot="1" x14ac:dyDescent="0.25">
      <c r="I86" s="122"/>
    </row>
    <row r="87" spans="1:12" x14ac:dyDescent="0.2">
      <c r="A87" s="35" t="s">
        <v>219</v>
      </c>
      <c r="B87" s="20"/>
      <c r="C87" s="20"/>
      <c r="D87" s="36">
        <f>D73/(1+$B$85)^D72</f>
        <v>1598085.5838354381</v>
      </c>
      <c r="E87" s="36">
        <f t="shared" ref="E87:F87" si="13">E73/(1+$B$85)^E72</f>
        <v>1485810.3118235061</v>
      </c>
      <c r="F87" s="36">
        <f t="shared" si="13"/>
        <v>1362444.7491078514</v>
      </c>
      <c r="G87" s="36">
        <f>G73/(1+$B$85)^G72</f>
        <v>1227145.3021696352</v>
      </c>
      <c r="H87" s="37">
        <f>H73/(1+$B$85)^H72</f>
        <v>1438838.2358008465</v>
      </c>
      <c r="L87" s="122"/>
    </row>
    <row r="88" spans="1:12" x14ac:dyDescent="0.2">
      <c r="A88" s="38" t="s">
        <v>252</v>
      </c>
      <c r="C88" s="123">
        <f>SUM(D87:H87)</f>
        <v>7112324.1827372769</v>
      </c>
      <c r="H88" s="39"/>
      <c r="L88" s="122"/>
    </row>
    <row r="89" spans="1:12" x14ac:dyDescent="0.2">
      <c r="A89" s="40"/>
      <c r="H89" s="39"/>
    </row>
    <row r="90" spans="1:12" ht="16" thickBot="1" x14ac:dyDescent="0.25">
      <c r="A90" s="41"/>
      <c r="B90" s="42"/>
      <c r="C90" s="43"/>
      <c r="D90" s="43"/>
      <c r="E90" s="43"/>
      <c r="F90" s="43"/>
      <c r="G90" s="43"/>
      <c r="H90" s="44"/>
      <c r="L90" s="122"/>
    </row>
    <row r="91" spans="1:12" ht="16" thickBot="1" x14ac:dyDescent="0.25"/>
    <row r="92" spans="1:12" x14ac:dyDescent="0.2">
      <c r="A92" s="45"/>
      <c r="B92" s="21"/>
      <c r="C92" s="46"/>
      <c r="D92" s="46"/>
      <c r="E92" s="46" t="s">
        <v>220</v>
      </c>
      <c r="F92" s="31">
        <v>0.05</v>
      </c>
    </row>
    <row r="93" spans="1:12" x14ac:dyDescent="0.2">
      <c r="A93" s="22"/>
      <c r="B93" s="23"/>
      <c r="C93" s="47"/>
      <c r="D93" s="47"/>
      <c r="E93" s="47" t="s">
        <v>221</v>
      </c>
      <c r="F93" s="48">
        <v>0.27400000000000002</v>
      </c>
      <c r="G93" s="23"/>
      <c r="H93" s="23"/>
    </row>
    <row r="94" spans="1:12" x14ac:dyDescent="0.2">
      <c r="A94" s="22"/>
      <c r="B94" s="23"/>
      <c r="C94" s="47"/>
      <c r="D94" s="47"/>
      <c r="E94" s="47" t="s">
        <v>222</v>
      </c>
      <c r="F94" s="48">
        <v>0.04</v>
      </c>
      <c r="G94" s="23"/>
      <c r="H94" s="23"/>
    </row>
    <row r="95" spans="1:12" x14ac:dyDescent="0.2">
      <c r="A95" s="22"/>
      <c r="B95" s="23"/>
      <c r="C95" s="47"/>
      <c r="D95" s="47"/>
      <c r="E95" s="47" t="s">
        <v>223</v>
      </c>
      <c r="F95" s="49">
        <v>1.1100000000000001</v>
      </c>
      <c r="G95" s="23"/>
      <c r="H95" s="23"/>
    </row>
    <row r="96" spans="1:12" x14ac:dyDescent="0.2">
      <c r="A96" s="22"/>
      <c r="B96" s="23"/>
      <c r="C96" s="47"/>
      <c r="D96" s="47"/>
      <c r="E96" s="47" t="s">
        <v>195</v>
      </c>
      <c r="F96" s="61">
        <f>WACC_Calculation!E3</f>
        <v>0.53039999999999998</v>
      </c>
      <c r="G96" s="23"/>
      <c r="H96" s="23"/>
    </row>
    <row r="97" spans="1:8" x14ac:dyDescent="0.2">
      <c r="A97" s="98" t="s">
        <v>224</v>
      </c>
      <c r="B97" s="94">
        <f>F62</f>
        <v>1560430.188527541</v>
      </c>
      <c r="D97" s="47"/>
      <c r="E97" s="47"/>
      <c r="F97" s="48"/>
      <c r="G97" s="23"/>
      <c r="H97" s="23"/>
    </row>
    <row r="98" spans="1:8" x14ac:dyDescent="0.2">
      <c r="A98" s="98" t="s">
        <v>154</v>
      </c>
      <c r="B98" s="86">
        <f>B85</f>
        <v>8.4507034704299072E-2</v>
      </c>
      <c r="C98" s="47"/>
      <c r="D98" s="47"/>
      <c r="E98" s="47"/>
      <c r="F98" s="49"/>
      <c r="G98" s="47"/>
      <c r="H98" s="47"/>
    </row>
    <row r="99" spans="1:8" x14ac:dyDescent="0.2">
      <c r="A99" s="98" t="s">
        <v>255</v>
      </c>
      <c r="B99" s="94">
        <f>B97/(B98-F92)</f>
        <v>45220639.846319057</v>
      </c>
      <c r="C99" s="47" t="s">
        <v>267</v>
      </c>
      <c r="D99" s="47"/>
      <c r="E99" s="47"/>
      <c r="F99" s="49"/>
      <c r="G99" s="47"/>
      <c r="H99" s="47"/>
    </row>
    <row r="100" spans="1:8" x14ac:dyDescent="0.2">
      <c r="A100" s="22"/>
      <c r="B100" s="23"/>
      <c r="C100" s="47"/>
      <c r="D100" s="47"/>
      <c r="E100" s="47"/>
      <c r="F100" s="49"/>
    </row>
    <row r="101" spans="1:8" ht="16" thickBot="1" x14ac:dyDescent="0.25">
      <c r="A101" s="25"/>
      <c r="B101" s="27"/>
      <c r="C101" s="50"/>
      <c r="D101" s="50"/>
      <c r="E101" s="50"/>
      <c r="F101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019A-F066-4887-BF74-46C43B6F620D}">
  <dimension ref="A1:I26"/>
  <sheetViews>
    <sheetView tabSelected="1" workbookViewId="0">
      <selection activeCell="D29" sqref="D29"/>
    </sheetView>
  </sheetViews>
  <sheetFormatPr baseColWidth="10" defaultColWidth="8.83203125" defaultRowHeight="15" x14ac:dyDescent="0.2"/>
  <cols>
    <col min="1" max="1" width="42.33203125" bestFit="1" customWidth="1"/>
    <col min="2" max="2" width="7.1640625" bestFit="1" customWidth="1"/>
    <col min="3" max="4" width="11.1640625" bestFit="1" customWidth="1"/>
    <col min="5" max="5" width="12" bestFit="1" customWidth="1"/>
    <col min="6" max="6" width="11.1640625" bestFit="1" customWidth="1"/>
    <col min="7" max="7" width="12" bestFit="1" customWidth="1"/>
    <col min="8" max="8" width="20.33203125" bestFit="1" customWidth="1"/>
    <col min="9" max="9" width="12" bestFit="1" customWidth="1"/>
  </cols>
  <sheetData>
    <row r="1" spans="1:7" x14ac:dyDescent="0.2">
      <c r="A1" s="52" t="s">
        <v>225</v>
      </c>
      <c r="B1" s="52" t="s">
        <v>226</v>
      </c>
      <c r="C1" s="52">
        <v>2024</v>
      </c>
      <c r="D1" s="52">
        <v>2025</v>
      </c>
      <c r="E1" s="52">
        <v>2026</v>
      </c>
      <c r="F1" s="52">
        <v>2027</v>
      </c>
      <c r="G1" s="52">
        <v>2028</v>
      </c>
    </row>
    <row r="2" spans="1:7" x14ac:dyDescent="0.2">
      <c r="A2" s="54" t="s">
        <v>227</v>
      </c>
      <c r="B2" s="99"/>
      <c r="C2" s="99">
        <v>1560430.188527541</v>
      </c>
      <c r="D2" s="99">
        <v>1443313.706659646</v>
      </c>
      <c r="E2" s="87">
        <v>1737864.9319391199</v>
      </c>
      <c r="F2" s="99">
        <v>2055383.4811419032</v>
      </c>
      <c r="G2" s="99">
        <v>2397518.1353212837</v>
      </c>
    </row>
    <row r="3" spans="1:7" x14ac:dyDescent="0.2">
      <c r="A3" s="53" t="s">
        <v>228</v>
      </c>
      <c r="B3" s="99"/>
      <c r="C3" s="99">
        <f>-C2</f>
        <v>-1560430.188527541</v>
      </c>
      <c r="D3" s="99">
        <f>-D2</f>
        <v>-1443313.706659646</v>
      </c>
      <c r="E3" s="99">
        <f t="shared" ref="E3" si="0">-E2</f>
        <v>-1737864.9319391199</v>
      </c>
      <c r="F3" s="99">
        <f>-F7</f>
        <v>-821391.17287369305</v>
      </c>
      <c r="G3" s="99">
        <f>G7</f>
        <v>0</v>
      </c>
    </row>
    <row r="4" spans="1:7" x14ac:dyDescent="0.2">
      <c r="A4" s="53" t="s">
        <v>229</v>
      </c>
      <c r="B4" s="16"/>
      <c r="C4" s="16">
        <f>C2+C3</f>
        <v>0</v>
      </c>
      <c r="D4" s="16">
        <f t="shared" ref="D4:G4" si="1">D2+D3</f>
        <v>0</v>
      </c>
      <c r="E4" s="16">
        <f t="shared" si="1"/>
        <v>0</v>
      </c>
      <c r="F4" s="16">
        <f t="shared" si="1"/>
        <v>1233992.3082682102</v>
      </c>
      <c r="G4" s="16">
        <f t="shared" si="1"/>
        <v>2397518.1353212837</v>
      </c>
    </row>
    <row r="6" spans="1:7" x14ac:dyDescent="0.2">
      <c r="A6" s="52" t="s">
        <v>230</v>
      </c>
      <c r="B6" s="52" t="s">
        <v>226</v>
      </c>
      <c r="C6" s="52">
        <v>2024</v>
      </c>
      <c r="D6" s="52">
        <v>2025</v>
      </c>
      <c r="E6" s="52">
        <v>2026</v>
      </c>
      <c r="F6" s="52">
        <v>2027</v>
      </c>
      <c r="G6" s="52">
        <v>2028</v>
      </c>
    </row>
    <row r="7" spans="1:7" x14ac:dyDescent="0.2">
      <c r="A7" t="s">
        <v>231</v>
      </c>
      <c r="C7">
        <v>5563000</v>
      </c>
      <c r="D7" s="16">
        <f>C10</f>
        <v>4002569.8114724588</v>
      </c>
      <c r="E7" s="16">
        <f t="shared" ref="E7:G7" si="2">D10</f>
        <v>2559256.104812813</v>
      </c>
      <c r="F7" s="16">
        <f t="shared" si="2"/>
        <v>821391.17287369305</v>
      </c>
      <c r="G7" s="16">
        <f t="shared" si="2"/>
        <v>0</v>
      </c>
    </row>
    <row r="8" spans="1:7" x14ac:dyDescent="0.2">
      <c r="A8" t="s">
        <v>251</v>
      </c>
      <c r="C8" s="16">
        <f>$C$12*C7</f>
        <v>137804.61371729369</v>
      </c>
      <c r="D8" s="16">
        <f t="shared" ref="D8:G8" si="3">$C$12*D7</f>
        <v>99150.204340547047</v>
      </c>
      <c r="E8" s="16">
        <f t="shared" si="3"/>
        <v>63396.961878007445</v>
      </c>
      <c r="F8" s="16">
        <f t="shared" si="3"/>
        <v>20347.203539215185</v>
      </c>
      <c r="G8" s="16">
        <f t="shared" si="3"/>
        <v>0</v>
      </c>
    </row>
    <row r="9" spans="1:7" x14ac:dyDescent="0.2">
      <c r="A9" s="53" t="s">
        <v>228</v>
      </c>
      <c r="B9" s="85"/>
      <c r="C9" s="99">
        <f>C2</f>
        <v>1560430.188527541</v>
      </c>
      <c r="D9" s="99">
        <f>D2</f>
        <v>1443313.706659646</v>
      </c>
      <c r="E9" s="99">
        <f t="shared" ref="E9" si="4">E2</f>
        <v>1737864.9319391199</v>
      </c>
      <c r="F9" s="99">
        <f>F7</f>
        <v>821391.17287369305</v>
      </c>
      <c r="G9" s="99">
        <f>G7</f>
        <v>0</v>
      </c>
    </row>
    <row r="10" spans="1:7" x14ac:dyDescent="0.2">
      <c r="A10" t="s">
        <v>232</v>
      </c>
      <c r="C10" s="16">
        <f>C7-C9</f>
        <v>4002569.8114724588</v>
      </c>
      <c r="D10" s="16">
        <f t="shared" ref="D10:G10" si="5">D7-D9</f>
        <v>2559256.104812813</v>
      </c>
      <c r="E10" s="16">
        <f t="shared" si="5"/>
        <v>821391.17287369305</v>
      </c>
      <c r="F10" s="16">
        <f t="shared" si="5"/>
        <v>0</v>
      </c>
      <c r="G10" s="16">
        <f t="shared" si="5"/>
        <v>0</v>
      </c>
    </row>
    <row r="12" spans="1:7" x14ac:dyDescent="0.2">
      <c r="A12" t="s">
        <v>214</v>
      </c>
      <c r="C12" s="57">
        <v>2.4771636476234711E-2</v>
      </c>
    </row>
    <row r="16" spans="1:7" x14ac:dyDescent="0.2">
      <c r="A16" s="54" t="s">
        <v>234</v>
      </c>
    </row>
    <row r="17" spans="1:9" x14ac:dyDescent="0.2">
      <c r="A17" s="53" t="s">
        <v>235</v>
      </c>
      <c r="E17">
        <f>I19</f>
        <v>59564187.382517472</v>
      </c>
      <c r="H17" t="s">
        <v>233</v>
      </c>
      <c r="I17" s="16">
        <f>F2</f>
        <v>2055383.4811419032</v>
      </c>
    </row>
    <row r="18" spans="1:9" x14ac:dyDescent="0.2">
      <c r="A18" s="53" t="s">
        <v>237</v>
      </c>
      <c r="E18" s="16">
        <f>E10</f>
        <v>821391.17287369305</v>
      </c>
      <c r="H18" t="s">
        <v>154</v>
      </c>
      <c r="I18" s="3">
        <f>WACC_Calculation!J7</f>
        <v>8.4507034704299072E-2</v>
      </c>
    </row>
    <row r="19" spans="1:9" x14ac:dyDescent="0.2">
      <c r="A19" s="53" t="s">
        <v>238</v>
      </c>
      <c r="E19" s="16">
        <f>E17-E18</f>
        <v>58742796.209643781</v>
      </c>
      <c r="H19" t="s">
        <v>236</v>
      </c>
      <c r="I19">
        <f>I17/(I18-5%)</f>
        <v>59564187.382517472</v>
      </c>
    </row>
    <row r="22" spans="1:9" x14ac:dyDescent="0.2">
      <c r="I22" s="57"/>
    </row>
    <row r="26" spans="1:9" x14ac:dyDescent="0.2">
      <c r="I2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EF41-F770-40BC-8669-26C130838DEA}">
  <dimension ref="A1:M11"/>
  <sheetViews>
    <sheetView workbookViewId="0">
      <selection activeCell="O18" sqref="O18"/>
    </sheetView>
  </sheetViews>
  <sheetFormatPr baseColWidth="10" defaultColWidth="8.83203125" defaultRowHeight="15" x14ac:dyDescent="0.2"/>
  <cols>
    <col min="1" max="1" width="39" bestFit="1" customWidth="1"/>
    <col min="2" max="7" width="11.5" bestFit="1" customWidth="1"/>
    <col min="12" max="12" width="20.1640625" bestFit="1" customWidth="1"/>
    <col min="13" max="13" width="8.83203125" style="4"/>
  </cols>
  <sheetData>
    <row r="1" spans="1:13" ht="16" thickBot="1" x14ac:dyDescent="0.25">
      <c r="A1" s="52" t="s">
        <v>239</v>
      </c>
    </row>
    <row r="2" spans="1:13" ht="16" thickBot="1" x14ac:dyDescent="0.25">
      <c r="L2" s="45" t="s">
        <v>240</v>
      </c>
      <c r="M2" s="77">
        <f>ECF!C12</f>
        <v>2.4771636476234711E-2</v>
      </c>
    </row>
    <row r="3" spans="1:13" ht="16" thickBot="1" x14ac:dyDescent="0.25">
      <c r="A3" s="70" t="s">
        <v>225</v>
      </c>
      <c r="B3" s="71" t="s">
        <v>226</v>
      </c>
      <c r="C3" s="71">
        <v>2024</v>
      </c>
      <c r="D3" s="71">
        <v>2025</v>
      </c>
      <c r="E3" s="72">
        <v>2026</v>
      </c>
      <c r="F3" s="52"/>
      <c r="G3" s="52"/>
      <c r="L3" s="25" t="s">
        <v>221</v>
      </c>
      <c r="M3" s="78">
        <v>0.27400000000000002</v>
      </c>
    </row>
    <row r="4" spans="1:13" x14ac:dyDescent="0.2">
      <c r="A4" s="22"/>
      <c r="B4" s="16"/>
      <c r="C4" s="16"/>
      <c r="D4" s="16"/>
      <c r="E4" s="73"/>
      <c r="F4" s="16"/>
      <c r="G4" s="55"/>
      <c r="M4" s="5"/>
    </row>
    <row r="5" spans="1:13" x14ac:dyDescent="0.2">
      <c r="A5" s="22" t="s">
        <v>241</v>
      </c>
      <c r="B5" s="99">
        <f>C5/(1+C11)</f>
        <v>45071228.843317397</v>
      </c>
      <c r="C5" s="16">
        <f t="shared" ref="C5" si="0">D5/(1+D11)</f>
        <v>49308134.971102834</v>
      </c>
      <c r="D5" s="16">
        <f>E5/(1+E11)</f>
        <v>53860431.921870634</v>
      </c>
      <c r="E5" s="73">
        <f>ECF!E19</f>
        <v>58742796.209643781</v>
      </c>
      <c r="F5" s="16"/>
      <c r="G5" s="16"/>
      <c r="M5" s="5"/>
    </row>
    <row r="6" spans="1:13" ht="16" thickBot="1" x14ac:dyDescent="0.25">
      <c r="A6" s="74" t="s">
        <v>242</v>
      </c>
      <c r="B6" s="16"/>
      <c r="C6" s="16">
        <f>ECF!C10+ECF_Valuation!C5</f>
        <v>53310704.782575294</v>
      </c>
      <c r="D6" s="16">
        <f>ECF!D10+ECF_Valuation!D5</f>
        <v>56419688.02668345</v>
      </c>
      <c r="E6" s="73">
        <f>ECF!E10+ECF_Valuation!E5</f>
        <v>59564187.382517472</v>
      </c>
      <c r="F6" s="16"/>
      <c r="G6" s="16"/>
      <c r="M6" s="5"/>
    </row>
    <row r="7" spans="1:13" x14ac:dyDescent="0.2">
      <c r="A7" s="75" t="s">
        <v>243</v>
      </c>
      <c r="B7" s="16"/>
      <c r="C7" s="16">
        <f t="shared" ref="C7:D7" si="1">(C6-C5)/C6</f>
        <v>7.508003932412291E-2</v>
      </c>
      <c r="D7" s="16">
        <f t="shared" si="1"/>
        <v>4.5361046725434333E-2</v>
      </c>
      <c r="E7" s="73">
        <f>(E6-E5)/E6</f>
        <v>1.3790017273278122E-2</v>
      </c>
      <c r="F7" s="16"/>
      <c r="G7" s="16"/>
      <c r="L7" s="45" t="s">
        <v>244</v>
      </c>
      <c r="M7" s="79">
        <v>0.04</v>
      </c>
    </row>
    <row r="8" spans="1:13" x14ac:dyDescent="0.2">
      <c r="A8" s="75" t="s">
        <v>245</v>
      </c>
      <c r="B8" s="16"/>
      <c r="C8" s="16">
        <f t="shared" ref="C8:E8" si="2">C5/C6</f>
        <v>0.92491996067587712</v>
      </c>
      <c r="D8" s="16">
        <f t="shared" si="2"/>
        <v>0.95463895327456572</v>
      </c>
      <c r="E8" s="73">
        <f t="shared" si="2"/>
        <v>0.98620998272672189</v>
      </c>
      <c r="F8" s="16"/>
      <c r="G8" s="16"/>
      <c r="L8" s="22" t="s">
        <v>246</v>
      </c>
      <c r="M8" s="80">
        <v>1.1100000000000001</v>
      </c>
    </row>
    <row r="9" spans="1:13" x14ac:dyDescent="0.2">
      <c r="A9" s="75" t="s">
        <v>223</v>
      </c>
      <c r="B9" s="16"/>
      <c r="C9" s="16">
        <f t="shared" ref="C9:E9" si="3">$M$8</f>
        <v>1.1100000000000001</v>
      </c>
      <c r="D9" s="16">
        <f t="shared" si="3"/>
        <v>1.1100000000000001</v>
      </c>
      <c r="E9" s="73">
        <f t="shared" si="3"/>
        <v>1.1100000000000001</v>
      </c>
      <c r="F9" s="16"/>
      <c r="G9" s="16"/>
      <c r="L9" s="22" t="s">
        <v>247</v>
      </c>
      <c r="M9" s="60">
        <v>4.4999999999999998E-2</v>
      </c>
    </row>
    <row r="10" spans="1:13" ht="16" thickBot="1" x14ac:dyDescent="0.25">
      <c r="A10" s="75" t="s">
        <v>248</v>
      </c>
      <c r="B10" s="16"/>
      <c r="C10" s="16">
        <f t="shared" ref="C10:D10" si="4">C9/C8</f>
        <v>1.200103843784361</v>
      </c>
      <c r="D10" s="16">
        <f t="shared" si="4"/>
        <v>1.1627432509353623</v>
      </c>
      <c r="E10" s="73">
        <f>E9/E8</f>
        <v>1.1255209533886663</v>
      </c>
      <c r="F10" s="16"/>
      <c r="G10" s="16"/>
      <c r="L10" s="81" t="s">
        <v>154</v>
      </c>
      <c r="M10" s="82">
        <v>8.4500000000000006E-2</v>
      </c>
    </row>
    <row r="11" spans="1:13" ht="16" thickBot="1" x14ac:dyDescent="0.25">
      <c r="A11" s="76" t="s">
        <v>249</v>
      </c>
      <c r="B11" s="33"/>
      <c r="C11" s="33">
        <f t="shared" ref="C11:D11" si="5">$M$7+C10*$M$9</f>
        <v>9.4004672970296244E-2</v>
      </c>
      <c r="D11" s="33">
        <f t="shared" si="5"/>
        <v>9.2323446292091299E-2</v>
      </c>
      <c r="E11" s="34">
        <f>$M$7+E10*$M$9</f>
        <v>9.0648442902489981E-2</v>
      </c>
      <c r="F11" s="3"/>
      <c r="G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69F-365A-4064-9418-54A4C65FA394}">
  <dimension ref="A1:E31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1" bestFit="1" customWidth="1"/>
    <col min="2" max="2" width="16.5" bestFit="1" customWidth="1"/>
    <col min="3" max="3" width="11.6640625" bestFit="1" customWidth="1"/>
    <col min="5" max="5" width="17" bestFit="1" customWidth="1"/>
  </cols>
  <sheetData>
    <row r="1" spans="1:5" x14ac:dyDescent="0.2">
      <c r="A1" s="124" t="s">
        <v>257</v>
      </c>
      <c r="B1" s="124"/>
      <c r="C1" s="124"/>
      <c r="D1" s="124"/>
      <c r="E1" s="124"/>
    </row>
    <row r="2" spans="1:5" x14ac:dyDescent="0.2">
      <c r="A2" s="62"/>
      <c r="B2" s="62"/>
      <c r="C2" s="62"/>
      <c r="D2" s="62"/>
      <c r="E2" s="62"/>
    </row>
    <row r="3" spans="1:5" x14ac:dyDescent="0.2">
      <c r="A3" s="100" t="s">
        <v>224</v>
      </c>
      <c r="B3" s="62"/>
      <c r="C3" s="101">
        <f>FCFF_CCF_Forecasting!B97</f>
        <v>1560430.188527541</v>
      </c>
      <c r="D3" s="62"/>
      <c r="E3" s="62"/>
    </row>
    <row r="4" spans="1:5" x14ac:dyDescent="0.2">
      <c r="A4" s="100" t="s">
        <v>258</v>
      </c>
      <c r="B4" s="62" t="s">
        <v>259</v>
      </c>
      <c r="C4" s="102">
        <f>FCFF_CCF_Forecasting!F92</f>
        <v>0.05</v>
      </c>
      <c r="D4" s="62"/>
      <c r="E4" s="63"/>
    </row>
    <row r="5" spans="1:5" x14ac:dyDescent="0.2">
      <c r="A5" s="100" t="s">
        <v>154</v>
      </c>
      <c r="B5" s="62" t="s">
        <v>260</v>
      </c>
      <c r="C5" s="102">
        <f>WACC_Calculation!J7</f>
        <v>8.4507034704299072E-2</v>
      </c>
      <c r="D5" s="62"/>
      <c r="E5" s="64"/>
    </row>
    <row r="6" spans="1:5" x14ac:dyDescent="0.2">
      <c r="A6" s="100" t="s">
        <v>255</v>
      </c>
      <c r="B6" s="62" t="s">
        <v>261</v>
      </c>
      <c r="C6" s="103">
        <f>C3/(C5-C4)</f>
        <v>45220639.846319057</v>
      </c>
      <c r="D6" s="62"/>
      <c r="E6" s="62"/>
    </row>
    <row r="7" spans="1:5" ht="16" thickBot="1" x14ac:dyDescent="0.25">
      <c r="A7" s="62"/>
      <c r="B7" s="62"/>
      <c r="C7" s="62"/>
      <c r="D7" s="62"/>
      <c r="E7" s="62"/>
    </row>
    <row r="8" spans="1:5" ht="16" thickBot="1" x14ac:dyDescent="0.25">
      <c r="A8" s="104" t="s">
        <v>154</v>
      </c>
      <c r="B8" s="83" t="s">
        <v>262</v>
      </c>
      <c r="C8" s="65"/>
      <c r="D8" s="107" t="s">
        <v>259</v>
      </c>
      <c r="E8" s="84" t="s">
        <v>263</v>
      </c>
    </row>
    <row r="9" spans="1:5" x14ac:dyDescent="0.2">
      <c r="A9" s="105">
        <f>0.1</f>
        <v>0.1</v>
      </c>
      <c r="B9" s="108">
        <f>$C$3/(A9-$C$4)</f>
        <v>31208603.770550817</v>
      </c>
      <c r="C9" s="62"/>
      <c r="D9" s="102">
        <v>2.5000000000000001E-2</v>
      </c>
      <c r="E9" s="66">
        <f>$C$3/($C$5-D9)</f>
        <v>26222617.145713836</v>
      </c>
    </row>
    <row r="10" spans="1:5" x14ac:dyDescent="0.2">
      <c r="A10" s="105">
        <v>9.5000000000000001E-2</v>
      </c>
      <c r="B10" s="108">
        <f t="shared" ref="B10:B31" si="0">$C$3/(A10-$C$4)</f>
        <v>34676226.411723137</v>
      </c>
      <c r="C10" s="63"/>
      <c r="D10" s="102">
        <f>D9+0.15%</f>
        <v>2.6500000000000003E-2</v>
      </c>
      <c r="E10" s="66">
        <f t="shared" ref="E10:E31" si="1">$C$3/($C$5-D10)</f>
        <v>26900706.034743972</v>
      </c>
    </row>
    <row r="11" spans="1:5" x14ac:dyDescent="0.2">
      <c r="A11" s="105">
        <v>9.35E-2</v>
      </c>
      <c r="B11" s="108">
        <f t="shared" si="0"/>
        <v>35871958.356954969</v>
      </c>
      <c r="C11" s="63"/>
      <c r="D11" s="102">
        <f t="shared" ref="D11:D31" si="2">D10+0.15%</f>
        <v>2.8000000000000004E-2</v>
      </c>
      <c r="E11" s="66">
        <f t="shared" si="1"/>
        <v>27614795.161226593</v>
      </c>
    </row>
    <row r="12" spans="1:5" x14ac:dyDescent="0.2">
      <c r="A12" s="105">
        <v>9.1999999999999998E-2</v>
      </c>
      <c r="B12" s="108">
        <f t="shared" si="0"/>
        <v>37153099.726846218</v>
      </c>
      <c r="C12" s="63"/>
      <c r="D12" s="102">
        <f t="shared" si="2"/>
        <v>2.9500000000000005E-2</v>
      </c>
      <c r="E12" s="66">
        <f t="shared" si="1"/>
        <v>28367829.622446194</v>
      </c>
    </row>
    <row r="13" spans="1:5" x14ac:dyDescent="0.2">
      <c r="A13" s="105">
        <v>9.0499999999999997E-2</v>
      </c>
      <c r="B13" s="108">
        <f t="shared" si="0"/>
        <v>38529140.457470156</v>
      </c>
      <c r="C13" s="63"/>
      <c r="D13" s="102">
        <f t="shared" si="2"/>
        <v>3.1000000000000007E-2</v>
      </c>
      <c r="E13" s="66">
        <f t="shared" si="1"/>
        <v>29163084.763547305</v>
      </c>
    </row>
    <row r="14" spans="1:5" x14ac:dyDescent="0.2">
      <c r="A14" s="105">
        <v>8.8999999999999996E-2</v>
      </c>
      <c r="B14" s="108">
        <f t="shared" si="0"/>
        <v>40011030.475065164</v>
      </c>
      <c r="C14" s="63"/>
      <c r="D14" s="102">
        <f t="shared" si="2"/>
        <v>3.2500000000000008E-2</v>
      </c>
      <c r="E14" s="66">
        <f t="shared" si="1"/>
        <v>30004213.802994441</v>
      </c>
    </row>
    <row r="15" spans="1:5" x14ac:dyDescent="0.2">
      <c r="A15" s="105">
        <v>8.7499999999999994E-2</v>
      </c>
      <c r="B15" s="108">
        <f t="shared" si="0"/>
        <v>41611471.694067769</v>
      </c>
      <c r="C15" s="63"/>
      <c r="D15" s="102">
        <f t="shared" si="2"/>
        <v>3.4000000000000009E-2</v>
      </c>
      <c r="E15" s="66">
        <f t="shared" si="1"/>
        <v>30895303.94455567</v>
      </c>
    </row>
    <row r="16" spans="1:5" x14ac:dyDescent="0.2">
      <c r="A16" s="105">
        <v>8.5999999999999993E-2</v>
      </c>
      <c r="B16" s="108">
        <f t="shared" si="0"/>
        <v>43345283.014653929</v>
      </c>
      <c r="C16" s="63"/>
      <c r="D16" s="102">
        <f t="shared" si="2"/>
        <v>3.5500000000000011E-2</v>
      </c>
      <c r="E16" s="66">
        <f t="shared" si="1"/>
        <v>31840942.794089414</v>
      </c>
    </row>
    <row r="17" spans="1:5" x14ac:dyDescent="0.2">
      <c r="A17" s="105">
        <v>8.4500000000000006E-2</v>
      </c>
      <c r="B17" s="108">
        <f t="shared" si="0"/>
        <v>45229860.537030168</v>
      </c>
      <c r="C17" s="63"/>
      <c r="D17" s="102">
        <f t="shared" si="2"/>
        <v>3.7000000000000012E-2</v>
      </c>
      <c r="E17" s="66">
        <f t="shared" si="1"/>
        <v>32846297.358701129</v>
      </c>
    </row>
    <row r="18" spans="1:5" x14ac:dyDescent="0.2">
      <c r="A18" s="105">
        <v>8.3000000000000004E-2</v>
      </c>
      <c r="B18" s="108">
        <f t="shared" si="0"/>
        <v>47285763.288713358</v>
      </c>
      <c r="C18" s="63"/>
      <c r="D18" s="102">
        <f t="shared" si="2"/>
        <v>3.8500000000000013E-2</v>
      </c>
      <c r="E18" s="66">
        <f t="shared" si="1"/>
        <v>33917208.499893367</v>
      </c>
    </row>
    <row r="19" spans="1:5" x14ac:dyDescent="0.2">
      <c r="A19" s="105">
        <v>8.1500000000000003E-2</v>
      </c>
      <c r="B19" s="108">
        <f t="shared" si="0"/>
        <v>49537466.302461617</v>
      </c>
      <c r="C19" s="63"/>
      <c r="D19" s="102">
        <f t="shared" si="2"/>
        <v>4.0000000000000015E-2</v>
      </c>
      <c r="E19" s="66">
        <f t="shared" si="1"/>
        <v>35060304.486580744</v>
      </c>
    </row>
    <row r="20" spans="1:5" x14ac:dyDescent="0.2">
      <c r="A20" s="105">
        <v>0.08</v>
      </c>
      <c r="B20" s="108">
        <f t="shared" si="0"/>
        <v>52014339.617584705</v>
      </c>
      <c r="C20" s="63"/>
      <c r="D20" s="102">
        <f t="shared" si="2"/>
        <v>4.1500000000000016E-2</v>
      </c>
      <c r="E20" s="66">
        <f t="shared" si="1"/>
        <v>36283138.311127454</v>
      </c>
    </row>
    <row r="21" spans="1:5" x14ac:dyDescent="0.2">
      <c r="A21" s="105">
        <v>7.85E-2</v>
      </c>
      <c r="B21" s="108">
        <f t="shared" si="0"/>
        <v>54751936.43956285</v>
      </c>
      <c r="C21" s="63"/>
      <c r="D21" s="102">
        <f t="shared" si="2"/>
        <v>4.3000000000000017E-2</v>
      </c>
      <c r="E21" s="66">
        <f t="shared" si="1"/>
        <v>37594354.779719323</v>
      </c>
    </row>
    <row r="22" spans="1:5" x14ac:dyDescent="0.2">
      <c r="A22" s="105">
        <v>7.6999999999999999E-2</v>
      </c>
      <c r="B22" s="108">
        <f t="shared" si="0"/>
        <v>57793710.686205231</v>
      </c>
      <c r="C22" s="63"/>
      <c r="D22" s="102">
        <f t="shared" si="2"/>
        <v>4.4500000000000019E-2</v>
      </c>
      <c r="E22" s="66">
        <f t="shared" si="1"/>
        <v>39003895.191458948</v>
      </c>
    </row>
    <row r="23" spans="1:5" x14ac:dyDescent="0.2">
      <c r="A23" s="105">
        <v>7.5499999999999998E-2</v>
      </c>
      <c r="B23" s="108">
        <f t="shared" si="0"/>
        <v>61193340.726570249</v>
      </c>
      <c r="C23" s="63"/>
      <c r="D23" s="102">
        <f t="shared" si="2"/>
        <v>4.600000000000002E-2</v>
      </c>
      <c r="E23" s="66">
        <f t="shared" si="1"/>
        <v>40523249.855781011</v>
      </c>
    </row>
    <row r="24" spans="1:5" x14ac:dyDescent="0.2">
      <c r="A24" s="105">
        <v>7.3999999999999996E-2</v>
      </c>
      <c r="B24" s="108">
        <f t="shared" si="0"/>
        <v>65017924.521980889</v>
      </c>
      <c r="C24" s="63"/>
      <c r="D24" s="102">
        <f t="shared" si="2"/>
        <v>4.7500000000000021E-2</v>
      </c>
      <c r="E24" s="66">
        <f t="shared" si="1"/>
        <v>42165772.021346748</v>
      </c>
    </row>
    <row r="25" spans="1:5" x14ac:dyDescent="0.2">
      <c r="A25" s="105">
        <v>7.2499999999999995E-2</v>
      </c>
      <c r="B25" s="108">
        <f t="shared" si="0"/>
        <v>69352452.823446289</v>
      </c>
      <c r="C25" s="63"/>
      <c r="D25" s="102">
        <f t="shared" si="2"/>
        <v>4.9000000000000023E-2</v>
      </c>
      <c r="E25" s="66">
        <f t="shared" si="1"/>
        <v>43947071.376777358</v>
      </c>
    </row>
    <row r="26" spans="1:5" x14ac:dyDescent="0.2">
      <c r="A26" s="105">
        <v>7.0999999999999994E-2</v>
      </c>
      <c r="B26" s="108">
        <f t="shared" si="0"/>
        <v>74306199.453692466</v>
      </c>
      <c r="C26" s="63"/>
      <c r="D26" s="102">
        <f t="shared" si="2"/>
        <v>5.0500000000000024E-2</v>
      </c>
      <c r="E26" s="66">
        <f t="shared" si="1"/>
        <v>45885511.691799372</v>
      </c>
    </row>
    <row r="27" spans="1:5" x14ac:dyDescent="0.2">
      <c r="A27" s="105">
        <v>6.9500000000000006E-2</v>
      </c>
      <c r="B27" s="108">
        <f t="shared" si="0"/>
        <v>80022060.950130299</v>
      </c>
      <c r="C27" s="63"/>
      <c r="D27" s="102">
        <f t="shared" si="2"/>
        <v>5.2000000000000025E-2</v>
      </c>
      <c r="E27" s="66">
        <f t="shared" si="1"/>
        <v>48002846.236884676</v>
      </c>
    </row>
    <row r="28" spans="1:5" x14ac:dyDescent="0.2">
      <c r="A28" s="105">
        <v>6.8000000000000005E-2</v>
      </c>
      <c r="B28" s="108">
        <f t="shared" si="0"/>
        <v>86690566.029307827</v>
      </c>
      <c r="C28" s="63"/>
      <c r="D28" s="102">
        <f t="shared" si="2"/>
        <v>5.3500000000000027E-2</v>
      </c>
      <c r="E28" s="66">
        <f t="shared" si="1"/>
        <v>50325037.637707144</v>
      </c>
    </row>
    <row r="29" spans="1:5" x14ac:dyDescent="0.2">
      <c r="A29" s="105">
        <v>6.6500000000000004E-2</v>
      </c>
      <c r="B29" s="108">
        <f t="shared" si="0"/>
        <v>94571526.577426717</v>
      </c>
      <c r="C29" s="63"/>
      <c r="D29" s="102">
        <f t="shared" si="2"/>
        <v>5.5000000000000028E-2</v>
      </c>
      <c r="E29" s="66">
        <f t="shared" si="1"/>
        <v>52883327.795056045</v>
      </c>
    </row>
    <row r="30" spans="1:5" x14ac:dyDescent="0.2">
      <c r="A30" s="105">
        <v>6.5000000000000002E-2</v>
      </c>
      <c r="B30" s="108">
        <f t="shared" si="0"/>
        <v>104028679.23516941</v>
      </c>
      <c r="C30" s="63"/>
      <c r="D30" s="102">
        <f t="shared" si="2"/>
        <v>5.6500000000000029E-2</v>
      </c>
      <c r="E30" s="66">
        <f t="shared" si="1"/>
        <v>55715651.621198475</v>
      </c>
    </row>
    <row r="31" spans="1:5" ht="16" thickBot="1" x14ac:dyDescent="0.25">
      <c r="A31" s="106">
        <v>6.3500000000000001E-2</v>
      </c>
      <c r="B31" s="67">
        <f t="shared" si="0"/>
        <v>115587421.37241046</v>
      </c>
      <c r="C31" s="68"/>
      <c r="D31" s="109">
        <f t="shared" si="2"/>
        <v>5.8000000000000031E-2</v>
      </c>
      <c r="E31" s="69">
        <f t="shared" si="1"/>
        <v>58868530.785696022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12FACB61A6D6489A599598B4516048" ma:contentTypeVersion="5" ma:contentTypeDescription="Create a new document." ma:contentTypeScope="" ma:versionID="8bebd59b8101fb72a8ad4c3ded845bb3">
  <xsd:schema xmlns:xsd="http://www.w3.org/2001/XMLSchema" xmlns:xs="http://www.w3.org/2001/XMLSchema" xmlns:p="http://schemas.microsoft.com/office/2006/metadata/properties" xmlns:ns2="508cfaa4-89cf-4924-b7cd-13cc5f46c914" targetNamespace="http://schemas.microsoft.com/office/2006/metadata/properties" ma:root="true" ma:fieldsID="56908b99cbd2fb73f09e3683d136f74f" ns2:_="">
    <xsd:import namespace="508cfaa4-89cf-4924-b7cd-13cc5f46c91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cfaa4-89cf-4924-b7cd-13cc5f46c91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6247EF-B7B3-4279-ADC7-3521F5DFB0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123987-2C3D-4E3F-8D9C-E6026C3B662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08cfaa4-89cf-4924-b7cd-13cc5f46c9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Cash Flow</vt:lpstr>
      <vt:lpstr>Previous Statements</vt:lpstr>
      <vt:lpstr>WACC_Calculation</vt:lpstr>
      <vt:lpstr>FCFF_CCF_Forecasting</vt:lpstr>
      <vt:lpstr>ECF</vt:lpstr>
      <vt:lpstr>ECF_Valuation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anik07chakraborty010203@gmail.com</dc:creator>
  <cp:lastModifiedBy>Vivek Thakur</cp:lastModifiedBy>
  <dcterms:created xsi:type="dcterms:W3CDTF">2024-04-06T16:18:09Z</dcterms:created>
  <dcterms:modified xsi:type="dcterms:W3CDTF">2025-10-19T08:02:01Z</dcterms:modified>
</cp:coreProperties>
</file>